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7748E9B7-2200-42BB-8A49-1FC375C7E92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0" l="1"/>
  <c r="L8" i="38"/>
  <c r="L8" i="45"/>
  <c r="H8" i="36"/>
  <c r="Q8" i="37"/>
  <c r="L7" i="39"/>
  <c r="H8" i="40"/>
  <c r="Q8" i="41"/>
  <c r="L7" i="43"/>
  <c r="H8" i="44"/>
  <c r="Q8" i="45"/>
  <c r="L8" i="36"/>
  <c r="L8" i="40"/>
  <c r="L8" i="44"/>
  <c r="L7" i="30"/>
  <c r="H8" i="33"/>
  <c r="Q8" i="36"/>
  <c r="L7" i="38"/>
  <c r="H8" i="39"/>
  <c r="Q8" i="40"/>
  <c r="L7" i="42"/>
  <c r="Q8" i="44"/>
  <c r="L7" i="46"/>
  <c r="L8" i="37"/>
  <c r="L8" i="41"/>
  <c r="L7" i="33"/>
  <c r="L8" i="33"/>
  <c r="L8" i="39"/>
  <c r="L8" i="43"/>
  <c r="Q2" i="14"/>
  <c r="H8" i="49"/>
  <c r="H8" i="30"/>
  <c r="Q8" i="33"/>
  <c r="L7" i="37"/>
  <c r="H8" i="38"/>
  <c r="Q8" i="39"/>
  <c r="L7" i="41"/>
  <c r="H8" i="42"/>
  <c r="Q8" i="43"/>
  <c r="L7" i="45"/>
  <c r="H8" i="46"/>
  <c r="P2" i="14"/>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D7" i="1"/>
  <c r="CD6" i="1" s="1"/>
  <c r="CB7" i="1"/>
  <c r="CC7" i="1"/>
  <c r="AS7" i="1"/>
  <c r="A71" i="32"/>
  <c r="A67" i="32"/>
  <c r="B53" i="24"/>
  <c r="D53" i="24" s="1"/>
  <c r="H4" i="21"/>
  <c r="H6" i="21"/>
  <c r="I6" i="21" s="1"/>
  <c r="H5" i="21"/>
  <c r="A9" i="17"/>
  <c r="C8" i="17"/>
  <c r="B8" i="17" s="1"/>
  <c r="V21" i="11"/>
  <c r="V52" i="11"/>
  <c r="X52" i="11" s="1"/>
  <c r="B46" i="25"/>
  <c r="G46" i="25" s="1"/>
  <c r="BW6" i="1"/>
  <c r="BY6" i="1"/>
  <c r="CC6" i="1"/>
  <c r="BX6" i="1"/>
  <c r="BZ6" i="1"/>
  <c r="CB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46"/>
  <c r="O7" i="42"/>
  <c r="O7" i="38"/>
  <c r="O7" i="30"/>
  <c r="O7" i="44"/>
  <c r="O7" i="40"/>
  <c r="O7" i="36"/>
  <c r="O7" i="43"/>
  <c r="O7" i="39"/>
  <c r="O7" i="33"/>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12" i="1"/>
  <c r="Y10" i="1"/>
  <c r="Y7" i="1"/>
  <c r="Y8" i="1"/>
  <c r="Y14" i="1"/>
  <c r="Y13" i="1"/>
  <c r="C213" i="17"/>
  <c r="B213" i="17" s="1"/>
  <c r="Y11" i="1" s="1"/>
  <c r="A214" i="17"/>
  <c r="F211" i="11"/>
  <c r="A212" i="11"/>
  <c r="B211" i="11"/>
  <c r="E211" i="11" s="1"/>
  <c r="L36" i="48" l="1"/>
  <c r="L36" i="18"/>
  <c r="L38" i="48"/>
  <c r="L38" i="18"/>
  <c r="L33" i="48"/>
  <c r="L33" i="18"/>
  <c r="L32" i="48"/>
  <c r="L32" i="18"/>
  <c r="L35" i="48"/>
  <c r="L35" i="18"/>
  <c r="L39" i="48"/>
  <c r="L39"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<sst xmlns="http://schemas.openxmlformats.org/spreadsheetml/2006/main" count="7312" uniqueCount="2586">
  <si>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</si>
  <si>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</si>
  <si>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</si>
  <si>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</si>
  <si>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</si>
  <si>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</si>
  <si>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</si>
  <si>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</si>
  <si>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</si>
  <si>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</si>
  <si>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</si>
  <si>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</si>
  <si>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</si>
  <si>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</si>
  <si>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</si>
  <si>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</si>
  <si>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</si>
  <si>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</si>
  <si>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</si>
  <si>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</si>
  <si>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</si>
  <si>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</si>
  <si>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</si>
  <si>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</si>
  <si>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</si>
  <si>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</si>
  <si>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</si>
  <si>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</si>
  <si>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</si>
  <si>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</si>
  <si>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</si>
  <si>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</si>
  <si>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</si>
  <si>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</si>
  <si>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</si>
  <si>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</si>
  <si>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</si>
  <si>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</si>
  <si>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</si>
  <si>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</si>
  <si>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</si>
  <si>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</si>
  <si>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</si>
  <si>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</si>
  <si>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</si>
  <si>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</si>
  <si>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</si>
  <si>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</si>
  <si>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</si>
  <si>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</si>
  <si>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</si>
  <si>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</si>
  <si>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</si>
  <si>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</si>
  <si>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</si>
  <si>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</si>
  <si>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</si>
  <si>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</si>
  <si>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</si>
  <si>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</si>
  <si>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</si>
  <si>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</si>
  <si>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</si>
  <si>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</si>
  <si>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</si>
  <si>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</si>
  <si>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</si>
  <si>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</si>
  <si>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</si>
  <si>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</si>
  <si>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</si>
  <si>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</si>
  <si>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</si>
  <si>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</si>
  <si>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</si>
  <si>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</si>
  <si>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</si>
  <si>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</si>
  <si>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</si>
  <si>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</si>
  <si>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</si>
  <si>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</si>
  <si>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</si>
  <si>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</si>
  <si>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</si>
  <si>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</si>
  <si>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</si>
  <si>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</si>
  <si>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</si>
  <si>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</si>
  <si>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</si>
  <si>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</si>
  <si>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</si>
  <si>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</si>
  <si>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</si>
  <si>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</si>
  <si>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</si>
  <si>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</si>
  <si>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</si>
  <si>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</si>
  <si>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</si>
  <si>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</si>
  <si>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</si>
  <si>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</si>
  <si>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</si>
  <si>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</si>
  <si>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</si>
  <si>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</si>
  <si>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</si>
  <si>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</si>
  <si>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</si>
  <si>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</si>
  <si>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</si>
  <si>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</si>
  <si>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</si>
  <si>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</si>
  <si>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</si>
  <si>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</si>
  <si>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</si>
  <si>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</si>
  <si>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</si>
  <si>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</si>
  <si>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</si>
  <si>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</si>
  <si>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</si>
  <si>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</si>
  <si>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</si>
  <si>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</si>
  <si>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</si>
  <si>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</si>
  <si>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</si>
  <si>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</si>
  <si>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</si>
  <si>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</si>
  <si>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</si>
  <si>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</si>
  <si>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</si>
  <si>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</si>
  <si>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</si>
  <si>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</si>
  <si>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</si>
  <si>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</si>
  <si>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</si>
  <si>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</si>
  <si>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</si>
  <si>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</si>
  <si>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</si>
  <si>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</si>
  <si>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</si>
  <si>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</si>
  <si>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</si>
  <si>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</si>
  <si>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</si>
  <si>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</si>
  <si>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</si>
  <si>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</si>
  <si>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</si>
  <si>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</si>
  <si>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</si>
  <si>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</si>
  <si>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</si>
  <si>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</si>
  <si>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</si>
  <si>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</si>
  <si>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</si>
  <si>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</si>
  <si>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</si>
  <si>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</si>
  <si>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</si>
  <si>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</si>
  <si>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</si>
  <si>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</si>
  <si>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</si>
  <si>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</si>
  <si>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</si>
  <si>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</si>
  <si>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</si>
  <si>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</si>
  <si>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</si>
  <si>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</si>
  <si>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</si>
  <si>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</si>
  <si>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</si>
  <si>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</si>
  <si>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</si>
  <si>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</si>
  <si>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</si>
  <si>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</si>
  <si>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</si>
  <si>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</si>
  <si>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</si>
  <si>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</si>
  <si>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</si>
  <si>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</si>
  <si>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</si>
  <si>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</si>
  <si>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</si>
  <si>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</si>
  <si>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</si>
  <si>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</si>
  <si>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</si>
  <si>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</si>
  <si>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</si>
  <si>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</si>
  <si>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</si>
  <si>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</si>
  <si>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</si>
  <si>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</si>
  <si>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</si>
  <si>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</si>
  <si>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</si>
  <si>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</si>
  <si>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</si>
  <si>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</si>
  <si>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</si>
  <si>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</si>
  <si>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</si>
  <si>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</si>
  <si>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</si>
  <si>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</si>
  <si>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</si>
  <si>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</si>
  <si>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</si>
  <si>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</si>
  <si>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</si>
  <si>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</si>
  <si>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</si>
  <si>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</si>
  <si>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</si>
  <si>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</si>
  <si>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</si>
  <si>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</si>
  <si>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</si>
  <si>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</si>
  <si>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</si>
  <si>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</si>
  <si>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</si>
  <si>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</si>
  <si>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</si>
  <si>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</si>
  <si>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</si>
  <si>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</si>
  <si>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</si>
  <si>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</si>
  <si>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</si>
  <si>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</si>
  <si>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</si>
  <si>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</si>
  <si>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</si>
  <si>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</si>
  <si>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</si>
  <si>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</si>
  <si>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</si>
  <si>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</si>
  <si>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</si>
  <si>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</si>
  <si>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</si>
  <si>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</si>
  <si>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</si>
  <si>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</si>
  <si>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</si>
  <si>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</si>
  <si>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</si>
  <si>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</si>
  <si>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</si>
  <si>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</si>
  <si>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</si>
  <si>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</si>
  <si>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</si>
  <si>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</si>
  <si>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</si>
  <si>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</si>
  <si>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</si>
  <si>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</si>
  <si>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</si>
  <si>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</si>
  <si>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</si>
  <si>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</si>
  <si>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</si>
  <si>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</si>
  <si>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</si>
  <si>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</si>
  <si>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</si>
  <si>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</si>
  <si>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</si>
  <si>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</si>
  <si>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</si>
  <si>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</si>
  <si>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</si>
  <si>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</si>
  <si>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</si>
  <si>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</si>
  <si>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</si>
  <si>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</si>
  <si>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</si>
  <si>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</si>
  <si>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</si>
  <si>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</si>
  <si>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</si>
  <si>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</si>
  <si>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</si>
  <si>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</si>
  <si>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</si>
  <si>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</si>
  <si>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</si>
  <si>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</si>
  <si>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</si>
  <si>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</si>
  <si>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</si>
  <si>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</si>
  <si>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</si>
  <si>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</si>
  <si>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</si>
  <si>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</si>
  <si>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</si>
  <si>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</si>
  <si>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</si>
  <si>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</si>
  <si>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</si>
  <si>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</si>
  <si>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</si>
  <si>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</si>
  <si>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</si>
  <si>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</si>
  <si>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</si>
  <si>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</si>
  <si>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</si>
  <si>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</si>
  <si>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</si>
  <si>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</si>
  <si>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</si>
  <si>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</si>
  <si>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</si>
  <si>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</si>
  <si>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</si>
  <si>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</si>
  <si>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</si>
  <si>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</si>
  <si>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</si>
  <si>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</si>
  <si>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</si>
  <si>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</si>
  <si>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</si>
  <si>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</si>
  <si>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</si>
  <si>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</si>
  <si>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</si>
  <si>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</si>
  <si>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</si>
  <si>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</si>
  <si>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</si>
  <si>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</si>
  <si>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</si>
  <si>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</si>
  <si>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</si>
  <si>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</si>
  <si>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</si>
  <si>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</si>
  <si>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</si>
  <si>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</si>
  <si>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</si>
  <si>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</si>
  <si>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</si>
  <si>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</si>
  <si>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</si>
  <si>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</si>
  <si>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</si>
  <si>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</si>
  <si>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</si>
  <si>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</si>
  <si>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</si>
  <si>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</si>
  <si>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</si>
  <si>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</si>
  <si>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</si>
  <si>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</si>
  <si>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</si>
  <si>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</si>
  <si>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</si>
  <si>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</si>
  <si>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</si>
  <si>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</si>
  <si>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</si>
  <si>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</si>
  <si>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</si>
  <si>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</si>
  <si>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</si>
  <si>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</si>
  <si>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</si>
  <si>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</si>
  <si>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</si>
  <si>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</si>
  <si>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</si>
  <si>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</si>
  <si>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</si>
  <si>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</si>
  <si>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</si>
  <si>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</si>
  <si>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</si>
  <si>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</si>
  <si>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</si>
  <si>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</si>
  <si>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</si>
  <si>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</si>
  <si>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</si>
  <si>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</si>
  <si>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</si>
  <si>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</si>
  <si>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</si>
  <si>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</si>
  <si>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</si>
  <si>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</si>
  <si>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</si>
  <si>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</si>
  <si>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</si>
  <si>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</si>
  <si>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</si>
  <si>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</si>
  <si>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</si>
  <si>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</si>
  <si>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</si>
  <si>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</si>
  <si>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</si>
  <si>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</si>
  <si>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</si>
  <si>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</si>
  <si>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</si>
  <si>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</si>
  <si>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</si>
  <si>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</si>
  <si>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</si>
  <si>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</si>
  <si>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</si>
  <si>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</si>
  <si>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</si>
  <si>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</si>
  <si>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</si>
  <si>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</si>
  <si>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</si>
  <si>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</si>
  <si>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</si>
  <si>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</si>
  <si>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</si>
  <si>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</si>
  <si>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</si>
  <si>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</si>
  <si>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</si>
  <si>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</si>
  <si>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</si>
  <si>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</si>
  <si>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</si>
  <si>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</si>
  <si>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</si>
  <si>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</si>
  <si>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</si>
  <si>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</si>
  <si>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</si>
  <si>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</si>
  <si>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</si>
  <si>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</si>
  <si>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</si>
  <si>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</si>
  <si>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</si>
  <si>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</si>
  <si>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</si>
  <si>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</si>
  <si>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</si>
  <si>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</si>
  <si>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</si>
  <si>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</si>
  <si>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</si>
  <si>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</si>
  <si>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</si>
  <si>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</si>
  <si>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</si>
  <si>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</si>
  <si>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</si>
  <si>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</si>
  <si>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</si>
  <si>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</si>
  <si>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</si>
  <si>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</si>
  <si>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</si>
  <si>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</si>
  <si>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</si>
  <si>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</si>
  <si>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</si>
  <si>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</si>
  <si>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</si>
  <si>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</si>
  <si>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</si>
  <si>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</si>
  <si>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</si>
  <si>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</si>
  <si>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</si>
  <si>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</si>
  <si>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</si>
  <si>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</si>
  <si>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</si>
  <si>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</si>
  <si>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</si>
  <si>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</si>
  <si>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</si>
  <si>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</si>
  <si>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</si>
  <si>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</si>
  <si>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</si>
  <si>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</si>
  <si>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</si>
  <si>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</si>
  <si>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</si>
  <si>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</si>
  <si>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</si>
  <si>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</si>
  <si>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</si>
  <si>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</si>
  <si>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</si>
  <si>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</si>
  <si>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</si>
  <si>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</si>
  <si>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</si>
  <si>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</si>
  <si>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</si>
  <si>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</si>
  <si>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</si>
  <si>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</si>
  <si>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</si>
  <si>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</si>
  <si>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</si>
  <si>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</si>
  <si>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</si>
  <si>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</si>
  <si>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</si>
  <si>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</si>
  <si>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</si>
  <si>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</si>
  <si>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</si>
  <si>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</si>
  <si>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</si>
  <si>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</si>
  <si>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</si>
  <si>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</si>
  <si>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</si>
  <si>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</si>
  <si>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</si>
  <si>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</si>
  <si>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</si>
  <si>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</si>
  <si>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</si>
  <si>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</si>
  <si>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</si>
  <si>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</si>
  <si>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</si>
  <si>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</si>
  <si>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</si>
  <si>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</si>
  <si>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</si>
  <si>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</si>
  <si>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</si>
  <si>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</si>
  <si>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</si>
  <si>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</si>
  <si>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</si>
  <si>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</si>
  <si>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</si>
  <si>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</si>
  <si>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</si>
  <si>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</si>
  <si>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</si>
  <si>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</si>
  <si>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</si>
  <si>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</si>
  <si>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</si>
  <si>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</si>
  <si>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</si>
  <si>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</si>
  <si>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</si>
  <si>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</si>
  <si>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</si>
  <si>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</si>
  <si>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</si>
  <si>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</si>
  <si>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</si>
  <si>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</si>
  <si>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</si>
  <si>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</si>
  <si>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</si>
  <si>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</si>
  <si>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</si>
  <si>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</si>
  <si>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</si>
  <si>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</si>
  <si>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</si>
  <si>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</si>
  <si>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</si>
  <si>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</si>
  <si>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</si>
  <si>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</si>
  <si>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</si>
  <si>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</si>
  <si>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</si>
  <si>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</si>
  <si>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</si>
  <si>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</si>
  <si>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</si>
  <si>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</si>
  <si>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</si>
  <si>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</si>
  <si>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</si>
  <si>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</si>
  <si>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</si>
  <si>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</si>
  <si>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</si>
  <si>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</si>
  <si>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</si>
  <si>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</si>
  <si>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</si>
  <si>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</si>
  <si>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</si>
  <si>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</si>
  <si>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</si>
  <si>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</si>
  <si>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</si>
  <si>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</si>
  <si>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</si>
  <si>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</si>
  <si>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</si>
  <si>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</si>
  <si>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</si>
  <si>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</si>
  <si>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</si>
  <si>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</si>
  <si>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</si>
  <si>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</si>
  <si>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</si>
  <si>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</si>
  <si>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</si>
  <si>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</si>
  <si>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</si>
  <si>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</si>
  <si>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</si>
  <si>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</si>
  <si>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</si>
  <si>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</si>
  <si>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</si>
  <si>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</si>
  <si>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</si>
  <si>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</si>
  <si>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</si>
  <si>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</si>
  <si>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</si>
  <si>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</si>
  <si>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</si>
  <si>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</si>
  <si>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</si>
  <si>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</si>
  <si>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</si>
  <si>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</si>
  <si>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</si>
  <si>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</si>
  <si>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</si>
  <si>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</si>
  <si>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</si>
  <si>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</si>
  <si>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</si>
  <si>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</si>
  <si>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</si>
  <si>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</si>
  <si>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</si>
  <si>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</si>
  <si>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</si>
  <si>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</si>
  <si>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</si>
  <si>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</si>
  <si>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</si>
  <si>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</si>
  <si>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</si>
  <si>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</si>
  <si>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</si>
  <si>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</si>
  <si>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</si>
  <si>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</si>
  <si>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</si>
  <si>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</si>
  <si>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</si>
  <si>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</si>
  <si>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</si>
  <si>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</si>
  <si>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</si>
  <si>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</si>
  <si>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</si>
  <si>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</si>
  <si>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</si>
  <si>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</si>
  <si>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</si>
  <si>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</si>
  <si>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</si>
  <si>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</si>
  <si>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</si>
  <si>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</si>
  <si>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</si>
  <si>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</si>
  <si>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</si>
  <si>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</si>
  <si>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</si>
  <si>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</si>
  <si>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</si>
  <si>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</si>
  <si>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</si>
  <si>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</si>
  <si>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</si>
  <si>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</si>
  <si>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</si>
  <si>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</si>
  <si>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</si>
  <si>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</si>
  <si>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</si>
  <si>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</si>
  <si>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</si>
  <si>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</si>
  <si>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</si>
  <si>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</si>
  <si>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</si>
  <si>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</si>
  <si>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</si>
  <si>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</si>
  <si>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</si>
  <si>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</si>
  <si>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</si>
  <si>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</si>
  <si>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</si>
  <si>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</si>
  <si>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</si>
  <si>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</si>
  <si>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</si>
  <si>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</si>
  <si>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</si>
  <si>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</si>
  <si>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</si>
  <si>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</si>
  <si>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</si>
  <si>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</si>
  <si>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</si>
  <si>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</si>
  <si>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</si>
  <si>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</si>
  <si>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</si>
  <si>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</si>
  <si>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</si>
  <si>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</si>
  <si>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</si>
  <si>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</si>
  <si>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</si>
  <si>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</si>
  <si>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</si>
  <si>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</si>
  <si>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</si>
  <si>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</si>
  <si>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</si>
  <si>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</si>
  <si>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</si>
  <si>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</si>
  <si>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</si>
  <si>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</si>
  <si>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</si>
  <si>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</si>
  <si>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</si>
  <si>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</si>
  <si>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</si>
  <si>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</si>
  <si>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</si>
  <si>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</si>
  <si>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</si>
  <si>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</si>
  <si>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</si>
  <si>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</si>
  <si>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</si>
  <si>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</si>
  <si>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</si>
  <si>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</si>
  <si>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</si>
  <si>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</si>
  <si>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</si>
  <si>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</si>
  <si>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</si>
  <si>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</si>
  <si>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</si>
  <si>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</si>
  <si>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</si>
  <si>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</si>
  <si>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</si>
  <si>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</si>
  <si>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</si>
  <si>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</si>
  <si>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</si>
  <si>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</si>
  <si>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</si>
  <si>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</si>
  <si>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</si>
  <si>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</si>
  <si>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</si>
  <si>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</si>
  <si>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</si>
  <si>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</si>
  <si>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</si>
  <si>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</si>
  <si>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</si>
  <si>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</si>
  <si>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</si>
  <si>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</si>
  <si>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</si>
  <si>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</si>
  <si>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</si>
  <si>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</si>
  <si>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</si>
  <si>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</si>
  <si>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</si>
  <si>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</si>
  <si>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</si>
  <si>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</si>
  <si>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</si>
  <si>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</si>
  <si>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</si>
  <si>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</si>
  <si>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</si>
  <si>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</si>
  <si>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</si>
  <si>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</si>
  <si>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</si>
  <si>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</si>
  <si>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</si>
  <si>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</si>
  <si>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</si>
  <si>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</si>
  <si>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</si>
  <si>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</si>
  <si>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</si>
  <si>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</si>
  <si>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</si>
  <si>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</si>
  <si>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</si>
  <si>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</si>
  <si>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</si>
  <si>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</si>
  <si>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</si>
  <si>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</si>
  <si>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</si>
  <si>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</si>
  <si>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</si>
  <si>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</si>
  <si>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</si>
  <si>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</si>
  <si>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</si>
  <si>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</si>
  <si>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</si>
  <si>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</si>
  <si>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</si>
  <si>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</si>
  <si>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</si>
  <si>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</si>
  <si>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</si>
  <si>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</si>
  <si>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</si>
  <si>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</si>
  <si>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</si>
  <si>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</si>
  <si>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</si>
  <si>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</si>
  <si>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</si>
  <si>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</si>
  <si>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</si>
  <si>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</si>
  <si>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</si>
  <si>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</si>
  <si>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</si>
  <si>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</si>
  <si>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</si>
  <si>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</si>
  <si>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</si>
  <si>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</si>
  <si>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</si>
  <si>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</si>
  <si>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</si>
  <si>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</si>
  <si>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</si>
  <si>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</si>
  <si>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</si>
  <si>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</si>
  <si>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</si>
  <si>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</si>
  <si>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</si>
  <si>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</si>
  <si>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</si>
  <si>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</si>
  <si>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</si>
  <si>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</si>
  <si>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</si>
  <si>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</si>
  <si>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</si>
  <si>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</si>
  <si>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</si>
  <si>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</si>
  <si>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</si>
  <si>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</si>
  <si>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</si>
  <si>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</si>
  <si>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</si>
  <si>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</si>
  <si>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</si>
  <si>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</si>
  <si>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</si>
  <si>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</si>
  <si>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</si>
  <si>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</si>
  <si>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</si>
  <si>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</si>
  <si>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</si>
  <si>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</si>
  <si>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</si>
  <si>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</si>
  <si>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</si>
  <si>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</si>
  <si>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</si>
  <si>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</si>
  <si>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</si>
  <si>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</si>
  <si>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</si>
  <si>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</si>
  <si>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</si>
  <si>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</si>
  <si>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</si>
  <si>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</si>
  <si>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</si>
  <si>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</si>
  <si>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</si>
  <si>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</si>
  <si>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</si>
  <si>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</si>
  <si>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</si>
  <si>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</si>
  <si>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</si>
  <si>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</si>
  <si>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</si>
  <si>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</si>
  <si>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</si>
  <si>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</si>
  <si>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</si>
  <si>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</si>
  <si>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</si>
  <si>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</si>
  <si>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</si>
  <si>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</si>
  <si>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</si>
  <si>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</si>
  <si>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</si>
  <si>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</si>
  <si>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</si>
  <si>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</si>
  <si>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</si>
  <si>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</si>
  <si>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</si>
  <si>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</si>
  <si>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</si>
  <si>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</si>
  <si>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</si>
  <si>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</si>
  <si>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</si>
  <si>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</si>
  <si>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</si>
  <si>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</si>
  <si>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</si>
  <si>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</si>
  <si>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</si>
  <si>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</si>
  <si>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</si>
  <si>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</si>
  <si>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</si>
  <si>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</si>
  <si>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</si>
  <si>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</si>
  <si>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</si>
  <si>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</si>
  <si>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</si>
  <si>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</si>
  <si>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</si>
  <si>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</si>
  <si>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</si>
  <si>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</si>
  <si>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</si>
  <si>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</si>
  <si>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</si>
  <si>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</si>
  <si>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</si>
  <si>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</si>
  <si>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</si>
  <si>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</si>
  <si>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</si>
  <si>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</si>
  <si>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</si>
  <si>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</si>
  <si>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</si>
  <si>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</si>
  <si>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</si>
  <si>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</si>
  <si>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</si>
  <si>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</si>
  <si>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</si>
  <si>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</si>
  <si>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</si>
  <si>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</si>
  <si>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</si>
  <si>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</si>
  <si>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</si>
  <si>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</si>
  <si>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</si>
  <si>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</si>
  <si>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</si>
  <si>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</si>
  <si>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</si>
  <si>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</si>
  <si>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</si>
  <si>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</si>
  <si>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</si>
  <si>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</si>
  <si>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</si>
  <si>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</si>
  <si>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</si>
  <si>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</si>
  <si>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</si>
  <si>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</si>
  <si>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</si>
  <si>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</si>
  <si>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</si>
  <si>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</si>
  <si>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</si>
  <si>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</si>
  <si>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</si>
  <si>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</si>
  <si>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</si>
  <si>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</si>
  <si>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</si>
  <si>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</si>
  <si>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</si>
  <si>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</si>
  <si>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</si>
  <si>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</si>
  <si>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</si>
  <si>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</si>
  <si>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</si>
  <si>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</si>
  <si>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</si>
  <si>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</si>
  <si>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</si>
  <si>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</si>
  <si>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</si>
  <si>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</si>
  <si>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</si>
  <si>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</si>
  <si>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</si>
  <si>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</si>
  <si>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</si>
  <si>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</si>
  <si>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</si>
  <si>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</si>
  <si>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</si>
  <si>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</si>
  <si>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</si>
  <si>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</si>
  <si>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</si>
  <si>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</si>
  <si>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</si>
  <si>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</si>
  <si>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</si>
  <si>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</si>
  <si>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</si>
  <si>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</si>
  <si>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</si>
  <si>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</si>
  <si>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</si>
  <si>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</si>
  <si>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</si>
  <si>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</si>
  <si>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</si>
  <si>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</si>
  <si>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</si>
  <si>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</si>
  <si>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</si>
  <si>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</si>
  <si>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</si>
  <si>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</si>
  <si>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</si>
  <si>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</si>
  <si>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</si>
  <si>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</si>
  <si>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</si>
  <si>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</si>
  <si>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</si>
  <si>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</si>
  <si>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</si>
  <si>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</si>
  <si>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</si>
  <si>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</si>
  <si>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</si>
  <si>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</si>
  <si>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</si>
  <si>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</si>
  <si>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</si>
  <si>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</si>
  <si>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</si>
  <si>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</si>
  <si>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</si>
  <si>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</si>
  <si>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</si>
  <si>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</si>
  <si>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</si>
  <si>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</si>
  <si>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</si>
  <si>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</si>
  <si>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</si>
  <si>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</si>
  <si>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</si>
  <si>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</si>
  <si>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</si>
  <si>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</si>
  <si>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</si>
  <si>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</si>
  <si>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</si>
  <si>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</si>
  <si>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</si>
  <si>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</si>
  <si>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</si>
  <si>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</si>
  <si>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</si>
  <si>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</si>
  <si>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</si>
  <si>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</si>
  <si>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</si>
  <si>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</si>
  <si>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</si>
  <si>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</si>
  <si>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</si>
  <si>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</si>
  <si>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</si>
  <si>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</si>
  <si>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</si>
  <si>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</si>
  <si>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</si>
  <si>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</si>
  <si>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</si>
  <si>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</si>
  <si>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</si>
  <si>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</si>
  <si>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</si>
  <si>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</si>
  <si>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</si>
  <si>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</si>
  <si>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</si>
  <si>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</si>
  <si>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</si>
  <si>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</si>
  <si>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</si>
  <si>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</si>
  <si>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</si>
  <si>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</si>
  <si>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</si>
  <si>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</si>
  <si>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</si>
  <si>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</si>
  <si>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</si>
  <si>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</si>
  <si>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</si>
  <si>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</si>
  <si>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</si>
  <si>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</si>
  <si>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</si>
  <si>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</si>
  <si>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</si>
  <si>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</si>
  <si>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</si>
  <si>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</si>
  <si>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</si>
  <si>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</si>
  <si>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</si>
  <si>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</si>
  <si>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</si>
  <si>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</si>
  <si>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</si>
  <si>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</si>
  <si>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</si>
  <si>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</si>
  <si>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</si>
  <si>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</si>
  <si>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</si>
  <si>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</si>
  <si>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</si>
  <si>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</si>
  <si>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</si>
  <si>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</si>
  <si>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</si>
  <si>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</si>
  <si>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</si>
  <si>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</si>
  <si>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</si>
  <si>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</si>
  <si>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</si>
  <si>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</si>
  <si>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</si>
  <si>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</si>
  <si>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</si>
  <si>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</si>
  <si>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</si>
  <si>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</si>
  <si>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</si>
  <si>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</si>
  <si>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</si>
  <si>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</si>
  <si>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</si>
  <si>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</si>
  <si>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</si>
  <si>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</si>
  <si>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</si>
  <si>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</si>
  <si>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</si>
  <si>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</si>
  <si>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</si>
  <si>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</si>
  <si>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</si>
  <si>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</si>
  <si>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</si>
  <si>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</si>
  <si>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</si>
  <si>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</si>
  <si>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</si>
  <si>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</si>
  <si>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</si>
  <si>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</si>
  <si>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</si>
  <si>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</si>
  <si>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</si>
  <si>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</si>
  <si>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</si>
  <si>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</si>
  <si>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</si>
  <si>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</si>
  <si>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</si>
  <si>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</si>
  <si>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</si>
  <si>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</si>
  <si>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</si>
  <si>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</si>
  <si>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</si>
  <si>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</si>
  <si>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</si>
  <si>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</si>
  <si>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</si>
  <si>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</si>
  <si>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</si>
  <si>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</si>
  <si>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</si>
  <si>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</si>
  <si>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</si>
  <si>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</si>
  <si>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</si>
  <si>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</si>
  <si>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</si>
  <si>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</si>
  <si>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</si>
  <si>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</si>
  <si>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</si>
  <si>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</si>
  <si>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</si>
  <si>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</si>
  <si>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</si>
  <si>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</si>
  <si>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</si>
  <si>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</si>
  <si>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</si>
  <si>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</si>
  <si>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</si>
  <si>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</si>
  <si>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</si>
  <si>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</si>
  <si>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</si>
  <si>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</si>
  <si>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</si>
  <si>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</si>
  <si>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</si>
  <si>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</si>
  <si>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</si>
  <si>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</si>
  <si>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</si>
  <si>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</si>
  <si>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</si>
  <si>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</si>
  <si>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</si>
  <si>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</si>
  <si>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</si>
  <si>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</si>
  <si>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</si>
  <si>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</si>
  <si>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</si>
  <si>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</si>
  <si>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</si>
  <si>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</si>
  <si>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</si>
  <si>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</si>
  <si>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</si>
  <si>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</si>
  <si>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</si>
  <si>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</si>
  <si>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</si>
  <si>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</si>
  <si>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</si>
  <si>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</si>
  <si>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</si>
  <si>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</si>
  <si>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</si>
  <si>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</si>
  <si>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</si>
  <si>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</si>
  <si>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</si>
  <si>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</si>
  <si>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</si>
  <si>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</si>
  <si>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</si>
  <si>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</si>
  <si>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</si>
  <si>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</si>
  <si>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</si>
  <si>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</si>
  <si>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</si>
  <si>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</si>
  <si>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</si>
  <si>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</si>
  <si>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</si>
  <si>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</si>
  <si>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</si>
  <si>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</si>
  <si>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</si>
  <si>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</si>
  <si>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</si>
  <si>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</si>
  <si>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</si>
  <si>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</si>
  <si>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</si>
  <si>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</si>
  <si>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</si>
  <si>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</si>
  <si>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</si>
  <si>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</si>
  <si>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</si>
  <si>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</si>
  <si>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</si>
  <si>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</si>
  <si>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</si>
  <si>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</si>
  <si>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</si>
  <si>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</si>
  <si>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</si>
  <si>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</si>
  <si>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</si>
  <si>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</si>
  <si>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</si>
  <si>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</si>
  <si>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</si>
  <si>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</si>
  <si>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</si>
  <si>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</si>
  <si>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</si>
  <si>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</si>
  <si>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</si>
  <si>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</si>
  <si>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</si>
  <si>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</si>
  <si>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</si>
  <si>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</si>
  <si>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</si>
  <si>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</si>
  <si>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</si>
  <si>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</si>
  <si>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</si>
  <si>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</si>
  <si>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</si>
  <si>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</si>
  <si>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</si>
  <si>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</si>
  <si>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</si>
  <si>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</si>
  <si>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</si>
  <si>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</si>
  <si>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</si>
  <si>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</si>
  <si>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</si>
  <si>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</si>
  <si>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</si>
  <si>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</si>
  <si>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</si>
  <si>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</si>
  <si>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</si>
  <si>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</si>
  <si>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</si>
  <si>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</si>
  <si>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</si>
  <si>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</si>
  <si>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</si>
  <si>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</si>
  <si>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</si>
  <si>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</si>
  <si>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</si>
  <si>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</si>
  <si>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</si>
  <si>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</si>
  <si>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</si>
  <si>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</si>
  <si>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</si>
  <si>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</si>
  <si>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</si>
  <si>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</si>
  <si>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</si>
  <si>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</si>
  <si>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</si>
  <si>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</si>
  <si>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</si>
  <si>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</si>
  <si>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</si>
  <si>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</si>
  <si>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</si>
  <si>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</si>
  <si>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</si>
  <si>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</si>
  <si>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</si>
  <si>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</si>
  <si>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</si>
  <si>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</si>
  <si>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</si>
  <si>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</si>
  <si>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</si>
  <si>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</si>
  <si>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</si>
  <si>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</si>
  <si>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</si>
  <si>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</si>
  <si>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</si>
  <si>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</si>
  <si>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</si>
  <si>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</si>
  <si>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</si>
  <si>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</si>
  <si>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</si>
  <si>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</si>
  <si>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</si>
  <si>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</si>
  <si>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</si>
  <si>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</si>
  <si>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</si>
  <si>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</si>
  <si>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</si>
  <si>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</si>
  <si>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</si>
  <si>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</si>
  <si>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</si>
  <si>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</si>
  <si>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</si>
  <si>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</si>
  <si>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</si>
  <si>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</si>
  <si>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</si>
  <si>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</si>
  <si>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</si>
  <si>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</si>
  <si>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</si>
  <si>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</si>
  <si>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</si>
  <si>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</si>
  <si>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</si>
  <si>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</si>
  <si>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</si>
  <si>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</si>
  <si>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</si>
  <si>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</si>
  <si>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</si>
  <si>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</si>
  <si>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</si>
  <si>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</si>
  <si>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</si>
  <si>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</si>
  <si>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</si>
  <si>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</si>
  <si>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</si>
  <si>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</si>
  <si>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</si>
  <si>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</si>
  <si>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</si>
  <si>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</si>
  <si>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</si>
  <si>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</si>
  <si>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</si>
  <si>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</si>
  <si>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</si>
  <si>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</si>
  <si>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</si>
  <si>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</si>
  <si>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</si>
  <si>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</si>
  <si>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</si>
  <si>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</si>
  <si>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</si>
  <si>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</si>
  <si>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</si>
  <si>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</si>
  <si>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</si>
  <si>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</si>
  <si>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</si>
  <si>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</si>
  <si>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</si>
  <si>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</si>
  <si>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</si>
  <si>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</si>
  <si>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</si>
  <si>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</si>
  <si>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</si>
  <si>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</si>
  <si>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</si>
  <si>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</si>
  <si>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</si>
  <si>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</si>
  <si>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</si>
  <si>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</si>
  <si>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</si>
  <si>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</si>
  <si>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</si>
  <si>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</si>
  <si>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</si>
  <si>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</si>
  <si>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</si>
  <si>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</si>
  <si>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</si>
  <si>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</si>
  <si>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</si>
  <si>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</si>
  <si>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</si>
  <si>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</si>
  <si>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</si>
  <si>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</si>
  <si>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</si>
  <si>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</si>
  <si>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</si>
  <si>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</si>
  <si>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</si>
  <si>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</si>
  <si>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</si>
  <si>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</si>
  <si>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</si>
  <si>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</si>
  <si>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</si>
  <si>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</si>
  <si>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</si>
  <si>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</si>
  <si>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</si>
  <si>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</si>
  <si>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</si>
  <si>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</si>
  <si>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</si>
  <si>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</si>
  <si>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</si>
  <si>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</si>
  <si>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</si>
  <si>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</si>
  <si>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</si>
  <si>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</si>
  <si>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</si>
  <si>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</si>
  <si>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</si>
  <si>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</si>
  <si>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</si>
  <si>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</si>
  <si>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</si>
  <si>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</si>
  <si>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</si>
  <si>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</si>
  <si>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</si>
  <si>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</si>
  <si>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</si>
  <si>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</si>
  <si>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</si>
  <si>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</si>
  <si>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</si>
  <si>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</si>
  <si>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</si>
  <si>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</si>
  <si>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</si>
  <si>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</si>
  <si>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</si>
  <si>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</si>
  <si>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</si>
  <si>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</si>
  <si>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</si>
  <si>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</si>
  <si>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</si>
  <si>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</si>
  <si>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</si>
  <si>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</si>
  <si>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</si>
  <si>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</si>
  <si>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</si>
  <si>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</si>
  <si>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</si>
  <si>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</si>
  <si>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</si>
  <si>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</si>
  <si>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</si>
  <si>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</si>
  <si>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</si>
  <si>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</si>
  <si>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</si>
  <si>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</si>
  <si>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</si>
  <si>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</si>
  <si>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</si>
  <si>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</si>
  <si>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</si>
  <si>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</si>
  <si>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</si>
  <si>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</si>
  <si>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</si>
  <si>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</si>
  <si>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</si>
  <si>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</si>
  <si>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</si>
  <si>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</si>
  <si>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</si>
  <si>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</si>
  <si>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</si>
  <si>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</si>
  <si>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</si>
  <si>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</si>
  <si>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</si>
  <si>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</si>
  <si>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</si>
  <si>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</si>
  <si>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</si>
  <si>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</si>
  <si>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</si>
  <si>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</si>
  <si>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</si>
  <si>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</si>
  <si>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</si>
  <si>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</si>
  <si>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</si>
  <si>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</si>
  <si>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</si>
  <si>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</si>
  <si>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</si>
  <si>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</si>
  <si>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</si>
  <si>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</si>
  <si>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</si>
  <si>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</si>
  <si>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</si>
  <si>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</si>
  <si>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</si>
  <si>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</si>
  <si>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</si>
  <si>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</si>
  <si>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</si>
  <si>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</si>
  <si>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</si>
  <si>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</si>
  <si>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</si>
  <si>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</si>
  <si>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</si>
  <si>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</si>
  <si>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</si>
  <si>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</si>
  <si>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</si>
  <si>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</si>
  <si>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</si>
  <si>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</si>
  <si>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</si>
  <si>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</si>
  <si>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</si>
  <si>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</si>
  <si>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</si>
  <si>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</si>
  <si>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</si>
  <si>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</si>
  <si>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</si>
  <si>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</si>
  <si>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</si>
  <si>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</si>
  <si>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</si>
  <si>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</si>
  <si>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</si>
  <si>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</si>
  <si>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</si>
  <si>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</si>
  <si>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</si>
  <si>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</si>
  <si>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</si>
  <si>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</si>
  <si>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</si>
  <si>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</si>
  <si>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</si>
  <si>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</si>
  <si>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</si>
  <si>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</si>
  <si>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</si>
  <si>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</si>
  <si>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</si>
  <si>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</si>
  <si>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</si>
  <si>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</si>
  <si>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</si>
  <si>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</si>
  <si>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</si>
  <si>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</si>
  <si>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</si>
  <si>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</si>
  <si>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</si>
  <si>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</si>
  <si>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</si>
  <si>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</si>
  <si>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</si>
  <si>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</si>
  <si>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</si>
  <si>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</si>
  <si>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</si>
  <si>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</si>
  <si>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</si>
  <si>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</si>
  <si>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</si>
  <si>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</si>
  <si>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</si>
  <si>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</si>
  <si>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</si>
  <si>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</si>
  <si>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</si>
  <si>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</si>
  <si>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</si>
  <si>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</si>
  <si>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</si>
  <si>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</si>
  <si>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</si>
  <si>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</si>
  <si>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</si>
  <si>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</si>
  <si>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</si>
  <si>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</si>
  <si>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</si>
  <si>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</si>
  <si>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</si>
  <si>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</si>
  <si>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</si>
  <si>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</si>
  <si>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</si>
  <si>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</si>
  <si>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</si>
  <si>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</si>
  <si>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</si>
  <si>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</si>
  <si>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</si>
  <si>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</si>
  <si>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</si>
  <si>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</si>
  <si>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</si>
  <si>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</si>
  <si>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</si>
  <si>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</si>
  <si>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</si>
  <si>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</si>
  <si>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</si>
  <si>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</si>
  <si>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</si>
  <si>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</si>
  <si>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</si>
  <si>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</si>
  <si>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</si>
  <si>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</si>
  <si>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</si>
  <si>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</si>
  <si>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</si>
  <si>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</si>
  <si>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</si>
  <si>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</si>
  <si>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</si>
  <si>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</si>
  <si>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</si>
  <si>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</si>
  <si>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</si>
  <si>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</si>
  <si>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</si>
  <si>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</si>
  <si>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</si>
  <si>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</si>
  <si>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</si>
  <si>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</si>
  <si>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</si>
  <si>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</si>
  <si>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</si>
  <si>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</si>
  <si>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</si>
  <si>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</si>
  <si>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</si>
  <si>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</si>
  <si>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</si>
  <si>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</si>
  <si>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</si>
  <si>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</si>
  <si>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</si>
  <si>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</si>
  <si>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</si>
  <si>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</si>
  <si>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</si>
  <si>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</si>
  <si>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</si>
  <si>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</si>
  <si>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</si>
  <si>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</si>
  <si>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</si>
  <si>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</si>
  <si>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</si>
  <si>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</si>
  <si>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</si>
  <si>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</si>
  <si>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</si>
  <si>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</si>
  <si>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</si>
  <si>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</si>
  <si>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</si>
  <si>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</si>
  <si>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</si>
  <si>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</si>
  <si>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</si>
  <si>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</si>
  <si>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</si>
  <si>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</si>
  <si>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</si>
  <si>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</si>
  <si>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</si>
  <si>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</si>
  <si>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</si>
  <si>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</si>
  <si>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</si>
  <si>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</si>
  <si>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</si>
  <si>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</si>
  <si>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</si>
  <si>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</si>
  <si>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</si>
  <si>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</si>
  <si>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</si>
  <si>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</si>
  <si>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</si>
  <si>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</si>
  <si>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</si>
  <si>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</si>
  <si>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</si>
  <si>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</si>
  <si>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</si>
  <si>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</si>
  <si>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</si>
  <si>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</si>
  <si>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</si>
  <si>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</si>
  <si>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</si>
  <si>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</si>
  <si>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</si>
  <si>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</si>
  <si>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</si>
  <si>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</si>
  <si>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</si>
  <si>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</si>
  <si>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</si>
  <si>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</si>
  <si>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</si>
  <si>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</si>
  <si>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</si>
  <si>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</si>
  <si>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</si>
  <si>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</si>
  <si>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</si>
  <si>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</si>
  <si>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</si>
  <si>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</si>
  <si>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</si>
  <si>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</si>
  <si>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</si>
  <si>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</si>
  <si>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</si>
  <si>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</si>
  <si>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</si>
  <si>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</si>
  <si>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</si>
  <si>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</si>
  <si>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</si>
  <si>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</si>
  <si>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</si>
  <si>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</si>
  <si>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</si>
  <si>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</si>
  <si>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</si>
  <si>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</si>
  <si>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</si>
  <si>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</si>
  <si>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</si>
  <si>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</si>
  <si>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</si>
  <si>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</si>
  <si>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</si>
  <si>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</si>
  <si>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</si>
  <si>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</si>
  <si>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</si>
  <si>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</si>
  <si>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</si>
  <si>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</si>
  <si>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</si>
  <si>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</si>
  <si>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</si>
  <si>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</si>
  <si>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</si>
  <si>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</si>
  <si>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</si>
  <si>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</si>
  <si>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</si>
  <si>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</si>
  <si>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</si>
  <si>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</si>
  <si>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</si>
  <si>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</si>
  <si>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</si>
  <si>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</si>
  <si>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</si>
  <si>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</si>
  <si>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</si>
  <si>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</si>
  <si>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</si>
  <si>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</si>
  <si>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</si>
  <si>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</si>
  <si>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</si>
  <si>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</si>
  <si>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</si>
  <si>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</si>
  <si>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</si>
  <si>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</si>
  <si>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</si>
  <si>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</si>
  <si>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</si>
  <si>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</si>
  <si>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</si>
  <si>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</si>
  <si>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</si>
  <si>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</si>
  <si>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</si>
  <si>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</si>
  <si>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</si>
  <si>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</si>
  <si>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</si>
  <si>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</si>
  <si>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</si>
  <si>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</si>
  <si>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</si>
  <si>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</si>
  <si>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</si>
  <si>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</si>
  <si>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</si>
  <si>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</si>
  <si>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</si>
  <si>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</si>
  <si>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</si>
  <si>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</si>
  <si>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</si>
  <si>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</si>
  <si>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</si>
  <si>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</si>
  <si>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</si>
  <si>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</si>
  <si>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</si>
  <si>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</si>
  <si>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</si>
  <si>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</si>
  <si>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</si>
  <si>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</si>
  <si>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</si>
  <si>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</si>
  <si>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</si>
  <si>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</si>
  <si>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</si>
  <si>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</si>
  <si>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</si>
  <si>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</si>
  <si>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</si>
  <si>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</si>
  <si>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</si>
  <si>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</si>
  <si>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</si>
  <si>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</si>
  <si>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</si>
  <si>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</si>
  <si>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</si>
  <si>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</si>
  <si>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</si>
  <si>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</si>
  <si>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</si>
  <si>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</si>
  <si>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</si>
  <si>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</si>
  <si>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</si>
  <si>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</si>
  <si>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</si>
  <si>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</si>
  <si>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</si>
  <si>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</si>
  <si>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</si>
  <si>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</si>
  <si>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</si>
  <si>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</si>
  <si>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</si>
  <si>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</si>
  <si>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</si>
  <si>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</si>
  <si>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</si>
  <si>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</si>
  <si>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</si>
  <si>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</si>
  <si>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</si>
  <si>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</si>
  <si>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</si>
  <si>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</si>
  <si>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</si>
  <si>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</si>
  <si>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</si>
  <si>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</si>
  <si>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</si>
  <si>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</si>
  <si>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</si>
  <si>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</si>
  <si>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</si>
  <si>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</si>
  <si>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</si>
  <si>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</si>
  <si>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</si>
  <si>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</si>
  <si>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</si>
  <si>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</si>
  <si>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</si>
  <si>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</si>
  <si>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</si>
  <si>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</si>
  <si>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</si>
  <si>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</si>
  <si>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</si>
  <si>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</si>
  <si>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</si>
  <si>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</si>
  <si>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</si>
  <si>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</si>
  <si>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</si>
  <si>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</si>
  <si>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</si>
  <si>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</si>
  <si>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</si>
  <si>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</si>
  <si>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</si>
  <si>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</si>
  <si>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</si>
  <si>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</si>
  <si>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</si>
  <si>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</si>
  <si>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</si>
  <si>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</si>
  <si>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</si>
  <si>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</si>
  <si>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</si>
  <si>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</si>
  <si>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</si>
  <si>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</si>
  <si>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</si>
  <si>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</si>
  <si>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</si>
  <si>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</si>
  <si>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</si>
  <si>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</si>
  <si>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</si>
  <si>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</si>
  <si>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</si>
  <si>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</si>
  <si>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</si>
  <si>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</si>
  <si>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</si>
  <si>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</si>
  <si>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</si>
  <si>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</si>
  <si>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</si>
  <si>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</si>
  <si>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</si>
  <si>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</si>
  <si>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</si>
  <si>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</si>
  <si>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</si>
  <si>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</si>
  <si>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</si>
  <si>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</si>
  <si>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</si>
  <si>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</si>
  <si>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</si>
  <si>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</si>
  <si>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</si>
  <si>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</si>
  <si>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</si>
  <si>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</si>
  <si>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</si>
  <si>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</si>
  <si>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</si>
  <si>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</si>
  <si>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</si>
  <si>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</si>
  <si>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</si>
  <si>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</si>
  <si>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</si>
  <si>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</si>
  <si>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</si>
  <si>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</si>
  <si>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</si>
  <si>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</si>
  <si>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</si>
  <si>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</si>
  <si>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</si>
  <si>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</si>
  <si>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</si>
  <si>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</si>
  <si>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</si>
  <si>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</si>
  <si>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</si>
  <si>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</si>
  <si>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</si>
  <si>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</si>
  <si>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</si>
  <si>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</si>
  <si>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</si>
  <si>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</si>
  <si>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</si>
  <si>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</si>
  <si>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</si>
  <si>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</si>
  <si>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</si>
  <si>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</si>
  <si>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</si>
  <si>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</si>
  <si>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</si>
  <si>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</si>
  <si>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</si>
  <si>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</si>
  <si>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</si>
  <si>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</si>
  <si>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</si>
  <si>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</si>
  <si>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</si>
  <si>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</si>
  <si>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</si>
  <si>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</si>
  <si>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</si>
  <si>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</si>
  <si>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</si>
  <si>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</si>
  <si>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</si>
  <si>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</si>
  <si>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</si>
  <si>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</si>
  <si>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</si>
  <si>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</si>
  <si>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</si>
  <si>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</si>
  <si>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</si>
  <si>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</si>
  <si>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</si>
  <si>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</si>
  <si>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</si>
  <si>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</si>
  <si>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</si>
  <si>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</si>
  <si>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</si>
  <si>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</si>
  <si>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</si>
  <si>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</si>
  <si>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</si>
  <si>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</si>
  <si>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</si>
  <si>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</si>
  <si>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</si>
  <si>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</si>
  <si>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</si>
  <si>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</si>
  <si>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</si>
  <si>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</si>
  <si>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</si>
  <si>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</si>
  <si>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</si>
  <si>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</si>
  <si>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</si>
  <si>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</si>
  <si>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</si>
  <si>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</si>
  <si>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</si>
  <si>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</si>
  <si>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</si>
  <si>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</si>
  <si>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</si>
  <si>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</si>
  <si>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</si>
  <si>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</si>
  <si>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</si>
  <si>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</si>
  <si>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</si>
  <si>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</si>
  <si>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</si>
  <si>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</si>
  <si>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</si>
  <si>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</si>
  <si>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</si>
  <si>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</si>
  <si>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</si>
  <si>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</si>
  <si>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</si>
  <si>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</si>
  <si>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</si>
  <si>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</si>
  <si>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</si>
  <si>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</si>
  <si>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</si>
  <si>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</si>
  <si>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</si>
  <si>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</si>
  <si>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</si>
  <si>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</si>
  <si>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</si>
  <si>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</si>
  <si>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</si>
  <si>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</si>
  <si>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</si>
  <si>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</si>
  <si>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</si>
  <si>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</si>
  <si>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</si>
  <si>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</si>
  <si>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</si>
  <si>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</si>
  <si>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</si>
  <si>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</si>
  <si>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</si>
  <si>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</si>
  <si>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</si>
  <si>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</si>
  <si>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</si>
  <si>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</si>
  <si>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</si>
  <si>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</si>
  <si>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</si>
  <si>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</si>
  <si>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</si>
  <si>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</si>
  <si>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</si>
  <si>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</si>
  <si>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</si>
  <si>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</si>
  <si>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</si>
  <si>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</si>
  <si>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</si>
  <si>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</si>
  <si>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</si>
  <si>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</si>
  <si>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</si>
  <si>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</si>
  <si>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</si>
  <si>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</si>
  <si>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</si>
  <si>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</si>
  <si>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</si>
  <si>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</si>
  <si>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</si>
  <si>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</si>
  <si>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</si>
  <si>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</si>
  <si>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</si>
  <si>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</si>
  <si>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</si>
  <si>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</si>
  <si>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</si>
  <si>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</si>
  <si>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</si>
  <si>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</si>
  <si>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</si>
  <si>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</si>
  <si>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</si>
  <si>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</si>
  <si>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</si>
  <si>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</si>
  <si>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</si>
  <si>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</si>
  <si>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</si>
  <si>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</si>
  <si>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</si>
  <si>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</si>
  <si>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</si>
  <si>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</si>
  <si>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</si>
  <si>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</si>
  <si>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</si>
  <si>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</si>
  <si>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</si>
  <si>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</si>
  <si>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</si>
  <si>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</si>
  <si>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</si>
  <si>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</si>
  <si>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</si>
  <si>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</si>
  <si>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</si>
  <si>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</si>
  <si>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</si>
  <si>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</si>
  <si>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</si>
  <si>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</si>
  <si>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</si>
  <si>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</si>
  <si>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</si>
  <si>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</si>
  <si>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</si>
  <si>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</si>
  <si>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</si>
  <si>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</si>
  <si>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</si>
  <si>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</si>
  <si>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</si>
  <si>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</si>
  <si>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</si>
  <si>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</si>
  <si>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</si>
  <si>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</si>
  <si>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</si>
  <si>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</si>
  <si>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</si>
  <si>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</si>
  <si>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</si>
  <si>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</si>
  <si>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</si>
  <si>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</si>
  <si>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</si>
  <si>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</si>
  <si>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</si>
  <si>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</si>
  <si>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</si>
  <si>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</si>
  <si>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</si>
  <si>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</si>
  <si>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</si>
  <si>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</si>
  <si>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</si>
  <si>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</si>
  <si>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</si>
  <si>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</si>
  <si>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</si>
  <si>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</si>
  <si>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</si>
  <si>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</si>
  <si>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</si>
  <si>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</si>
  <si>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</si>
  <si>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</si>
  <si>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</si>
  <si>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</si>
  <si>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</si>
  <si>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</si>
  <si>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</si>
  <si>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</si>
  <si>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</si>
  <si>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</si>
  <si>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</si>
  <si>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</si>
  <si>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</si>
  <si>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</si>
  <si>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</si>
  <si>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</si>
  <si>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</si>
  <si>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</si>
  <si>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</si>
  <si>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</si>
  <si>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</si>
  <si>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</si>
  <si>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</si>
  <si>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</si>
  <si>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</si>
  <si>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</si>
  <si>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</si>
  <si>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</si>
  <si>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</si>
  <si>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</si>
  <si>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</si>
  <si>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</si>
  <si>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</si>
  <si>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</si>
  <si>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</si>
  <si>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</si>
  <si>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</si>
  <si>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</si>
  <si>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</si>
  <si>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</si>
  <si>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</si>
  <si>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</si>
  <si>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</si>
  <si>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</si>
  <si>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</si>
  <si>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</si>
  <si>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</si>
  <si>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</si>
  <si>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</si>
  <si>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</si>
  <si>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</si>
  <si>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</si>
  <si>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</si>
  <si>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</si>
  <si>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</si>
  <si>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</si>
  <si>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</si>
  <si>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</si>
  <si>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</si>
  <si>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</si>
  <si>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</si>
  <si>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</si>
  <si>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</si>
  <si>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</si>
  <si>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</si>
  <si>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</si>
  <si>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</si>
  <si>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</si>
  <si>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</si>
  <si>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</si>
  <si>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</si>
  <si>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</si>
  <si>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</si>
  <si>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</si>
  <si>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</si>
  <si>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</si>
  <si>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</si>
  <si>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</si>
  <si>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</si>
  <si>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</si>
  <si>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</si>
  <si>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</si>
  <si>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</si>
  <si>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</si>
  <si>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</si>
  <si>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</si>
  <si>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</si>
  <si>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</si>
  <si>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</si>
  <si>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</si>
  <si>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</si>
  <si>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</si>
  <si>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</si>
  <si>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</si>
  <si>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</si>
  <si>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</si>
  <si>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</si>
  <si>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</si>
  <si>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</si>
  <si>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</si>
  <si>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</si>
  <si>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</si>
  <si>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</si>
  <si>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</si>
  <si>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</si>
  <si>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</si>
  <si>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</si>
  <si>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</si>
  <si>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</si>
  <si>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</si>
  <si>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</si>
  <si>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</si>
  <si>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</si>
  <si>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</si>
  <si>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</si>
  <si>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</si>
  <si>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</si>
  <si>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</si>
  <si>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</si>
  <si>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</si>
  <si>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</si>
  <si>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</si>
  <si>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</si>
  <si>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</si>
  <si>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</si>
  <si>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</si>
  <si>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</si>
  <si>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</si>
  <si>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</si>
  <si>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</si>
  <si>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</si>
  <si>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</si>
  <si>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</si>
  <si>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</si>
  <si>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</si>
  <si>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</si>
  <si>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</si>
  <si>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</si>
  <si>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</si>
  <si>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</si>
  <si>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</si>
  <si>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</si>
  <si>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</si>
  <si>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</si>
  <si>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</si>
  <si>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</si>
  <si>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</si>
  <si>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</si>
  <si>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</si>
  <si>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</si>
  <si>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</si>
  <si>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</si>
  <si>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</si>
  <si>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</si>
  <si>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</si>
  <si>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</si>
  <si>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</si>
  <si>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</si>
  <si>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</si>
  <si>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</si>
  <si>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</si>
  <si>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</si>
  <si>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</si>
  <si>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</si>
  <si>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</si>
  <si>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</si>
  <si>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</si>
  <si>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</si>
  <si>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</si>
  <si>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</si>
  <si>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</si>
  <si>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</si>
  <si>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</si>
  <si>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</si>
  <si>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</si>
  <si>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</si>
  <si>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</si>
  <si>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</si>
  <si>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</si>
  <si>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</si>
  <si>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</si>
  <si>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</si>
  <si>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</si>
  <si>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</si>
  <si>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</si>
  <si>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</si>
  <si>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</si>
  <si>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</si>
  <si>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</si>
  <si>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</si>
  <si>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</si>
  <si>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</si>
  <si>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[0.366976]</t>
  </si>
  <si>
    <t>0 [0.781440]</t>
  </si>
  <si>
    <t>0 [1.199595]</t>
  </si>
  <si>
    <t>0 [1.586509]</t>
  </si>
  <si>
    <t>0 [1.990911]</t>
  </si>
  <si>
    <t>0 [2.422910]</t>
  </si>
  <si>
    <t>0 [2.813213]</t>
  </si>
  <si>
    <t>0 [3.211049]</t>
  </si>
  <si>
    <t>0 [3.626780]</t>
  </si>
  <si>
    <t>0 [4.020459]</t>
  </si>
  <si>
    <t>0 [4.433476]</t>
  </si>
  <si>
    <t>0 [4.834903]</t>
  </si>
  <si>
    <t>0 [5.261871]</t>
  </si>
  <si>
    <t>0 [5.649178]</t>
  </si>
  <si>
    <t>0 [6.062192]</t>
  </si>
  <si>
    <t>0 [6.462834]</t>
  </si>
  <si>
    <t>0 [6.887528]</t>
  </si>
  <si>
    <t>0 [7.270707]</t>
  </si>
  <si>
    <t>0 [7.681823]</t>
  </si>
  <si>
    <t>0 [8.084235]</t>
  </si>
  <si>
    <t>0 [8.499984]</t>
  </si>
  <si>
    <t>0 [8.910748]</t>
  </si>
  <si>
    <t>0 [9.312539]</t>
  </si>
  <si>
    <t>0 [9.723005]</t>
  </si>
  <si>
    <t>0 [10.120620]</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</si>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</sst>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55.599600000000009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3.4994999999999998</c:v>
                </c:pt>
                <c:pt idx="1">
                  <c:v>2.9229699999999998</c:v>
                </c:pt>
              </c:numCache>
            </c:numRef>
          </c:xVal>
          <c:yVal>
            <c:numRef>
              <c:f>info!$W$2:$W$3</c:f>
              <c:numCache>
                <c:formatCode>0.00</c:formatCode>
                <c:ptCount val="2"/>
                <c:pt idx="0">
                  <c:v>44.467500000000001</c:v>
                </c:pt>
                <c:pt idx="1">
                  <c:v>50.163100000000007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3.5011999999999999</c:v>
                </c:pt>
                <c:pt idx="1">
                  <c:v>2.9480499999999998</c:v>
                </c:pt>
              </c:numCache>
            </c:numRef>
          </c:xVal>
          <c:yVal>
            <c:numRef>
              <c:f>info!$W$15:$W$16</c:f>
              <c:numCache>
                <c:formatCode>0.00_ </c:formatCode>
                <c:ptCount val="2"/>
                <c:pt idx="0">
                  <c:v>44.278500000000001</c:v>
                </c:pt>
                <c:pt idx="1">
                  <c:v>50.291200000000003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3.1945519230769222</c:v>
                </c:pt>
              </c:numCache>
            </c:numRef>
          </c:xVal>
          <c:yVal>
            <c:numRef>
              <c:f>info!$N$9</c:f>
              <c:numCache>
                <c:formatCode>0.0</c:formatCode>
                <c:ptCount val="1"/>
                <c:pt idx="0">
                  <c:v>48.294126923076917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52.679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52.679333333333332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55.599600000000009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3.4994999999999998</c:v>
                </c:pt>
                <c:pt idx="1">
                  <c:v>2.9229699999999998</c:v>
                </c:pt>
              </c:numCache>
            </c:numRef>
          </c:xVal>
          <c:yVal>
            <c:numRef>
              <c:f>info!$W$2:$W$3</c:f>
              <c:numCache>
                <c:formatCode>0.00</c:formatCode>
                <c:ptCount val="2"/>
                <c:pt idx="0">
                  <c:v>44.467500000000001</c:v>
                </c:pt>
                <c:pt idx="1">
                  <c:v>50.163100000000007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3.5011999999999999</c:v>
                </c:pt>
                <c:pt idx="1">
                  <c:v>2.9480499999999998</c:v>
                </c:pt>
              </c:numCache>
            </c:numRef>
          </c:xVal>
          <c:yVal>
            <c:numRef>
              <c:f>info!$W$15:$W$16</c:f>
              <c:numCache>
                <c:formatCode>0.00_ </c:formatCode>
                <c:ptCount val="2"/>
                <c:pt idx="0">
                  <c:v>44.278500000000001</c:v>
                </c:pt>
                <c:pt idx="1">
                  <c:v>50.291200000000003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3.1945519230769222</c:v>
                </c:pt>
              </c:numCache>
            </c:numRef>
          </c:xVal>
          <c:yVal>
            <c:numRef>
              <c:f>info!$N$9</c:f>
              <c:numCache>
                <c:formatCode>0.0</c:formatCode>
                <c:ptCount val="1"/>
                <c:pt idx="0">
                  <c:v>48.294126923076917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52.679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52.679333333333332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FT!$J$2:$J$2000</c:f>
              <c:numCache>
                <c:formatCode>General</c:formatCode>
                <c:ptCount val="1999"/>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3.5011999999999999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3.5011999999999999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3.5011999999999999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3.5011999999999999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3.5011999999999999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3.5011999999999999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3.5011999999999999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3.5011999999999999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3.5011999999999999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3.5011999999999999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3.5011999999999999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3.5011999999999999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3.5011999999999999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3.5011999999999999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3.5011999999999999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3.5011999999999999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3.5011999999999999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3.5011999999999999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3.5011999999999999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3.5011999999999999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3.5011999999999999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3.5011999999999999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3.5011999999999999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3.5011999999999999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FT!$K$2:$K$2000</c:f>
              <c:numCache>
                <c:formatCode>General</c:formatCode>
                <c:ptCount val="1999"/>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44.278500000000001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44.278500000000001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44.278500000000001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44.278500000000001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44.278500000000001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44.278500000000001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44.278500000000001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44.278500000000001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44.278500000000001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44.278500000000001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44.278500000000001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44.278500000000001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44.278500000000001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44.278500000000001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44.278500000000001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44.278500000000001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44.278500000000001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44.278500000000001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44.278500000000001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44.278500000000001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44.278500000000001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44.278500000000001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44.278500000000001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44.278500000000001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FT!$L$2:$L$2000</c:f>
              <c:numCache>
                <c:formatCode>General</c:formatCode>
                <c:ptCount val="1999"/>
                <c:pt idx="0">
                  <c:v>12.646664000913972</c:v>
                </c:pt>
                <c:pt idx="1">
                  <c:v>12.706815259322761</c:v>
                </c:pt>
                <c:pt idx="2">
                  <c:v>12.836554443642035</c:v>
                </c:pt>
                <c:pt idx="3">
                  <c:v>13.004435674095893</c:v>
                </c:pt>
                <c:pt idx="4">
                  <c:v>13.215940792992294</c:v>
                </c:pt>
                <c:pt idx="5">
                  <c:v>13.43537731730741</c:v>
                </c:pt>
                <c:pt idx="6">
                  <c:v>13.696463818442579</c:v>
                </c:pt>
                <c:pt idx="7">
                  <c:v>13.969951564333146</c:v>
                </c:pt>
                <c:pt idx="8">
                  <c:v>14.254967232803557</c:v>
                </c:pt>
                <c:pt idx="9">
                  <c:v>14.548233000830257</c:v>
                </c:pt>
                <c:pt idx="10">
                  <c:v>14.770638858690702</c:v>
                </c:pt>
                <c:pt idx="11">
                  <c:v>14.966496078936713</c:v>
                </c:pt>
                <c:pt idx="12">
                  <c:v>15.133759106557958</c:v>
                </c:pt>
                <c:pt idx="13">
                  <c:v>15.361493548619624</c:v>
                </c:pt>
                <c:pt idx="14">
                  <c:v>15.629352973122325</c:v>
                </c:pt>
                <c:pt idx="15">
                  <c:v>15.945769072058594</c:v>
                </c:pt>
                <c:pt idx="16">
                  <c:v>16.223771428571428</c:v>
                </c:pt>
                <c:pt idx="17">
                  <c:v>16.496770607231721</c:v>
                </c:pt>
                <c:pt idx="18">
                  <c:v>16.747443084775053</c:v>
                </c:pt>
                <c:pt idx="19">
                  <c:v>16.917366739033699</c:v>
                </c:pt>
                <c:pt idx="20">
                  <c:v>17.059140787978496</c:v>
                </c:pt>
                <c:pt idx="21">
                  <c:v>17.138468462632165</c:v>
                </c:pt>
                <c:pt idx="22">
                  <c:v>17.161688282808242</c:v>
                </c:pt>
                <c:pt idx="23">
                  <c:v>17.247520047929097</c:v>
                </c:pt>
                <c:pt idx="24">
                  <c:v>17.368229747225431</c:v>
                </c:pt>
                <c:pt idx="25">
                  <c:v>17.496078089593862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2.0451481487125566E-2</c:v>
                </c:pt>
                <c:pt idx="7">
                  <c:v>0</c:v>
                </c:pt>
                <c:pt idx="8">
                  <c:v>3.0079649299258878E-2</c:v>
                </c:pt>
                <c:pt idx="9">
                  <c:v>0</c:v>
                </c:pt>
                <c:pt idx="10">
                  <c:v>0</c:v>
                </c:pt>
                <c:pt idx="11">
                  <c:v>4.5949467396107953E-2</c:v>
                </c:pt>
                <c:pt idx="12">
                  <c:v>0</c:v>
                </c:pt>
                <c:pt idx="13">
                  <c:v>4.6281474934345208E-2</c:v>
                </c:pt>
                <c:pt idx="14">
                  <c:v>0</c:v>
                </c:pt>
                <c:pt idx="15">
                  <c:v>0</c:v>
                </c:pt>
                <c:pt idx="16">
                  <c:v>2.968125041272357E-2</c:v>
                </c:pt>
                <c:pt idx="17">
                  <c:v>0</c:v>
                </c:pt>
                <c:pt idx="18">
                  <c:v>0</c:v>
                </c:pt>
                <c:pt idx="19">
                  <c:v>4.0836622422700052E-2</c:v>
                </c:pt>
                <c:pt idx="20">
                  <c:v>0</c:v>
                </c:pt>
                <c:pt idx="21">
                  <c:v>5.2855031163804266E-2</c:v>
                </c:pt>
                <c:pt idx="22">
                  <c:v>0</c:v>
                </c:pt>
                <c:pt idx="23">
                  <c:v>0</c:v>
                </c:pt>
                <c:pt idx="24">
                  <c:v>6.4674418250255258E-2</c:v>
                </c:pt>
                <c:pt idx="25">
                  <c:v>0</c:v>
                </c:pt>
                <c:pt idx="26">
                  <c:v>0.11938911832086274</c:v>
                </c:pt>
                <c:pt idx="27">
                  <c:v>0</c:v>
                </c:pt>
                <c:pt idx="28">
                  <c:v>0</c:v>
                </c:pt>
                <c:pt idx="29">
                  <c:v>0.11832645037411806</c:v>
                </c:pt>
                <c:pt idx="30">
                  <c:v>0</c:v>
                </c:pt>
                <c:pt idx="31">
                  <c:v>0.11487379548213732</c:v>
                </c:pt>
                <c:pt idx="32">
                  <c:v>0</c:v>
                </c:pt>
                <c:pt idx="33">
                  <c:v>0</c:v>
                </c:pt>
                <c:pt idx="34">
                  <c:v>0.23180587515175527</c:v>
                </c:pt>
                <c:pt idx="35">
                  <c:v>0</c:v>
                </c:pt>
                <c:pt idx="36">
                  <c:v>0</c:v>
                </c:pt>
                <c:pt idx="37">
                  <c:v>0.3596277614381575</c:v>
                </c:pt>
                <c:pt idx="38">
                  <c:v>0</c:v>
                </c:pt>
                <c:pt idx="39">
                  <c:v>0.34687879388203979</c:v>
                </c:pt>
                <c:pt idx="40">
                  <c:v>0</c:v>
                </c:pt>
                <c:pt idx="41">
                  <c:v>0</c:v>
                </c:pt>
                <c:pt idx="42">
                  <c:v>0.46772831867847181</c:v>
                </c:pt>
                <c:pt idx="43">
                  <c:v>0</c:v>
                </c:pt>
                <c:pt idx="44">
                  <c:v>0.48014558347683417</c:v>
                </c:pt>
                <c:pt idx="45">
                  <c:v>0</c:v>
                </c:pt>
                <c:pt idx="46">
                  <c:v>0</c:v>
                </c:pt>
                <c:pt idx="47">
                  <c:v>0.28486002956370676</c:v>
                </c:pt>
                <c:pt idx="48">
                  <c:v>0</c:v>
                </c:pt>
                <c:pt idx="49">
                  <c:v>0.377290298329295</c:v>
                </c:pt>
                <c:pt idx="50">
                  <c:v>0</c:v>
                </c:pt>
                <c:pt idx="51">
                  <c:v>0</c:v>
                </c:pt>
                <c:pt idx="52">
                  <c:v>0.39468716823374628</c:v>
                </c:pt>
                <c:pt idx="53">
                  <c:v>0</c:v>
                </c:pt>
                <c:pt idx="54">
                  <c:v>0</c:v>
                </c:pt>
                <c:pt idx="55">
                  <c:v>0.51659783707451379</c:v>
                </c:pt>
                <c:pt idx="56">
                  <c:v>0</c:v>
                </c:pt>
                <c:pt idx="57">
                  <c:v>0.62290526914656386</c:v>
                </c:pt>
                <c:pt idx="58">
                  <c:v>0</c:v>
                </c:pt>
                <c:pt idx="59">
                  <c:v>0</c:v>
                </c:pt>
                <c:pt idx="60">
                  <c:v>0.60982510680016055</c:v>
                </c:pt>
                <c:pt idx="61">
                  <c:v>0</c:v>
                </c:pt>
                <c:pt idx="62">
                  <c:v>0.79329279752924631</c:v>
                </c:pt>
                <c:pt idx="63">
                  <c:v>0</c:v>
                </c:pt>
                <c:pt idx="64">
                  <c:v>0</c:v>
                </c:pt>
                <c:pt idx="65">
                  <c:v>0.81951915799312203</c:v>
                </c:pt>
                <c:pt idx="66">
                  <c:v>0</c:v>
                </c:pt>
                <c:pt idx="67">
                  <c:v>0.80717046880317789</c:v>
                </c:pt>
                <c:pt idx="68">
                  <c:v>0</c:v>
                </c:pt>
                <c:pt idx="69">
                  <c:v>0</c:v>
                </c:pt>
                <c:pt idx="70">
                  <c:v>0.80630692410458038</c:v>
                </c:pt>
                <c:pt idx="71">
                  <c:v>0</c:v>
                </c:pt>
                <c:pt idx="72">
                  <c:v>0</c:v>
                </c:pt>
                <c:pt idx="73">
                  <c:v>0.88625592417061605</c:v>
                </c:pt>
                <c:pt idx="74">
                  <c:v>0</c:v>
                </c:pt>
                <c:pt idx="75">
                  <c:v>0.84375936565022369</c:v>
                </c:pt>
                <c:pt idx="76">
                  <c:v>0</c:v>
                </c:pt>
                <c:pt idx="77">
                  <c:v>0</c:v>
                </c:pt>
                <c:pt idx="78">
                  <c:v>1</c:v>
                </c:pt>
                <c:pt idx="79">
                  <c:v>0</c:v>
                </c:pt>
                <c:pt idx="80">
                  <c:v>0.96965402335634421</c:v>
                </c:pt>
                <c:pt idx="81">
                  <c:v>0</c:v>
                </c:pt>
                <c:pt idx="82">
                  <c:v>0</c:v>
                </c:pt>
                <c:pt idx="83">
                  <c:v>0.94289429704921701</c:v>
                </c:pt>
                <c:pt idx="84">
                  <c:v>0</c:v>
                </c:pt>
                <c:pt idx="85">
                  <c:v>0</c:v>
                </c:pt>
                <c:pt idx="86">
                  <c:v>0.90471546202181219</c:v>
                </c:pt>
                <c:pt idx="87">
                  <c:v>0</c:v>
                </c:pt>
                <c:pt idx="88">
                  <c:v>0.92861533147417241</c:v>
                </c:pt>
                <c:pt idx="89">
                  <c:v>0</c:v>
                </c:pt>
                <c:pt idx="90">
                  <c:v>0</c:v>
                </c:pt>
                <c:pt idx="91">
                  <c:v>0.82709295296729191</c:v>
                </c:pt>
                <c:pt idx="92">
                  <c:v>0</c:v>
                </c:pt>
                <c:pt idx="93">
                  <c:v>0.79867217303403892</c:v>
                </c:pt>
                <c:pt idx="94">
                  <c:v>0</c:v>
                </c:pt>
                <c:pt idx="95">
                  <c:v>0</c:v>
                </c:pt>
                <c:pt idx="96">
                  <c:v>0.74720998867232546</c:v>
                </c:pt>
                <c:pt idx="97">
                  <c:v>0</c:v>
                </c:pt>
                <c:pt idx="98">
                  <c:v>0.74880500652738202</c:v>
                </c:pt>
                <c:pt idx="99">
                  <c:v>0</c:v>
                </c:pt>
                <c:pt idx="100">
                  <c:v>0</c:v>
                </c:pt>
                <c:pt idx="101">
                  <c:v>0.8213783189324555</c:v>
                </c:pt>
                <c:pt idx="102">
                  <c:v>0</c:v>
                </c:pt>
                <c:pt idx="103">
                  <c:v>0</c:v>
                </c:pt>
                <c:pt idx="104">
                  <c:v>0.80371629000878786</c:v>
                </c:pt>
                <c:pt idx="105">
                  <c:v>0</c:v>
                </c:pt>
                <c:pt idx="106">
                  <c:v>0.65238770109162214</c:v>
                </c:pt>
                <c:pt idx="107">
                  <c:v>0</c:v>
                </c:pt>
                <c:pt idx="108">
                  <c:v>0</c:v>
                </c:pt>
                <c:pt idx="109">
                  <c:v>0.71420734216180803</c:v>
                </c:pt>
                <c:pt idx="110">
                  <c:v>0</c:v>
                </c:pt>
                <c:pt idx="111">
                  <c:v>0.68087451679594446</c:v>
                </c:pt>
                <c:pt idx="112">
                  <c:v>0</c:v>
                </c:pt>
                <c:pt idx="113">
                  <c:v>0</c:v>
                </c:pt>
                <c:pt idx="114">
                  <c:v>0.7060392252480151</c:v>
                </c:pt>
                <c:pt idx="115">
                  <c:v>0</c:v>
                </c:pt>
                <c:pt idx="116">
                  <c:v>0.58698688935960541</c:v>
                </c:pt>
                <c:pt idx="117">
                  <c:v>0</c:v>
                </c:pt>
                <c:pt idx="118">
                  <c:v>0</c:v>
                </c:pt>
                <c:pt idx="119">
                  <c:v>0.52177910526609883</c:v>
                </c:pt>
                <c:pt idx="120">
                  <c:v>0</c:v>
                </c:pt>
                <c:pt idx="121">
                  <c:v>0</c:v>
                </c:pt>
                <c:pt idx="122">
                  <c:v>0.35106190599554005</c:v>
                </c:pt>
                <c:pt idx="123">
                  <c:v>0</c:v>
                </c:pt>
                <c:pt idx="124">
                  <c:v>0.3389768519224029</c:v>
                </c:pt>
                <c:pt idx="125">
                  <c:v>0</c:v>
                </c:pt>
                <c:pt idx="126">
                  <c:v>0</c:v>
                </c:pt>
                <c:pt idx="127">
                  <c:v>0.20092958046966675</c:v>
                </c:pt>
                <c:pt idx="128">
                  <c:v>0</c:v>
                </c:pt>
                <c:pt idx="129">
                  <c:v>0.13897735988987264</c:v>
                </c:pt>
                <c:pt idx="130">
                  <c:v>0</c:v>
                </c:pt>
                <c:pt idx="131">
                  <c:v>0</c:v>
                </c:pt>
                <c:pt idx="132">
                  <c:v>6.4674418250255258E-2</c:v>
                </c:pt>
                <c:pt idx="133">
                  <c:v>0</c:v>
                </c:pt>
                <c:pt idx="134">
                  <c:v>3.6653357918958872E-2</c:v>
                </c:pt>
                <c:pt idx="135">
                  <c:v>0</c:v>
                </c:pt>
                <c:pt idx="136">
                  <c:v>0</c:v>
                </c:pt>
                <c:pt idx="137">
                  <c:v>6.5471419210313783E-2</c:v>
                </c:pt>
                <c:pt idx="138">
                  <c:v>0</c:v>
                </c:pt>
                <c:pt idx="139">
                  <c:v>0</c:v>
                </c:pt>
                <c:pt idx="140">
                  <c:v>4.2430217968841277E-2</c:v>
                </c:pt>
                <c:pt idx="141">
                  <c:v>0</c:v>
                </c:pt>
                <c:pt idx="142">
                  <c:v>6.5272295962166577E-2</c:v>
                </c:pt>
                <c:pt idx="143">
                  <c:v>0</c:v>
                </c:pt>
                <c:pt idx="144">
                  <c:v>0</c:v>
                </c:pt>
                <c:pt idx="145">
                  <c:v>7.4435521149225609E-2</c:v>
                </c:pt>
                <c:pt idx="146">
                  <c:v>0</c:v>
                </c:pt>
                <c:pt idx="147">
                  <c:v>3.0810055724031431E-2</c:v>
                </c:pt>
                <c:pt idx="148">
                  <c:v>0</c:v>
                </c:pt>
                <c:pt idx="149">
                  <c:v>0</c:v>
                </c:pt>
                <c:pt idx="150">
                  <c:v>6.2417010814627433E-3</c:v>
                </c:pt>
                <c:pt idx="151">
                  <c:v>0</c:v>
                </c:pt>
                <c:pt idx="152">
                  <c:v>6.7728826645941601E-3</c:v>
                </c:pt>
                <c:pt idx="153">
                  <c:v>0</c:v>
                </c:pt>
                <c:pt idx="154">
                  <c:v>0</c:v>
                </c:pt>
                <c:pt idx="155">
                  <c:v>2.3904339566094188E-3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0.97744617524538646</c:v>
                </c:pt>
                <c:pt idx="4">
                  <c:v>0</c:v>
                </c:pt>
                <c:pt idx="5">
                  <c:v>0</c:v>
                </c:pt>
                <c:pt idx="6">
                  <c:v>1</c:v>
                </c:pt>
                <c:pt idx="7">
                  <c:v>0</c:v>
                </c:pt>
                <c:pt idx="8">
                  <c:v>0.83451865942369963</c:v>
                </c:pt>
                <c:pt idx="9">
                  <c:v>0</c:v>
                </c:pt>
                <c:pt idx="10">
                  <c:v>0</c:v>
                </c:pt>
                <c:pt idx="11">
                  <c:v>0.76318297786729716</c:v>
                </c:pt>
                <c:pt idx="12">
                  <c:v>0</c:v>
                </c:pt>
                <c:pt idx="13">
                  <c:v>0.6410493011783287</c:v>
                </c:pt>
                <c:pt idx="14">
                  <c:v>0</c:v>
                </c:pt>
                <c:pt idx="15">
                  <c:v>0</c:v>
                </c:pt>
                <c:pt idx="16">
                  <c:v>0.57835321280861041</c:v>
                </c:pt>
                <c:pt idx="17">
                  <c:v>0</c:v>
                </c:pt>
                <c:pt idx="18">
                  <c:v>0</c:v>
                </c:pt>
                <c:pt idx="19">
                  <c:v>0.47126026929350784</c:v>
                </c:pt>
                <c:pt idx="20">
                  <c:v>0</c:v>
                </c:pt>
                <c:pt idx="21">
                  <c:v>0.38461798951768145</c:v>
                </c:pt>
                <c:pt idx="22">
                  <c:v>0</c:v>
                </c:pt>
                <c:pt idx="23">
                  <c:v>0</c:v>
                </c:pt>
                <c:pt idx="24">
                  <c:v>0.31553042911511181</c:v>
                </c:pt>
                <c:pt idx="25">
                  <c:v>0</c:v>
                </c:pt>
                <c:pt idx="26">
                  <c:v>0.26582512733655622</c:v>
                </c:pt>
                <c:pt idx="27">
                  <c:v>0</c:v>
                </c:pt>
                <c:pt idx="28">
                  <c:v>0</c:v>
                </c:pt>
                <c:pt idx="29">
                  <c:v>0.23805955398471967</c:v>
                </c:pt>
                <c:pt idx="30">
                  <c:v>0</c:v>
                </c:pt>
                <c:pt idx="31">
                  <c:v>0.20304680957562574</c:v>
                </c:pt>
                <c:pt idx="32">
                  <c:v>0</c:v>
                </c:pt>
                <c:pt idx="33">
                  <c:v>0</c:v>
                </c:pt>
                <c:pt idx="34">
                  <c:v>0.18617862221716547</c:v>
                </c:pt>
                <c:pt idx="35">
                  <c:v>0</c:v>
                </c:pt>
                <c:pt idx="36">
                  <c:v>0</c:v>
                </c:pt>
                <c:pt idx="37">
                  <c:v>0.17548431874266057</c:v>
                </c:pt>
                <c:pt idx="38">
                  <c:v>0</c:v>
                </c:pt>
                <c:pt idx="39">
                  <c:v>0.1515043079890401</c:v>
                </c:pt>
                <c:pt idx="40">
                  <c:v>0</c:v>
                </c:pt>
                <c:pt idx="41">
                  <c:v>0</c:v>
                </c:pt>
                <c:pt idx="42">
                  <c:v>0.14072298182997489</c:v>
                </c:pt>
                <c:pt idx="43">
                  <c:v>0</c:v>
                </c:pt>
                <c:pt idx="44">
                  <c:v>0.12893119540664025</c:v>
                </c:pt>
                <c:pt idx="45">
                  <c:v>0</c:v>
                </c:pt>
                <c:pt idx="46">
                  <c:v>0</c:v>
                </c:pt>
                <c:pt idx="47">
                  <c:v>0.12120055266228483</c:v>
                </c:pt>
                <c:pt idx="48">
                  <c:v>0</c:v>
                </c:pt>
                <c:pt idx="49">
                  <c:v>0.11486711794364668</c:v>
                </c:pt>
                <c:pt idx="50">
                  <c:v>0</c:v>
                </c:pt>
                <c:pt idx="51">
                  <c:v>0</c:v>
                </c:pt>
                <c:pt idx="52">
                  <c:v>0.10840315844449007</c:v>
                </c:pt>
                <c:pt idx="53">
                  <c:v>0</c:v>
                </c:pt>
                <c:pt idx="54">
                  <c:v>0</c:v>
                </c:pt>
                <c:pt idx="55">
                  <c:v>0.10594230531009952</c:v>
                </c:pt>
                <c:pt idx="56">
                  <c:v>0</c:v>
                </c:pt>
                <c:pt idx="57">
                  <c:v>0.10061448948150795</c:v>
                </c:pt>
                <c:pt idx="58">
                  <c:v>0</c:v>
                </c:pt>
                <c:pt idx="59">
                  <c:v>0</c:v>
                </c:pt>
                <c:pt idx="60">
                  <c:v>9.5272164324363098E-2</c:v>
                </c:pt>
                <c:pt idx="61">
                  <c:v>0</c:v>
                </c:pt>
                <c:pt idx="62">
                  <c:v>9.0514842867429904E-2</c:v>
                </c:pt>
                <c:pt idx="63">
                  <c:v>0</c:v>
                </c:pt>
                <c:pt idx="64">
                  <c:v>0</c:v>
                </c:pt>
                <c:pt idx="65">
                  <c:v>8.2789030401710872E-2</c:v>
                </c:pt>
                <c:pt idx="66">
                  <c:v>0</c:v>
                </c:pt>
                <c:pt idx="67">
                  <c:v>7.7649761873735651E-2</c:v>
                </c:pt>
                <c:pt idx="68">
                  <c:v>0</c:v>
                </c:pt>
                <c:pt idx="69">
                  <c:v>0</c:v>
                </c:pt>
                <c:pt idx="70">
                  <c:v>7.0151175923012343E-2</c:v>
                </c:pt>
                <c:pt idx="71">
                  <c:v>0</c:v>
                </c:pt>
                <c:pt idx="72">
                  <c:v>0</c:v>
                </c:pt>
                <c:pt idx="73">
                  <c:v>6.1521280278889201E-2</c:v>
                </c:pt>
                <c:pt idx="74">
                  <c:v>0</c:v>
                </c:pt>
                <c:pt idx="75">
                  <c:v>5.5071822711228229E-2</c:v>
                </c:pt>
                <c:pt idx="76">
                  <c:v>0</c:v>
                </c:pt>
                <c:pt idx="77">
                  <c:v>0</c:v>
                </c:pt>
                <c:pt idx="78">
                  <c:v>4.9603799353672477E-2</c:v>
                </c:pt>
                <c:pt idx="79">
                  <c:v>0</c:v>
                </c:pt>
                <c:pt idx="80">
                  <c:v>4.3183345649002808E-2</c:v>
                </c:pt>
                <c:pt idx="81">
                  <c:v>0</c:v>
                </c:pt>
                <c:pt idx="82">
                  <c:v>0</c:v>
                </c:pt>
                <c:pt idx="83">
                  <c:v>3.6743552337143451E-2</c:v>
                </c:pt>
                <c:pt idx="84">
                  <c:v>0</c:v>
                </c:pt>
                <c:pt idx="85">
                  <c:v>0</c:v>
                </c:pt>
                <c:pt idx="86">
                  <c:v>3.0661525114913574E-2</c:v>
                </c:pt>
                <c:pt idx="87">
                  <c:v>0</c:v>
                </c:pt>
                <c:pt idx="88">
                  <c:v>2.6605233905743667E-2</c:v>
                </c:pt>
                <c:pt idx="89">
                  <c:v>0</c:v>
                </c:pt>
                <c:pt idx="90">
                  <c:v>0</c:v>
                </c:pt>
                <c:pt idx="91">
                  <c:v>2.2616625773944434E-2</c:v>
                </c:pt>
                <c:pt idx="92">
                  <c:v>0</c:v>
                </c:pt>
                <c:pt idx="93">
                  <c:v>1.9024459247625223E-2</c:v>
                </c:pt>
                <c:pt idx="94">
                  <c:v>0</c:v>
                </c:pt>
                <c:pt idx="95">
                  <c:v>0</c:v>
                </c:pt>
                <c:pt idx="96">
                  <c:v>1.5693364473515884E-2</c:v>
                </c:pt>
                <c:pt idx="97">
                  <c:v>0</c:v>
                </c:pt>
                <c:pt idx="98">
                  <c:v>1.2362273397935363E-2</c:v>
                </c:pt>
                <c:pt idx="99">
                  <c:v>0</c:v>
                </c:pt>
                <c:pt idx="100">
                  <c:v>0</c:v>
                </c:pt>
                <c:pt idx="101">
                  <c:v>9.5339862195849036E-3</c:v>
                </c:pt>
                <c:pt idx="102">
                  <c:v>0</c:v>
                </c:pt>
                <c:pt idx="103">
                  <c:v>0</c:v>
                </c:pt>
                <c:pt idx="104">
                  <c:v>7.3051972758841057E-3</c:v>
                </c:pt>
                <c:pt idx="105">
                  <c:v>0</c:v>
                </c:pt>
                <c:pt idx="106">
                  <c:v>5.6469027038416695E-3</c:v>
                </c:pt>
                <c:pt idx="107">
                  <c:v>0</c:v>
                </c:pt>
                <c:pt idx="108">
                  <c:v>0</c:v>
                </c:pt>
                <c:pt idx="109">
                  <c:v>4.7331515711071179E-3</c:v>
                </c:pt>
                <c:pt idx="110">
                  <c:v>0</c:v>
                </c:pt>
                <c:pt idx="111">
                  <c:v>3.4664646273794906E-3</c:v>
                </c:pt>
                <c:pt idx="112">
                  <c:v>0</c:v>
                </c:pt>
                <c:pt idx="113">
                  <c:v>0</c:v>
                </c:pt>
                <c:pt idx="114">
                  <c:v>3.0845249533951163E-3</c:v>
                </c:pt>
                <c:pt idx="115">
                  <c:v>0</c:v>
                </c:pt>
                <c:pt idx="116">
                  <c:v>2.2094493365111142E-3</c:v>
                </c:pt>
                <c:pt idx="117">
                  <c:v>0</c:v>
                </c:pt>
                <c:pt idx="118">
                  <c:v>0</c:v>
                </c:pt>
                <c:pt idx="119">
                  <c:v>1.9000304155914413E-3</c:v>
                </c:pt>
                <c:pt idx="120">
                  <c:v>0</c:v>
                </c:pt>
                <c:pt idx="121">
                  <c:v>0</c:v>
                </c:pt>
                <c:pt idx="122">
                  <c:v>1.2038341449933589E-3</c:v>
                </c:pt>
                <c:pt idx="123">
                  <c:v>0</c:v>
                </c:pt>
                <c:pt idx="124">
                  <c:v>1.0201171230134051E-3</c:v>
                </c:pt>
                <c:pt idx="125">
                  <c:v>0</c:v>
                </c:pt>
                <c:pt idx="126">
                  <c:v>0</c:v>
                </c:pt>
                <c:pt idx="127">
                  <c:v>5.3181515727899488E-4</c:v>
                </c:pt>
                <c:pt idx="128">
                  <c:v>0</c:v>
                </c:pt>
                <c:pt idx="129">
                  <c:v>3.6743404395990731E-4</c:v>
                </c:pt>
                <c:pt idx="130">
                  <c:v>0</c:v>
                </c:pt>
                <c:pt idx="131">
                  <c:v>0</c:v>
                </c:pt>
                <c:pt idx="132">
                  <c:v>1.9338867483920471E-4</c:v>
                </c:pt>
                <c:pt idx="133">
                  <c:v>0</c:v>
                </c:pt>
                <c:pt idx="134">
                  <c:v>1.2086792177450295E-4</c:v>
                </c:pt>
                <c:pt idx="135">
                  <c:v>0</c:v>
                </c:pt>
                <c:pt idx="136">
                  <c:v>0</c:v>
                </c:pt>
                <c:pt idx="137">
                  <c:v>1.9338867483920471E-4</c:v>
                </c:pt>
                <c:pt idx="138">
                  <c:v>0</c:v>
                </c:pt>
                <c:pt idx="139">
                  <c:v>0</c:v>
                </c:pt>
                <c:pt idx="140">
                  <c:v>1.2086792177450295E-4</c:v>
                </c:pt>
                <c:pt idx="141">
                  <c:v>0</c:v>
                </c:pt>
                <c:pt idx="142">
                  <c:v>1.6921509048430414E-4</c:v>
                </c:pt>
                <c:pt idx="143">
                  <c:v>0</c:v>
                </c:pt>
                <c:pt idx="144">
                  <c:v>0</c:v>
                </c:pt>
                <c:pt idx="145">
                  <c:v>1.7888304481473714E-4</c:v>
                </c:pt>
                <c:pt idx="146">
                  <c:v>0</c:v>
                </c:pt>
                <c:pt idx="147">
                  <c:v>6.7686775899485275E-5</c:v>
                </c:pt>
                <c:pt idx="148">
                  <c:v>0</c:v>
                </c:pt>
                <c:pt idx="149">
                  <c:v>0</c:v>
                </c:pt>
                <c:pt idx="150">
                  <c:v>1.4505630024467583E-5</c:v>
                </c:pt>
                <c:pt idx="151">
                  <c:v>0</c:v>
                </c:pt>
                <c:pt idx="152">
                  <c:v>1.9339607189684087E-5</c:v>
                </c:pt>
                <c:pt idx="153">
                  <c:v>0</c:v>
                </c:pt>
                <c:pt idx="154">
                  <c:v>0</c:v>
                </c:pt>
                <c:pt idx="155">
                  <c:v>9.6679543304330081E-6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(73.6 , 32.7)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73.611901149114132</c:v>
                </c:pt>
              </c:numCache>
            </c:numRef>
          </c:xVal>
          <c:yVal>
            <c:numRef>
              <c:f>info!$W$20:$W$21</c:f>
              <c:numCache>
                <c:formatCode>General</c:formatCode>
                <c:ptCount val="2"/>
                <c:pt idx="0">
                  <c:v>50</c:v>
                </c:pt>
                <c:pt idx="1">
                  <c:v>32.6956937817138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60.367599999999996</c:v>
                      </c:pt>
                    </c:numCache>
                  </c:numRef>
                </c:xVal>
                <c:yVal>
                  <c:numRef>
                    <c:extLst>
                      <c:ext uri="{02D57815-91ED-43cb-92C2-25804820EDAC}">
                        <c15:formulaRef>
                          <c15:sqref>info!$W$18</c15:sqref>
                        </c15:formulaRef>
                      </c:ext>
                    </c:extLst>
                    <c:numCache>
                      <c:formatCode>General</c:formatCode>
                      <c:ptCount val="1"/>
                      <c:pt idx="0">
                        <c:v>39.931899999999999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(73.6 , 32.7)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73.611901149114132</c:v>
                </c:pt>
              </c:numCache>
            </c:numRef>
          </c:xVal>
          <c:yVal>
            <c:numRef>
              <c:f>info!$W$20:$W$21</c:f>
              <c:numCache>
                <c:formatCode>General</c:formatCode>
                <c:ptCount val="2"/>
                <c:pt idx="0">
                  <c:v>50</c:v>
                </c:pt>
                <c:pt idx="1">
                  <c:v>32.6956937817138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0.54583261904114622</c:v>
                </c:pt>
                <c:pt idx="1">
                  <c:v>0.2674761553727617</c:v>
                </c:pt>
                <c:pt idx="2">
                  <c:v>0.18669122558609219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2.0451481487125566E-2</c:v>
                </c:pt>
                <c:pt idx="7">
                  <c:v>0</c:v>
                </c:pt>
                <c:pt idx="8">
                  <c:v>3.0079649299258878E-2</c:v>
                </c:pt>
                <c:pt idx="9">
                  <c:v>0</c:v>
                </c:pt>
                <c:pt idx="10">
                  <c:v>0</c:v>
                </c:pt>
                <c:pt idx="11">
                  <c:v>4.5949467396107953E-2</c:v>
                </c:pt>
                <c:pt idx="12">
                  <c:v>0</c:v>
                </c:pt>
                <c:pt idx="13">
                  <c:v>4.6281474934345208E-2</c:v>
                </c:pt>
                <c:pt idx="14">
                  <c:v>0</c:v>
                </c:pt>
                <c:pt idx="15">
                  <c:v>0</c:v>
                </c:pt>
                <c:pt idx="16">
                  <c:v>2.968125041272357E-2</c:v>
                </c:pt>
                <c:pt idx="17">
                  <c:v>0</c:v>
                </c:pt>
                <c:pt idx="18">
                  <c:v>0</c:v>
                </c:pt>
                <c:pt idx="19">
                  <c:v>4.0836622422700052E-2</c:v>
                </c:pt>
                <c:pt idx="20">
                  <c:v>0</c:v>
                </c:pt>
                <c:pt idx="21">
                  <c:v>5.2855031163804266E-2</c:v>
                </c:pt>
                <c:pt idx="22">
                  <c:v>0</c:v>
                </c:pt>
                <c:pt idx="23">
                  <c:v>0</c:v>
                </c:pt>
                <c:pt idx="24">
                  <c:v>6.4674418250255258E-2</c:v>
                </c:pt>
                <c:pt idx="25">
                  <c:v>0</c:v>
                </c:pt>
                <c:pt idx="26">
                  <c:v>0.11938911832086274</c:v>
                </c:pt>
                <c:pt idx="27">
                  <c:v>0</c:v>
                </c:pt>
                <c:pt idx="28">
                  <c:v>0</c:v>
                </c:pt>
                <c:pt idx="29">
                  <c:v>0.11832645037411806</c:v>
                </c:pt>
                <c:pt idx="30">
                  <c:v>0</c:v>
                </c:pt>
                <c:pt idx="31">
                  <c:v>0.11487379548213732</c:v>
                </c:pt>
                <c:pt idx="32">
                  <c:v>0</c:v>
                </c:pt>
                <c:pt idx="33">
                  <c:v>0</c:v>
                </c:pt>
                <c:pt idx="34">
                  <c:v>0.23180587515175527</c:v>
                </c:pt>
                <c:pt idx="35">
                  <c:v>0</c:v>
                </c:pt>
                <c:pt idx="36">
                  <c:v>0</c:v>
                </c:pt>
                <c:pt idx="37">
                  <c:v>0.3596277614381575</c:v>
                </c:pt>
                <c:pt idx="38">
                  <c:v>0</c:v>
                </c:pt>
                <c:pt idx="39">
                  <c:v>0.34687879388203979</c:v>
                </c:pt>
                <c:pt idx="40">
                  <c:v>0</c:v>
                </c:pt>
                <c:pt idx="41">
                  <c:v>0</c:v>
                </c:pt>
                <c:pt idx="42">
                  <c:v>0.46772831867847181</c:v>
                </c:pt>
                <c:pt idx="43">
                  <c:v>0</c:v>
                </c:pt>
                <c:pt idx="44">
                  <c:v>0.48014558347683417</c:v>
                </c:pt>
                <c:pt idx="45">
                  <c:v>0</c:v>
                </c:pt>
                <c:pt idx="46">
                  <c:v>0</c:v>
                </c:pt>
                <c:pt idx="47">
                  <c:v>0.28486002956370676</c:v>
                </c:pt>
                <c:pt idx="48">
                  <c:v>0</c:v>
                </c:pt>
                <c:pt idx="49">
                  <c:v>0.377290298329295</c:v>
                </c:pt>
                <c:pt idx="50">
                  <c:v>0</c:v>
                </c:pt>
                <c:pt idx="51">
                  <c:v>0</c:v>
                </c:pt>
                <c:pt idx="52">
                  <c:v>0.39468716823374628</c:v>
                </c:pt>
                <c:pt idx="53">
                  <c:v>0</c:v>
                </c:pt>
                <c:pt idx="54">
                  <c:v>0</c:v>
                </c:pt>
                <c:pt idx="55">
                  <c:v>0.51659783707451379</c:v>
                </c:pt>
                <c:pt idx="56">
                  <c:v>0</c:v>
                </c:pt>
                <c:pt idx="57">
                  <c:v>0.62290526914656386</c:v>
                </c:pt>
                <c:pt idx="58">
                  <c:v>0</c:v>
                </c:pt>
                <c:pt idx="59">
                  <c:v>0</c:v>
                </c:pt>
                <c:pt idx="60">
                  <c:v>0.60982510680016055</c:v>
                </c:pt>
                <c:pt idx="61">
                  <c:v>0</c:v>
                </c:pt>
                <c:pt idx="62">
                  <c:v>0.79329279752924631</c:v>
                </c:pt>
                <c:pt idx="63">
                  <c:v>0</c:v>
                </c:pt>
                <c:pt idx="64">
                  <c:v>0</c:v>
                </c:pt>
                <c:pt idx="65">
                  <c:v>0.81951915799312203</c:v>
                </c:pt>
                <c:pt idx="66">
                  <c:v>0</c:v>
                </c:pt>
                <c:pt idx="67">
                  <c:v>0.80717046880317789</c:v>
                </c:pt>
                <c:pt idx="68">
                  <c:v>0</c:v>
                </c:pt>
                <c:pt idx="69">
                  <c:v>0</c:v>
                </c:pt>
                <c:pt idx="70">
                  <c:v>0.80630692410458038</c:v>
                </c:pt>
                <c:pt idx="71">
                  <c:v>0</c:v>
                </c:pt>
                <c:pt idx="72">
                  <c:v>0</c:v>
                </c:pt>
                <c:pt idx="73">
                  <c:v>0.88625592417061605</c:v>
                </c:pt>
                <c:pt idx="74">
                  <c:v>0</c:v>
                </c:pt>
                <c:pt idx="75">
                  <c:v>0.84375936565022369</c:v>
                </c:pt>
                <c:pt idx="76">
                  <c:v>0</c:v>
                </c:pt>
                <c:pt idx="77">
                  <c:v>0</c:v>
                </c:pt>
                <c:pt idx="78">
                  <c:v>1</c:v>
                </c:pt>
                <c:pt idx="79">
                  <c:v>0</c:v>
                </c:pt>
                <c:pt idx="80">
                  <c:v>0.96965402335634421</c:v>
                </c:pt>
                <c:pt idx="81">
                  <c:v>0</c:v>
                </c:pt>
                <c:pt idx="82">
                  <c:v>0</c:v>
                </c:pt>
                <c:pt idx="83">
                  <c:v>0.94289429704921701</c:v>
                </c:pt>
                <c:pt idx="84">
                  <c:v>0</c:v>
                </c:pt>
                <c:pt idx="85">
                  <c:v>0</c:v>
                </c:pt>
                <c:pt idx="86">
                  <c:v>0.90471546202181219</c:v>
                </c:pt>
                <c:pt idx="87">
                  <c:v>0</c:v>
                </c:pt>
                <c:pt idx="88">
                  <c:v>0.92861533147417241</c:v>
                </c:pt>
                <c:pt idx="89">
                  <c:v>0</c:v>
                </c:pt>
                <c:pt idx="90">
                  <c:v>0</c:v>
                </c:pt>
                <c:pt idx="91">
                  <c:v>0.82709295296729191</c:v>
                </c:pt>
                <c:pt idx="92">
                  <c:v>0</c:v>
                </c:pt>
                <c:pt idx="93">
                  <c:v>0.79867217303403892</c:v>
                </c:pt>
                <c:pt idx="94">
                  <c:v>0</c:v>
                </c:pt>
                <c:pt idx="95">
                  <c:v>0</c:v>
                </c:pt>
                <c:pt idx="96">
                  <c:v>0.74720998867232546</c:v>
                </c:pt>
                <c:pt idx="97">
                  <c:v>0</c:v>
                </c:pt>
                <c:pt idx="98">
                  <c:v>0.74880500652738202</c:v>
                </c:pt>
                <c:pt idx="99">
                  <c:v>0</c:v>
                </c:pt>
                <c:pt idx="100">
                  <c:v>0</c:v>
                </c:pt>
                <c:pt idx="101">
                  <c:v>0.8213783189324555</c:v>
                </c:pt>
                <c:pt idx="102">
                  <c:v>0</c:v>
                </c:pt>
                <c:pt idx="103">
                  <c:v>0</c:v>
                </c:pt>
                <c:pt idx="104">
                  <c:v>0.80371629000878786</c:v>
                </c:pt>
                <c:pt idx="105">
                  <c:v>0</c:v>
                </c:pt>
                <c:pt idx="106">
                  <c:v>0.65238770109162214</c:v>
                </c:pt>
                <c:pt idx="107">
                  <c:v>0</c:v>
                </c:pt>
                <c:pt idx="108">
                  <c:v>0</c:v>
                </c:pt>
                <c:pt idx="109">
                  <c:v>0.71420734216180803</c:v>
                </c:pt>
                <c:pt idx="110">
                  <c:v>0</c:v>
                </c:pt>
                <c:pt idx="111">
                  <c:v>0.68087451679594446</c:v>
                </c:pt>
                <c:pt idx="112">
                  <c:v>0</c:v>
                </c:pt>
                <c:pt idx="113">
                  <c:v>0</c:v>
                </c:pt>
                <c:pt idx="114">
                  <c:v>0.7060392252480151</c:v>
                </c:pt>
                <c:pt idx="115">
                  <c:v>0</c:v>
                </c:pt>
                <c:pt idx="116">
                  <c:v>0.58698688935960541</c:v>
                </c:pt>
                <c:pt idx="117">
                  <c:v>0</c:v>
                </c:pt>
                <c:pt idx="118">
                  <c:v>0</c:v>
                </c:pt>
                <c:pt idx="119">
                  <c:v>0.52177910526609883</c:v>
                </c:pt>
                <c:pt idx="120">
                  <c:v>0</c:v>
                </c:pt>
                <c:pt idx="121">
                  <c:v>0</c:v>
                </c:pt>
                <c:pt idx="122">
                  <c:v>0.35106190599554005</c:v>
                </c:pt>
                <c:pt idx="123">
                  <c:v>0</c:v>
                </c:pt>
                <c:pt idx="124">
                  <c:v>0.3389768519224029</c:v>
                </c:pt>
                <c:pt idx="125">
                  <c:v>0</c:v>
                </c:pt>
                <c:pt idx="126">
                  <c:v>0</c:v>
                </c:pt>
                <c:pt idx="127">
                  <c:v>0.20092958046966675</c:v>
                </c:pt>
                <c:pt idx="128">
                  <c:v>0</c:v>
                </c:pt>
                <c:pt idx="129">
                  <c:v>0.13897735988987264</c:v>
                </c:pt>
                <c:pt idx="130">
                  <c:v>0</c:v>
                </c:pt>
                <c:pt idx="131">
                  <c:v>0</c:v>
                </c:pt>
                <c:pt idx="132">
                  <c:v>6.4674418250255258E-2</c:v>
                </c:pt>
                <c:pt idx="133">
                  <c:v>0</c:v>
                </c:pt>
                <c:pt idx="134">
                  <c:v>3.6653357918958872E-2</c:v>
                </c:pt>
                <c:pt idx="135">
                  <c:v>0</c:v>
                </c:pt>
                <c:pt idx="136">
                  <c:v>0</c:v>
                </c:pt>
                <c:pt idx="137">
                  <c:v>6.5471419210313783E-2</c:v>
                </c:pt>
                <c:pt idx="138">
                  <c:v>0</c:v>
                </c:pt>
                <c:pt idx="139">
                  <c:v>0</c:v>
                </c:pt>
                <c:pt idx="140">
                  <c:v>4.2430217968841277E-2</c:v>
                </c:pt>
                <c:pt idx="141">
                  <c:v>0</c:v>
                </c:pt>
                <c:pt idx="142">
                  <c:v>6.5272295962166577E-2</c:v>
                </c:pt>
                <c:pt idx="143">
                  <c:v>0</c:v>
                </c:pt>
                <c:pt idx="144">
                  <c:v>0</c:v>
                </c:pt>
                <c:pt idx="145">
                  <c:v>7.4435521149225609E-2</c:v>
                </c:pt>
                <c:pt idx="146">
                  <c:v>0</c:v>
                </c:pt>
                <c:pt idx="147">
                  <c:v>3.0810055724031431E-2</c:v>
                </c:pt>
                <c:pt idx="148">
                  <c:v>0</c:v>
                </c:pt>
                <c:pt idx="149">
                  <c:v>0</c:v>
                </c:pt>
                <c:pt idx="150">
                  <c:v>6.2417010814627433E-3</c:v>
                </c:pt>
                <c:pt idx="151">
                  <c:v>0</c:v>
                </c:pt>
                <c:pt idx="152">
                  <c:v>6.7728826645941601E-3</c:v>
                </c:pt>
                <c:pt idx="153">
                  <c:v>0</c:v>
                </c:pt>
                <c:pt idx="154">
                  <c:v>0</c:v>
                </c:pt>
                <c:pt idx="155">
                  <c:v>2.3904339566094188E-3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extLst xmlns:c15="http://schemas.microsoft.com/office/drawing/2012/chart"/>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3.5011999999999999</c:v>
                </c:pt>
              </c:numCache>
            </c:numRef>
          </c:xVal>
          <c:yVal>
            <c:numRef>
              <c:f>[0]!FT_PH01</c:f>
              <c:numCache>
                <c:formatCode>0.00</c:formatCode>
                <c:ptCount val="1"/>
                <c:pt idx="0">
                  <c:v>44.278500000000001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3.5011999999999999</c:v>
                </c:pt>
              </c:numCache>
            </c:numRef>
          </c:xVal>
          <c:yVal>
            <c:numRef>
              <c:f>[0]!FT_PH02</c:f>
              <c:numCache>
                <c:formatCode>0.00</c:formatCode>
                <c:ptCount val="1"/>
                <c:pt idx="0">
                  <c:v>44.278500000000001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3.5011999999999999</c:v>
                </c:pt>
              </c:numCache>
            </c:numRef>
          </c:xVal>
          <c:yVal>
            <c:numRef>
              <c:f>[0]!FT_PH03</c:f>
              <c:numCache>
                <c:formatCode>0.00</c:formatCode>
                <c:ptCount val="1"/>
                <c:pt idx="0">
                  <c:v>44.278500000000001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3.5011999999999999</c:v>
                </c:pt>
              </c:numCache>
            </c:numRef>
          </c:xVal>
          <c:yVal>
            <c:numRef>
              <c:f>[0]!FT_PH04</c:f>
              <c:numCache>
                <c:formatCode>0.00</c:formatCode>
                <c:ptCount val="1"/>
                <c:pt idx="0">
                  <c:v>44.278500000000001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3.5011999999999999</c:v>
                </c:pt>
              </c:numCache>
            </c:numRef>
          </c:xVal>
          <c:yVal>
            <c:numRef>
              <c:f>[0]!FT_PH05</c:f>
              <c:numCache>
                <c:formatCode>0.00</c:formatCode>
                <c:ptCount val="1"/>
                <c:pt idx="0">
                  <c:v>44.278500000000001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3.5011999999999999</c:v>
                </c:pt>
              </c:numCache>
            </c:numRef>
          </c:xVal>
          <c:yVal>
            <c:numRef>
              <c:f>[0]!FT_PH06</c:f>
              <c:numCache>
                <c:formatCode>0.00</c:formatCode>
                <c:ptCount val="1"/>
                <c:pt idx="0">
                  <c:v>44.278500000000001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3.5011999999999999</c:v>
                </c:pt>
              </c:numCache>
            </c:numRef>
          </c:xVal>
          <c:yVal>
            <c:numRef>
              <c:f>[0]!FT_PH07</c:f>
              <c:numCache>
                <c:formatCode>0.00</c:formatCode>
                <c:ptCount val="1"/>
                <c:pt idx="0">
                  <c:v>44.278500000000001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3.5011999999999999</c:v>
                </c:pt>
              </c:numCache>
            </c:numRef>
          </c:xVal>
          <c:yVal>
            <c:numRef>
              <c:f>[0]!FT_PH08</c:f>
              <c:numCache>
                <c:formatCode>0.00</c:formatCode>
                <c:ptCount val="1"/>
                <c:pt idx="0">
                  <c:v>44.278500000000001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3.5011999999999999</c:v>
                </c:pt>
              </c:numCache>
            </c:numRef>
          </c:xVal>
          <c:yVal>
            <c:numRef>
              <c:f>[0]!FT_PH09</c:f>
              <c:numCache>
                <c:formatCode>0.00</c:formatCode>
                <c:ptCount val="1"/>
                <c:pt idx="0">
                  <c:v>44.278500000000001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3.5011999999999999</c:v>
                </c:pt>
              </c:numCache>
            </c:numRef>
          </c:xVal>
          <c:yVal>
            <c:numRef>
              <c:f>[0]!FT_PH10</c:f>
              <c:numCache>
                <c:formatCode>0.00</c:formatCode>
                <c:ptCount val="1"/>
                <c:pt idx="0">
                  <c:v>44.278500000000001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3.5011999999999999</c:v>
                </c:pt>
              </c:numCache>
            </c:numRef>
          </c:xVal>
          <c:yVal>
            <c:numRef>
              <c:f>[0]!FT_PH11</c:f>
              <c:numCache>
                <c:formatCode>0.00</c:formatCode>
                <c:ptCount val="1"/>
                <c:pt idx="0">
                  <c:v>44.278500000000001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3.5011999999999999</c:v>
                </c:pt>
              </c:numCache>
            </c:numRef>
          </c:xVal>
          <c:yVal>
            <c:numRef>
              <c:f>[0]!FT_PH12</c:f>
              <c:numCache>
                <c:formatCode>0.00</c:formatCode>
                <c:ptCount val="1"/>
                <c:pt idx="0">
                  <c:v>44.278500000000001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3.5011999999999999</c:v>
                </c:pt>
              </c:numCache>
            </c:numRef>
          </c:xVal>
          <c:yVal>
            <c:numRef>
              <c:f>[0]!FT_PH13</c:f>
              <c:numCache>
                <c:formatCode>0.00</c:formatCode>
                <c:ptCount val="1"/>
                <c:pt idx="0">
                  <c:v>44.278500000000001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3.5011999999999999</c:v>
                </c:pt>
              </c:numCache>
            </c:numRef>
          </c:xVal>
          <c:yVal>
            <c:numRef>
              <c:f>[0]!FT_PH14</c:f>
              <c:numCache>
                <c:formatCode>0.00</c:formatCode>
                <c:ptCount val="1"/>
                <c:pt idx="0">
                  <c:v>44.278500000000001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3.5011999999999999</c:v>
                </c:pt>
              </c:numCache>
            </c:numRef>
          </c:xVal>
          <c:yVal>
            <c:numRef>
              <c:f>[0]!FT_PH15</c:f>
              <c:numCache>
                <c:formatCode>0.00</c:formatCode>
                <c:ptCount val="1"/>
                <c:pt idx="0">
                  <c:v>44.278500000000001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3.5011999999999999</c:v>
                </c:pt>
              </c:numCache>
            </c:numRef>
          </c:xVal>
          <c:yVal>
            <c:numRef>
              <c:f>[0]!FT_PH16</c:f>
              <c:numCache>
                <c:formatCode>0.00</c:formatCode>
                <c:ptCount val="1"/>
                <c:pt idx="0">
                  <c:v>44.278500000000001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3.5011999999999999</c:v>
                </c:pt>
              </c:numCache>
            </c:numRef>
          </c:xVal>
          <c:yVal>
            <c:numRef>
              <c:f>[0]!FT_PH17</c:f>
              <c:numCache>
                <c:formatCode>0.00</c:formatCode>
                <c:ptCount val="1"/>
                <c:pt idx="0">
                  <c:v>44.278500000000001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3.5011999999999999</c:v>
                </c:pt>
              </c:numCache>
            </c:numRef>
          </c:xVal>
          <c:yVal>
            <c:numRef>
              <c:f>[0]!FT_PH18</c:f>
              <c:numCache>
                <c:formatCode>0.00</c:formatCode>
                <c:ptCount val="1"/>
                <c:pt idx="0">
                  <c:v>44.278500000000001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3.5011999999999999</c:v>
                </c:pt>
              </c:numCache>
            </c:numRef>
          </c:xVal>
          <c:yVal>
            <c:numRef>
              <c:f>[0]!FT_PH19</c:f>
              <c:numCache>
                <c:formatCode>0.00</c:formatCode>
                <c:ptCount val="1"/>
                <c:pt idx="0">
                  <c:v>44.278500000000001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3.5011999999999999</c:v>
                </c:pt>
              </c:numCache>
            </c:numRef>
          </c:xVal>
          <c:yVal>
            <c:numRef>
              <c:f>[0]!FT_PH20</c:f>
              <c:numCache>
                <c:formatCode>0.00</c:formatCode>
                <c:ptCount val="1"/>
                <c:pt idx="0">
                  <c:v>44.278500000000001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3.5011999999999999</c:v>
                </c:pt>
              </c:numCache>
            </c:numRef>
          </c:xVal>
          <c:yVal>
            <c:numRef>
              <c:f>[0]!FT_PH21</c:f>
              <c:numCache>
                <c:formatCode>0.00</c:formatCode>
                <c:ptCount val="1"/>
                <c:pt idx="0">
                  <c:v>44.278500000000001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3.5011999999999999</c:v>
                </c:pt>
              </c:numCache>
            </c:numRef>
          </c:xVal>
          <c:yVal>
            <c:numRef>
              <c:f>[0]!FT_PH22</c:f>
              <c:numCache>
                <c:formatCode>0.00</c:formatCode>
                <c:ptCount val="1"/>
                <c:pt idx="0">
                  <c:v>44.278500000000001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3.5011999999999999</c:v>
                </c:pt>
              </c:numCache>
            </c:numRef>
          </c:xVal>
          <c:yVal>
            <c:numRef>
              <c:f>[0]!FT_PH23</c:f>
              <c:numCache>
                <c:formatCode>0.00</c:formatCode>
                <c:ptCount val="1"/>
                <c:pt idx="0">
                  <c:v>44.278500000000001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3.5011999999999999</c:v>
                </c:pt>
              </c:numCache>
            </c:numRef>
          </c:xVal>
          <c:yVal>
            <c:numRef>
              <c:f>[0]!FT_PH24</c:f>
              <c:numCache>
                <c:formatCode>0.00</c:formatCode>
                <c:ptCount val="1"/>
                <c:pt idx="0">
                  <c:v>44.278500000000001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3.5011999999999999</c:v>
                </c:pt>
              </c:numCache>
            </c:numRef>
          </c:xVal>
          <c:yVal>
            <c:numRef>
              <c:f>info!$H$2</c:f>
              <c:numCache>
                <c:formatCode>0.00</c:formatCode>
                <c:ptCount val="1"/>
                <c:pt idx="0">
                  <c:v>44.278500000000001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7.2672195869718847E-2</c:v>
                </c:pt>
                <c:pt idx="1">
                  <c:v>0.53442036359130618</c:v>
                </c:pt>
                <c:pt idx="2">
                  <c:v>0.39290744053897497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3.5011999999999999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3.5011999999999999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3.5011999999999999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3.5011999999999999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3.5011999999999999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3.5011999999999999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3.5011999999999999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3.5011999999999999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3.5011999999999999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3.5011999999999999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3.5011999999999999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3.5011999999999999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3.5011999999999999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3.5011999999999999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3.5011999999999999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3.5011999999999999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3.5011999999999999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3.5011999999999999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3.5011999999999999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3.5011999999999999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3.5011999999999999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3.5011999999999999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3.5011999999999999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3.5011999999999999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44.278500000000001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44.278500000000001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44.278500000000001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44.278500000000001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44.278500000000001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44.278500000000001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44.278500000000001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44.278500000000001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44.278500000000001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44.278500000000001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44.278500000000001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44.278500000000001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44.278500000000001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44.278500000000001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44.278500000000001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44.278500000000001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44.278500000000001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44.278500000000001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44.278500000000001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44.278500000000001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44.278500000000001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44.278500000000001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44.278500000000001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44.278500000000001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77.44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55.6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1.5803799999999999</c:v>
                </c:pt>
                <c:pt idx="1">
                  <c:v>1.5803799999999999</c:v>
                </c:pt>
                <c:pt idx="2">
                  <c:v>0</c:v>
                </c:pt>
              </c:numCache>
            </c:numRef>
          </c:xVal>
          <c:yVal>
            <c:numRef>
              <c:f>'R4'!$I$5:$I$7</c:f>
              <c:numCache>
                <c:formatCode>0.0_ </c:formatCode>
                <c:ptCount val="3"/>
                <c:pt idx="0">
                  <c:v>0</c:v>
                </c:pt>
                <c:pt idx="1">
                  <c:v>5.1186262476226964E-2</c:v>
                </c:pt>
                <c:pt idx="2">
                  <c:v>5.1186262476226964E-2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19_0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19_0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1F64B81-B187-B876-D4A7-9F109C0A8C3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F361055-8E9B-9308-1F47-2E1C37B34DD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45779.555046296293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45779.555046296293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( 38 , 34 )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0.89449332413481208</v>
      </c>
      <c r="I20" s="862"/>
      <c r="J20" s="311" t="str">
        <f>lang!B174</f>
        <v>정보량</v>
      </c>
      <c r="K20" s="236">
        <f ca="1">info!N9</f>
        <v>48.294126923076917</v>
      </c>
      <c r="L20" s="312" t="str">
        <f>lang!B175</f>
        <v>에너지</v>
      </c>
      <c r="M20" s="863">
        <f ca="1">info!M9</f>
        <v>3.1945519230769222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31.533899999999999</v>
      </c>
      <c r="N32" s="816"/>
      <c r="O32" s="817">
        <f>Measurement!N7</f>
        <v>38.2361</v>
      </c>
      <c r="P32" s="818"/>
      <c r="Q32" s="819">
        <f>Measurement!T7</f>
        <v>46.664400000000001</v>
      </c>
      <c r="R32" s="820"/>
    </row>
    <row r="33" spans="3:18" ht="12.75" customHeight="1">
      <c r="C33" s="77"/>
      <c r="I33" s="502">
        <f>Measurement!L8</f>
        <v>3</v>
      </c>
      <c r="J33" s="139" t="str">
        <f>lang!B15</f>
        <v>스트레스</v>
      </c>
      <c r="K33" s="90" t="s">
        <v>226</v>
      </c>
      <c r="L33" s="504" t="str">
        <f>Measurement!Y8</f>
        <v>보통</v>
      </c>
      <c r="M33" s="792">
        <f>Measurement!R8</f>
        <v>31.223600000000001</v>
      </c>
      <c r="N33" s="793"/>
      <c r="O33" s="806">
        <f>Measurement!N8</f>
        <v>32.200200000000002</v>
      </c>
      <c r="P33" s="807"/>
      <c r="Q33" s="792">
        <f>Measurement!T8</f>
        <v>35.625</v>
      </c>
      <c r="R33" s="808"/>
    </row>
    <row r="34" spans="3:18" ht="12.75" customHeight="1">
      <c r="C34" s="77"/>
      <c r="I34" s="502">
        <f>Measurement!L9</f>
        <v>2</v>
      </c>
      <c r="J34" s="139" t="str">
        <f>lang!B16</f>
        <v>불안</v>
      </c>
      <c r="K34" s="90" t="s">
        <v>227</v>
      </c>
      <c r="L34" s="504" t="str">
        <f>Measurement!Y9</f>
        <v>낮음</v>
      </c>
      <c r="M34" s="792">
        <f>Measurement!R9</f>
        <v>7.2068599999999998</v>
      </c>
      <c r="N34" s="793"/>
      <c r="O34" s="806">
        <f>Measurement!N9</f>
        <v>16.61</v>
      </c>
      <c r="P34" s="807"/>
      <c r="Q34" s="792">
        <f>Measurement!T9</f>
        <v>48.166200000000003</v>
      </c>
      <c r="R34" s="808"/>
    </row>
    <row r="35" spans="3:18" ht="12.75" customHeight="1">
      <c r="C35" s="77"/>
      <c r="I35" s="502">
        <f>Measurement!L10</f>
        <v>3</v>
      </c>
      <c r="J35" s="139" t="str">
        <f>lang!B17</f>
        <v>의심</v>
      </c>
      <c r="K35" s="90" t="s">
        <v>225</v>
      </c>
      <c r="L35" s="504" t="str">
        <f>Measurement!Y10</f>
        <v>보통</v>
      </c>
      <c r="M35" s="792">
        <f>Measurement!R10</f>
        <v>25.615100000000002</v>
      </c>
      <c r="N35" s="793"/>
      <c r="O35" s="806">
        <f>Measurement!N10</f>
        <v>32.001800000000003</v>
      </c>
      <c r="P35" s="807"/>
      <c r="Q35" s="792">
        <f>Measurement!T10</f>
        <v>40.7425</v>
      </c>
      <c r="R35" s="808"/>
    </row>
    <row r="36" spans="3:18" ht="12.75" customHeight="1">
      <c r="C36" s="77"/>
      <c r="I36" s="502">
        <f>Measurement!L11</f>
        <v>4</v>
      </c>
      <c r="J36" s="139" t="str">
        <f>lang!B18</f>
        <v>밸런스</v>
      </c>
      <c r="K36" s="90" t="s">
        <v>2171</v>
      </c>
      <c r="L36" s="504" t="str">
        <f>Measurement!Y11</f>
        <v>높음</v>
      </c>
      <c r="M36" s="792">
        <f>Measurement!R11</f>
        <v>66.603700000000003</v>
      </c>
      <c r="N36" s="793"/>
      <c r="O36" s="806">
        <f>Measurement!N11</f>
        <v>75.607799999999997</v>
      </c>
      <c r="P36" s="807"/>
      <c r="Q36" s="792">
        <f>Measurement!T11</f>
        <v>84.275000000000006</v>
      </c>
      <c r="R36" s="808"/>
    </row>
    <row r="37" spans="3:18" ht="12.75" customHeight="1">
      <c r="C37" s="77"/>
      <c r="I37" s="502">
        <f>Measurement!L12</f>
        <v>3</v>
      </c>
      <c r="J37" s="139" t="str">
        <f>lang!B19</f>
        <v>카리스마</v>
      </c>
      <c r="K37" s="90" t="s">
        <v>229</v>
      </c>
      <c r="L37" s="504" t="str">
        <f>Measurement!Y12</f>
        <v>보통</v>
      </c>
      <c r="M37" s="792">
        <f>Measurement!R12</f>
        <v>68.208500000000001</v>
      </c>
      <c r="N37" s="793"/>
      <c r="O37" s="806">
        <f>Measurement!N12</f>
        <v>71.149600000000007</v>
      </c>
      <c r="P37" s="807"/>
      <c r="Q37" s="792">
        <f>Measurement!T12</f>
        <v>75.065100000000001</v>
      </c>
      <c r="R37" s="808"/>
    </row>
    <row r="38" spans="3:18" ht="12.75" customHeight="1">
      <c r="C38" s="77"/>
      <c r="I38" s="502">
        <f>Measurement!L13</f>
        <v>3</v>
      </c>
      <c r="J38" s="139" t="str">
        <f>lang!B20</f>
        <v>에너지</v>
      </c>
      <c r="K38" s="90" t="s">
        <v>2170</v>
      </c>
      <c r="L38" s="504" t="str">
        <f>Measurement!Y13</f>
        <v>보통</v>
      </c>
      <c r="M38" s="792">
        <f>Measurement!R13</f>
        <v>18.6494</v>
      </c>
      <c r="N38" s="793"/>
      <c r="O38" s="806">
        <f>Measurement!N13</f>
        <v>22.8203</v>
      </c>
      <c r="P38" s="807"/>
      <c r="Q38" s="792">
        <f>Measurement!T13</f>
        <v>23.9693</v>
      </c>
      <c r="R38" s="808"/>
    </row>
    <row r="39" spans="3:18" ht="12.75" customHeight="1">
      <c r="C39" s="77"/>
      <c r="I39" s="502">
        <f>Measurement!L14</f>
        <v>3</v>
      </c>
      <c r="J39" s="139" t="str">
        <f>lang!B21</f>
        <v>자기조절</v>
      </c>
      <c r="K39" s="90" t="s">
        <v>230</v>
      </c>
      <c r="L39" s="504" t="str">
        <f>Measurement!Y14</f>
        <v>보통</v>
      </c>
      <c r="M39" s="792">
        <f>Measurement!R14</f>
        <v>70.466099999999997</v>
      </c>
      <c r="N39" s="793"/>
      <c r="O39" s="806">
        <f>Measurement!N14</f>
        <v>73.361099999999993</v>
      </c>
      <c r="P39" s="807"/>
      <c r="Q39" s="792">
        <f>Measurement!T14</f>
        <v>76.750299999999996</v>
      </c>
      <c r="R39" s="808"/>
    </row>
    <row r="40" spans="3:18" ht="12.75" customHeight="1">
      <c r="C40" s="77"/>
      <c r="I40" s="502">
        <f>Measurement!L15</f>
        <v>3</v>
      </c>
      <c r="J40" s="139" t="str">
        <f>lang!B22</f>
        <v>억제</v>
      </c>
      <c r="K40" s="91" t="s">
        <v>248</v>
      </c>
      <c r="L40" s="504" t="str">
        <f>Measurement!Y15</f>
        <v>보통</v>
      </c>
      <c r="M40" s="792">
        <f>Measurement!R15</f>
        <v>12.571400000000001</v>
      </c>
      <c r="N40" s="793"/>
      <c r="O40" s="806">
        <f>Measurement!N15</f>
        <v>15.1203</v>
      </c>
      <c r="P40" s="807"/>
      <c r="Q40" s="792">
        <f>Measurement!T15</f>
        <v>21.740600000000001</v>
      </c>
      <c r="R40" s="808"/>
    </row>
    <row r="41" spans="3:18" ht="12.75" customHeight="1" thickBot="1">
      <c r="C41" s="77"/>
      <c r="I41" s="502">
        <f>Measurement!L16</f>
        <v>3</v>
      </c>
      <c r="J41" s="140" t="str">
        <f>lang!B23</f>
        <v>신경성</v>
      </c>
      <c r="K41" s="92" t="s">
        <v>231</v>
      </c>
      <c r="L41" s="504" t="str">
        <f>Measurement!Y16</f>
        <v>보통</v>
      </c>
      <c r="M41" s="794">
        <f>Measurement!R16</f>
        <v>0.94271499999999997</v>
      </c>
      <c r="N41" s="795"/>
      <c r="O41" s="796">
        <f>Measurement!N16</f>
        <v>26.425899999999999</v>
      </c>
      <c r="P41" s="797"/>
      <c r="Q41" s="794">
        <f>Measurement!T16</f>
        <v>32.2149</v>
      </c>
      <c r="R41" s="798"/>
    </row>
    <row r="42" spans="3:18" ht="29.25" customHeight="1" thickBot="1">
      <c r="C42" s="77"/>
      <c r="I42" s="84"/>
      <c r="J42" s="780" t="str">
        <f>lang!B215</f>
        <v>감정변이도</v>
      </c>
      <c r="K42" s="781"/>
      <c r="L42" s="319" t="str">
        <f>info!V43</f>
        <v>보통</v>
      </c>
      <c r="M42" s="782">
        <f>info!W43</f>
        <v>20.0776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1.5803799999999999</v>
      </c>
      <c r="E44" s="249" t="s">
        <v>1072</v>
      </c>
      <c r="G44" s="289"/>
      <c r="H44" s="289"/>
      <c r="I44" s="290"/>
      <c r="J44" s="802">
        <f>info!$W$36</f>
        <v>55.599600000000009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45779.555046296293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( 38 , 34 )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0.89449332413481208</v>
      </c>
      <c r="I20" s="862"/>
      <c r="J20" s="311" t="str">
        <f>lang!B174</f>
        <v>정보량</v>
      </c>
      <c r="K20" s="236">
        <f ca="1">info!N9</f>
        <v>48.294126923076917</v>
      </c>
      <c r="L20" s="312" t="str">
        <f>lang!B175</f>
        <v>에너지</v>
      </c>
      <c r="M20" s="863">
        <f ca="1">info!M9</f>
        <v>3.1945519230769222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31.533899999999999</v>
      </c>
      <c r="N32" s="816"/>
      <c r="O32" s="817">
        <f>Measurement!N7</f>
        <v>38.2361</v>
      </c>
      <c r="P32" s="818"/>
      <c r="Q32" s="819">
        <f>Measurement!T7</f>
        <v>46.664400000000001</v>
      </c>
      <c r="R32" s="820"/>
    </row>
    <row r="33" spans="3:18" ht="12.75" customHeight="1">
      <c r="C33" s="77"/>
      <c r="I33" s="502">
        <f>Measurement!L8</f>
        <v>3</v>
      </c>
      <c r="J33" s="139" t="str">
        <f>lang!B15</f>
        <v>스트레스</v>
      </c>
      <c r="K33" s="90" t="s">
        <v>226</v>
      </c>
      <c r="L33" s="504" t="str">
        <f>Measurement!Y8</f>
        <v>보통</v>
      </c>
      <c r="M33" s="792">
        <f>Measurement!R8</f>
        <v>31.223600000000001</v>
      </c>
      <c r="N33" s="793"/>
      <c r="O33" s="806">
        <f>Measurement!N8</f>
        <v>32.200200000000002</v>
      </c>
      <c r="P33" s="807"/>
      <c r="Q33" s="792">
        <f>Measurement!T8</f>
        <v>35.625</v>
      </c>
      <c r="R33" s="808"/>
    </row>
    <row r="34" spans="3:18" ht="12.75" customHeight="1">
      <c r="C34" s="77"/>
      <c r="I34" s="502">
        <f>Measurement!L9</f>
        <v>2</v>
      </c>
      <c r="J34" s="139" t="str">
        <f>lang!B16</f>
        <v>불안</v>
      </c>
      <c r="K34" s="90" t="s">
        <v>227</v>
      </c>
      <c r="L34" s="504" t="str">
        <f>Measurement!Y9</f>
        <v>낮음</v>
      </c>
      <c r="M34" s="792">
        <f>Measurement!R9</f>
        <v>7.2068599999999998</v>
      </c>
      <c r="N34" s="793"/>
      <c r="O34" s="806">
        <f>Measurement!N9</f>
        <v>16.61</v>
      </c>
      <c r="P34" s="807"/>
      <c r="Q34" s="792">
        <f>Measurement!T9</f>
        <v>48.166200000000003</v>
      </c>
      <c r="R34" s="808"/>
    </row>
    <row r="35" spans="3:18" ht="12.75" customHeight="1">
      <c r="C35" s="77"/>
      <c r="I35" s="502">
        <f>Measurement!L10</f>
        <v>3</v>
      </c>
      <c r="J35" s="139" t="str">
        <f>lang!B17</f>
        <v>의심</v>
      </c>
      <c r="K35" s="90" t="s">
        <v>225</v>
      </c>
      <c r="L35" s="504" t="str">
        <f>Measurement!Y10</f>
        <v>보통</v>
      </c>
      <c r="M35" s="792">
        <f>Measurement!R10</f>
        <v>25.615100000000002</v>
      </c>
      <c r="N35" s="793"/>
      <c r="O35" s="806">
        <f>Measurement!N10</f>
        <v>32.001800000000003</v>
      </c>
      <c r="P35" s="807"/>
      <c r="Q35" s="792">
        <f>Measurement!T10</f>
        <v>40.7425</v>
      </c>
      <c r="R35" s="808"/>
    </row>
    <row r="36" spans="3:18" ht="12.75" customHeight="1">
      <c r="C36" s="77"/>
      <c r="I36" s="502">
        <f>Measurement!L11</f>
        <v>4</v>
      </c>
      <c r="J36" s="139" t="str">
        <f>lang!B18</f>
        <v>밸런스</v>
      </c>
      <c r="K36" s="90" t="s">
        <v>2171</v>
      </c>
      <c r="L36" s="504" t="str">
        <f>Measurement!Y11</f>
        <v>높음</v>
      </c>
      <c r="M36" s="792">
        <f>Measurement!R11</f>
        <v>66.603700000000003</v>
      </c>
      <c r="N36" s="793"/>
      <c r="O36" s="806">
        <f>Measurement!N11</f>
        <v>75.607799999999997</v>
      </c>
      <c r="P36" s="807"/>
      <c r="Q36" s="792">
        <f>Measurement!T11</f>
        <v>84.275000000000006</v>
      </c>
      <c r="R36" s="808"/>
    </row>
    <row r="37" spans="3:18" ht="12.75" customHeight="1">
      <c r="C37" s="77"/>
      <c r="I37" s="502">
        <f>Measurement!L12</f>
        <v>3</v>
      </c>
      <c r="J37" s="139" t="str">
        <f>lang!B19</f>
        <v>카리스마</v>
      </c>
      <c r="K37" s="90" t="s">
        <v>229</v>
      </c>
      <c r="L37" s="504" t="str">
        <f>Measurement!Y12</f>
        <v>보통</v>
      </c>
      <c r="M37" s="792">
        <f>Measurement!R12</f>
        <v>68.208500000000001</v>
      </c>
      <c r="N37" s="793"/>
      <c r="O37" s="806">
        <f>Measurement!N12</f>
        <v>71.149600000000007</v>
      </c>
      <c r="P37" s="807"/>
      <c r="Q37" s="792">
        <f>Measurement!T12</f>
        <v>75.065100000000001</v>
      </c>
      <c r="R37" s="808"/>
    </row>
    <row r="38" spans="3:18" ht="12.75" customHeight="1">
      <c r="C38" s="77"/>
      <c r="I38" s="502">
        <f>Measurement!L13</f>
        <v>3</v>
      </c>
      <c r="J38" s="139" t="str">
        <f>lang!B20</f>
        <v>에너지</v>
      </c>
      <c r="K38" s="90" t="s">
        <v>2170</v>
      </c>
      <c r="L38" s="504" t="str">
        <f>Measurement!Y13</f>
        <v>보통</v>
      </c>
      <c r="M38" s="792">
        <f>Measurement!R13</f>
        <v>18.6494</v>
      </c>
      <c r="N38" s="793"/>
      <c r="O38" s="806">
        <f>Measurement!N13</f>
        <v>22.8203</v>
      </c>
      <c r="P38" s="807"/>
      <c r="Q38" s="792">
        <f>Measurement!T13</f>
        <v>23.9693</v>
      </c>
      <c r="R38" s="808"/>
    </row>
    <row r="39" spans="3:18" ht="12.75" customHeight="1">
      <c r="C39" s="77"/>
      <c r="I39" s="502">
        <f>Measurement!L14</f>
        <v>3</v>
      </c>
      <c r="J39" s="139" t="str">
        <f>lang!B21</f>
        <v>자기조절</v>
      </c>
      <c r="K39" s="90" t="s">
        <v>230</v>
      </c>
      <c r="L39" s="504" t="str">
        <f>Measurement!Y14</f>
        <v>보통</v>
      </c>
      <c r="M39" s="792">
        <f>Measurement!R14</f>
        <v>70.466099999999997</v>
      </c>
      <c r="N39" s="793"/>
      <c r="O39" s="806">
        <f>Measurement!N14</f>
        <v>73.361099999999993</v>
      </c>
      <c r="P39" s="807"/>
      <c r="Q39" s="792">
        <f>Measurement!T14</f>
        <v>76.750299999999996</v>
      </c>
      <c r="R39" s="808"/>
    </row>
    <row r="40" spans="3:18" ht="12.75" customHeight="1">
      <c r="C40" s="77"/>
      <c r="I40" s="502">
        <f>Measurement!L15</f>
        <v>3</v>
      </c>
      <c r="J40" s="139" t="str">
        <f>lang!B22</f>
        <v>억제</v>
      </c>
      <c r="K40" s="91" t="s">
        <v>248</v>
      </c>
      <c r="L40" s="504" t="str">
        <f>Measurement!Y15</f>
        <v>보통</v>
      </c>
      <c r="M40" s="792">
        <f>Measurement!R15</f>
        <v>12.571400000000001</v>
      </c>
      <c r="N40" s="793"/>
      <c r="O40" s="806">
        <f>Measurement!N15</f>
        <v>15.1203</v>
      </c>
      <c r="P40" s="807"/>
      <c r="Q40" s="792">
        <f>Measurement!T15</f>
        <v>21.740600000000001</v>
      </c>
      <c r="R40" s="808"/>
    </row>
    <row r="41" spans="3:18" ht="12.75" customHeight="1" thickBot="1">
      <c r="C41" s="77"/>
      <c r="I41" s="502">
        <f>Measurement!L16</f>
        <v>3</v>
      </c>
      <c r="J41" s="140" t="str">
        <f>lang!B23</f>
        <v>신경성</v>
      </c>
      <c r="K41" s="92" t="s">
        <v>231</v>
      </c>
      <c r="L41" s="504" t="str">
        <f>Measurement!Y16</f>
        <v>보통</v>
      </c>
      <c r="M41" s="794">
        <f>Measurement!R16</f>
        <v>0.94271499999999997</v>
      </c>
      <c r="N41" s="795"/>
      <c r="O41" s="796">
        <f>Measurement!N16</f>
        <v>26.425899999999999</v>
      </c>
      <c r="P41" s="797"/>
      <c r="Q41" s="794">
        <f>Measurement!T16</f>
        <v>32.2149</v>
      </c>
      <c r="R41" s="798"/>
    </row>
    <row r="42" spans="3:18" ht="29.25" customHeight="1" thickBot="1">
      <c r="C42" s="77"/>
      <c r="I42" s="84"/>
      <c r="J42" s="780" t="str">
        <f>lang!B215</f>
        <v>감정변이도</v>
      </c>
      <c r="K42" s="781"/>
      <c r="L42" s="319" t="str">
        <f>info!V43</f>
        <v>보통</v>
      </c>
      <c r="M42" s="782">
        <f>info!W43</f>
        <v>20.0776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1.5803799999999999</v>
      </c>
      <c r="E44" s="249" t="s">
        <v>1195</v>
      </c>
      <c r="G44" s="289"/>
      <c r="H44" s="289"/>
      <c r="I44" s="290"/>
      <c r="J44" s="802">
        <f>info!$W$36</f>
        <v>55.599600000000009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45779.555046296293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(-0.11,-0.16)</v>
      </c>
      <c r="S18" s="966"/>
      <c r="T18" s="967"/>
    </row>
    <row r="19" spans="2:22" ht="16.5" customHeight="1">
      <c r="C19" s="136" t="str">
        <f>lang!B328</f>
        <v>최소값</v>
      </c>
      <c r="D19" s="105">
        <f ca="1">info!M7</f>
        <v>44.278500000000001</v>
      </c>
      <c r="E19" s="94" t="str">
        <f>lang!B330</f>
        <v>평균값</v>
      </c>
      <c r="F19" s="971">
        <f ca="1">info!N9</f>
        <v>48.294126923076917</v>
      </c>
      <c r="G19" s="972"/>
      <c r="H19" s="912" t="str">
        <f>lang!B329</f>
        <v>최대값</v>
      </c>
      <c r="I19" s="913"/>
      <c r="J19" s="105">
        <f ca="1">info!M8</f>
        <v>50.291200000000003</v>
      </c>
      <c r="K19" s="137" t="str">
        <f>lang!B328</f>
        <v>최소값</v>
      </c>
      <c r="L19" s="105">
        <f ca="1">info!M5</f>
        <v>2.8685</v>
      </c>
      <c r="M19" s="94" t="str">
        <f>lang!B330</f>
        <v>평균값</v>
      </c>
      <c r="N19" s="971">
        <f ca="1">info!M9</f>
        <v>3.1945519230769222</v>
      </c>
      <c r="O19" s="972">
        <f>info!T9</f>
        <v>1</v>
      </c>
      <c r="P19" s="94" t="str">
        <f>lang!B329</f>
        <v>최대값</v>
      </c>
      <c r="Q19" s="105">
        <f ca="1">info!M6</f>
        <v>3.5011999999999999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15.229976539248039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1.5803769999999999</v>
      </c>
      <c r="N47" s="986"/>
      <c r="O47" s="451"/>
      <c r="P47" s="491" t="s">
        <v>1101</v>
      </c>
      <c r="Q47" s="987">
        <f>hist!M3</f>
        <v>0.452372</v>
      </c>
      <c r="R47" s="986"/>
      <c r="S47" s="451"/>
      <c r="T47" s="452"/>
    </row>
    <row r="48" spans="3:20" ht="18" customHeight="1">
      <c r="C48" s="931"/>
      <c r="D48" s="910"/>
      <c r="E48" s="910"/>
      <c r="F48" s="355"/>
      <c r="G48" s="355"/>
      <c r="H48" s="356"/>
      <c r="I48" s="356"/>
      <c r="J48" s="951"/>
      <c r="K48" s="951"/>
      <c r="L48" s="936"/>
      <c r="M48" s="988">
        <f>hist!N2</f>
        <v>0.50285999999999997</v>
      </c>
      <c r="N48" s="989"/>
      <c r="O48" s="451"/>
      <c r="P48" s="491" t="s">
        <v>1102</v>
      </c>
      <c r="Q48" s="986">
        <f>hist!N3</f>
        <v>0.41656500000000002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0.25286799999999998</v>
      </c>
      <c r="N49" s="991"/>
      <c r="O49" s="453"/>
      <c r="P49" s="454" t="s">
        <v>1588</v>
      </c>
      <c r="Q49" s="992">
        <f>hist!O3</f>
        <v>0.17352600000000001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73.611901149114132</v>
      </c>
      <c r="CK4" s="422">
        <f>info!W21</f>
        <v>32.6956937817138</v>
      </c>
      <c r="CL4">
        <f>100-M!B19*100</f>
        <v>39.931899999999999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45779.555046296293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20.0776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10</v>
      </c>
      <c r="CB6" s="220">
        <f t="shared" si="0"/>
        <v>7</v>
      </c>
      <c r="CC6" s="220">
        <f t="shared" si="0"/>
        <v>6</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38.2361</v>
      </c>
      <c r="O7" s="48">
        <f>M!C5*1</f>
        <v>3.6975699999999998</v>
      </c>
      <c r="P7" s="48">
        <f>M!D5*1</f>
        <v>9.6703499999999991</v>
      </c>
      <c r="Q7" s="48">
        <f>M!E5*1</f>
        <v>20</v>
      </c>
      <c r="R7" s="48">
        <f>IF(M!B5="","",M!F5*1)</f>
        <v>31.533899999999999</v>
      </c>
      <c r="S7" s="48">
        <f>M!G5*1</f>
        <v>50</v>
      </c>
      <c r="T7" s="48">
        <f>IF(M!B5="","",M!H5*1)</f>
        <v>46.664400000000001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-0.44036735335130117</v>
      </c>
      <c r="AI7" s="98">
        <v>2.5024862326905418E-2</v>
      </c>
      <c r="AJ7" s="98">
        <v>-7.7313821231156016E-2</v>
      </c>
      <c r="AK7" s="98">
        <v>0.50012525104428274</v>
      </c>
      <c r="AL7" s="98">
        <v>-8.545985269705475E-2</v>
      </c>
      <c r="AM7" s="98">
        <f>$AH7*AI7+$AH8*AI8+$AH9*AI9+$AH10*AI10+$AH11*AI11+$AH12*AI12+$AH13*AI13+$AH14*AI14+$AH15*AI15+$AH16*AI16</f>
        <v>-0.89631294123181204</v>
      </c>
      <c r="AN7" s="98">
        <f t="shared" ref="AN7:AP7" si="2">$AH7*AJ7+$AH8*AJ8+$AH9*AJ9+$AH10*AJ10+$AH11*AJ11+$AH12*AJ12+$AH13*AJ13+$AH14*AJ14+$AH15*AJ15+$AH16*AJ16</f>
        <v>0.93710155459570466</v>
      </c>
      <c r="AO7" s="98">
        <f t="shared" si="2"/>
        <v>-0.35884880558892568</v>
      </c>
      <c r="AP7" s="98">
        <f t="shared" si="2"/>
        <v>1.2323338902108365</v>
      </c>
      <c r="AQ7" s="335">
        <f>IF(SUM(N7:N16)&gt;0, 0.8608*AM7+0.333*AN7+0.104*AO7+1.129*AP7,"")</f>
        <v>0.89449332413481208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38.2361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312.44742923599995</v>
      </c>
      <c r="BL7" s="56">
        <f t="shared" ref="BL7:BT7" si="3">BB7*$AY7+BB8*$AY8+BB9*$AY9+BB10*$AY10+BB11*$AY11+BB12*$AY12+BB13*$AY13+BB14</f>
        <v>312.1260339430001</v>
      </c>
      <c r="BM7" s="56">
        <f t="shared" si="3"/>
        <v>305.88582162600005</v>
      </c>
      <c r="BN7" s="56">
        <f t="shared" si="3"/>
        <v>312.33552685199999</v>
      </c>
      <c r="BO7" s="56">
        <f t="shared" si="3"/>
        <v>308.12223430900008</v>
      </c>
      <c r="BP7" s="56">
        <f t="shared" si="3"/>
        <v>283.07628652699998</v>
      </c>
      <c r="BQ7" s="56">
        <f t="shared" si="3"/>
        <v>304.769902097</v>
      </c>
      <c r="BR7" s="56">
        <f t="shared" si="3"/>
        <v>305.39905492299999</v>
      </c>
      <c r="BS7" s="56">
        <f t="shared" si="3"/>
        <v>300.93460313099996</v>
      </c>
      <c r="BT7" s="56">
        <f t="shared" si="3"/>
        <v>289.895061215</v>
      </c>
      <c r="BU7" s="56">
        <f>EXP(BK7)+EXP(BL7)+EXP(BM7)+EXP(BN7)+EXP(BO7)+EXP(BP7)+EXP(BQ7)+EXP(BR7)+EXP(BS7)+EXP(BT7)</f>
        <v>1.303217741873336E+136</v>
      </c>
      <c r="BV7" s="56">
        <f>IF(SUM($AY$7:$AY$13)&gt;0,EXP(BK7)/$BU$7,"")</f>
        <v>0.37946997463926191</v>
      </c>
      <c r="BW7" s="56">
        <f t="shared" ref="BW7:CE7" si="4">IF(SUM($AY$7:$AY$13)&gt;0,EXP(BL7)/$BU$7,"")</f>
        <v>0.27516754934871585</v>
      </c>
      <c r="BX7" s="56">
        <f t="shared" si="4"/>
        <v>5.3642306197864602E-4</v>
      </c>
      <c r="BY7" s="56">
        <f t="shared" si="4"/>
        <v>0.33929607082879765</v>
      </c>
      <c r="BZ7" s="56">
        <f t="shared" si="4"/>
        <v>5.0207561431978472E-3</v>
      </c>
      <c r="CA7" s="56">
        <f t="shared" si="4"/>
        <v>6.6596623790440631E-14</v>
      </c>
      <c r="CB7" s="56">
        <f t="shared" si="4"/>
        <v>1.7573964595631907E-4</v>
      </c>
      <c r="CC7" s="56">
        <f t="shared" si="4"/>
        <v>3.2969119429219373E-4</v>
      </c>
      <c r="CD7" s="56">
        <f t="shared" si="4"/>
        <v>3.7950768063785172E-6</v>
      </c>
      <c r="CE7" s="56">
        <f t="shared" si="4"/>
        <v>6.0926809007737386E-11</v>
      </c>
      <c r="CF7" s="418" t="s">
        <v>1870</v>
      </c>
      <c r="CG7" s="221">
        <f>IF(SUM($AY$7:$AY$13)&gt;0,HLOOKUP(1,$BV$6:$CE$7,2,FALSE),"")</f>
        <v>0.37946997463926191</v>
      </c>
      <c r="CH7" s="221">
        <f>IF(SUM($AY$7:$AY$13)&gt;0,HLOOKUP(2,$BV$6:$CE$7,2,FALSE),"")</f>
        <v>0.33929607082879765</v>
      </c>
      <c r="CI7" s="425" t="str">
        <f>"( "&amp;IF(CG7&lt;&gt;"",ROUND(CG7*100,0),"")&amp;" , "&amp;IF(CH7&lt;&gt;"",ROUND(CH7*100,0),"")&amp;" )"</f>
        <v>( 38 , 34 )</v>
      </c>
      <c r="CJ7" s="420">
        <f>CG7</f>
        <v>0.37946997463926191</v>
      </c>
      <c r="CK7" s="420">
        <f>CH7</f>
        <v>0.33929607082879765</v>
      </c>
      <c r="CL7" s="425" t="str">
        <f>CI7</f>
        <v>( 38 , 34 )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38.2361</v>
      </c>
      <c r="DJ7" s="265">
        <f>(DI7-$DB7)/$DC7</f>
        <v>0.27799091976672458</v>
      </c>
      <c r="DK7" s="266">
        <f>IF(DH7=1,(DJ7-DF7)^2,0)</f>
        <v>0.75408881179066278</v>
      </c>
      <c r="DL7" s="267">
        <f>IF(DH7=1,(DJ7-DG7)^2,0)</f>
        <v>3.0777168261418866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32.200200000000002</v>
      </c>
      <c r="O8" s="48">
        <f>M!C6*1</f>
        <v>1.3519300000000001</v>
      </c>
      <c r="P8" s="48">
        <f>M!D6*1</f>
        <v>4.1985099999999997</v>
      </c>
      <c r="Q8" s="48">
        <f>M!E6*1</f>
        <v>20</v>
      </c>
      <c r="R8" s="48">
        <f>IF(M!B6="","",M!F6*1)</f>
        <v>31.223600000000001</v>
      </c>
      <c r="S8" s="48">
        <f>M!G6*1</f>
        <v>40</v>
      </c>
      <c r="T8" s="48">
        <f>IF(M!B6="","",M!H6*1)</f>
        <v>35.625</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2.1974333200869598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32.200200000000002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32.200200000000002</v>
      </c>
      <c r="DJ8" s="265">
        <f t="shared" ref="DJ8:DJ14" si="8">(DI8-$DB8)/$DC8</f>
        <v>3.3807498393020586E-3</v>
      </c>
      <c r="DK8" s="273">
        <f t="shared" ref="DK8:DK14" si="9">IF(DH8=1,(DJ8-DF8)^2,0)</f>
        <v>2.2082564562004481</v>
      </c>
      <c r="DL8" s="274">
        <f t="shared" ref="DL8:DL14" si="10">IF(DH8=1,(DJ8-DG8)^2,0)</f>
        <v>7.1888569595946264E-2</v>
      </c>
    </row>
    <row r="9" spans="2:119" s="5" customFormat="1" ht="24.75" customHeight="1" thickBot="1">
      <c r="B9" s="62" t="str">
        <f>CONCATENATE(M7,"
(20 ~ 50)")</f>
        <v>적극/공격성
(20 ~ 50)</v>
      </c>
      <c r="C9" s="63">
        <f>R7</f>
        <v>31.533899999999999</v>
      </c>
      <c r="D9" s="64">
        <f>N7</f>
        <v>38.2361</v>
      </c>
      <c r="E9" s="65">
        <f>T7</f>
        <v>46.664400000000001</v>
      </c>
      <c r="F9" s="65">
        <f>P7</f>
        <v>9.6703499999999991</v>
      </c>
      <c r="G9" s="66" t="str">
        <f>CONCATENATE(M8,"
(20 ~ 40)")</f>
        <v>스트레스
(20 ~ 40)</v>
      </c>
      <c r="H9" s="63">
        <f>R8</f>
        <v>31.223600000000001</v>
      </c>
      <c r="I9" s="67">
        <f>N8</f>
        <v>32.200200000000002</v>
      </c>
      <c r="J9" s="63">
        <f>T8</f>
        <v>35.625</v>
      </c>
      <c r="K9" s="68">
        <f>P8</f>
        <v>4.1985099999999997</v>
      </c>
      <c r="L9" s="1">
        <f>IF(M!B7="","",IF(N9&lt;U9,1,IF(N9&lt;V9,2,IF(N9&lt;W9,3,IF(N9&lt;X9,4,5)))))</f>
        <v>2</v>
      </c>
      <c r="M9" s="162" t="str">
        <f>lang!B16</f>
        <v>불안</v>
      </c>
      <c r="N9" s="48">
        <f>IF(M!B7="","",M!B7*1)</f>
        <v>16.61</v>
      </c>
      <c r="O9" s="48">
        <f>M!C7*1</f>
        <v>16.729199999999999</v>
      </c>
      <c r="P9" s="48">
        <f>M!D7*1</f>
        <v>100.718</v>
      </c>
      <c r="Q9" s="48">
        <f>M!E7*1</f>
        <v>15</v>
      </c>
      <c r="R9" s="48">
        <f>IF(M!B7="","",M!F7*1)</f>
        <v>7.2068599999999998</v>
      </c>
      <c r="S9" s="48">
        <f>M!G7*1</f>
        <v>40</v>
      </c>
      <c r="T9" s="48">
        <f>IF(M!B7="","",M!H7*1)</f>
        <v>48.166200000000003</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-0.91473264797978515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16.61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16.61</v>
      </c>
      <c r="DJ9" s="265">
        <f t="shared" si="8"/>
        <v>-1.6168001463003614</v>
      </c>
      <c r="DK9" s="273">
        <f t="shared" si="9"/>
        <v>0.15889360292261942</v>
      </c>
      <c r="DL9" s="274">
        <f t="shared" si="10"/>
        <v>3.1509260316368186</v>
      </c>
      <c r="DM9"/>
      <c r="DN9"/>
    </row>
    <row r="10" spans="2:119" s="4" customFormat="1" ht="30.3" thickBot="1">
      <c r="B10" s="57" t="str">
        <f>CONCATENATE(M9,"
(15 ~ 40)")</f>
        <v>불안
(15 ~ 40)</v>
      </c>
      <c r="C10" s="17">
        <f>R9</f>
        <v>7.2068599999999998</v>
      </c>
      <c r="D10" s="41">
        <f>N9</f>
        <v>16.61</v>
      </c>
      <c r="E10" s="43">
        <f>T9</f>
        <v>48.166200000000003</v>
      </c>
      <c r="F10" s="43">
        <f>P9</f>
        <v>100.718</v>
      </c>
      <c r="G10" s="59" t="str">
        <f>CONCATENATE(M10,"
(20 ~ 50)")</f>
        <v>의심
(20 ~ 50)</v>
      </c>
      <c r="H10" s="17">
        <f>R10</f>
        <v>25.615100000000002</v>
      </c>
      <c r="I10" s="42">
        <f>N10</f>
        <v>32.001800000000003</v>
      </c>
      <c r="J10" s="17">
        <f>T10</f>
        <v>40.7425</v>
      </c>
      <c r="K10" s="18">
        <f>P10</f>
        <v>18.944700000000001</v>
      </c>
      <c r="L10" s="1">
        <f>IF(M!B8="","",IF(N10&lt;U10,1,IF(N10&lt;V10,2,IF(N10&lt;W10,3,IF(N10&lt;X10,4,5)))))</f>
        <v>3</v>
      </c>
      <c r="M10" s="162" t="str">
        <f>lang!B17</f>
        <v>의심</v>
      </c>
      <c r="N10" s="48">
        <f>IF(M!B8="","",M!B8*1)</f>
        <v>32.001800000000003</v>
      </c>
      <c r="O10" s="48">
        <f>M!C8*1</f>
        <v>6.06264</v>
      </c>
      <c r="P10" s="48">
        <f>M!D8*1</f>
        <v>18.944700000000001</v>
      </c>
      <c r="Q10" s="48">
        <f>M!E8*1</f>
        <v>20</v>
      </c>
      <c r="R10" s="48">
        <f>IF(M!B8="","",M!F8*1)</f>
        <v>25.615100000000002</v>
      </c>
      <c r="S10" s="48">
        <f>M!G8*1</f>
        <v>50</v>
      </c>
      <c r="T10" s="48">
        <f>IF(M!B8="","",M!H8*1)</f>
        <v>40.7425</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0.61354364199351086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75.607799999999997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75.607799999999997</v>
      </c>
      <c r="DJ10" s="265">
        <f t="shared" si="8"/>
        <v>1.086924552028137</v>
      </c>
      <c r="DK10" s="273">
        <f t="shared" si="9"/>
        <v>1.8074065720393115</v>
      </c>
      <c r="DL10" s="274">
        <f t="shared" si="10"/>
        <v>7.0286347183055655</v>
      </c>
      <c r="DM10"/>
      <c r="DN10"/>
    </row>
    <row r="11" spans="2:119" s="4" customFormat="1" ht="24.75" customHeight="1" thickBot="1">
      <c r="B11" s="57" t="str">
        <f>CONCATENATE(M11,"
(50 ~ 100)")</f>
        <v>밸런스
(50 ~ 100)</v>
      </c>
      <c r="C11" s="17">
        <f>R11</f>
        <v>66.603700000000003</v>
      </c>
      <c r="D11" s="42">
        <f>N11</f>
        <v>75.607799999999997</v>
      </c>
      <c r="E11" s="17">
        <f>T11</f>
        <v>84.275000000000006</v>
      </c>
      <c r="F11" s="17">
        <f>P11</f>
        <v>5.8597900000000003</v>
      </c>
      <c r="G11" s="59" t="str">
        <f>CONCATENATE(M12,"
(40 ~ 100)")</f>
        <v>카리스마
(40 ~ 100)</v>
      </c>
      <c r="H11" s="17">
        <f>R12</f>
        <v>68.208500000000001</v>
      </c>
      <c r="I11" s="42">
        <f>N12</f>
        <v>71.149600000000007</v>
      </c>
      <c r="J11" s="17">
        <f>T12</f>
        <v>75.065100000000001</v>
      </c>
      <c r="K11" s="18">
        <f>P12</f>
        <v>2.5774699999999999</v>
      </c>
      <c r="L11" s="1">
        <f>IF(M!B9="","",IF(N11&lt;U11,1,IF(N11&lt;V11,2,IF(N11&lt;W11,3,IF(N11&lt;X11,4,5)))))</f>
        <v>4</v>
      </c>
      <c r="M11" s="162" t="str">
        <f>lang!B18</f>
        <v>밸런스</v>
      </c>
      <c r="N11" s="48">
        <f>IF(M!B9="","",M!B9*1)</f>
        <v>75.607799999999997</v>
      </c>
      <c r="O11" s="48">
        <f>M!C9*1</f>
        <v>4.4304500000000004</v>
      </c>
      <c r="P11" s="48">
        <f>M!D9*1</f>
        <v>5.8597900000000003</v>
      </c>
      <c r="Q11" s="48">
        <f>M!E9*1</f>
        <v>50</v>
      </c>
      <c r="R11" s="48">
        <f>IF(M!B9="","",M!F9*1)</f>
        <v>66.603700000000003</v>
      </c>
      <c r="S11" s="48">
        <f>M!G9*1</f>
        <v>100</v>
      </c>
      <c r="T11" s="48">
        <f>IF(M!B9="","",M!H9*1)</f>
        <v>84.275000000000006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1.0299296144112069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71.149600000000007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71.149600000000007</v>
      </c>
      <c r="DJ11" s="265">
        <f t="shared" si="8"/>
        <v>0.34969210067246637</v>
      </c>
      <c r="DK11" s="273">
        <f t="shared" si="9"/>
        <v>0.43656286514111475</v>
      </c>
      <c r="DL11" s="274">
        <f t="shared" si="10"/>
        <v>0.52716843959259363</v>
      </c>
      <c r="DM11"/>
      <c r="DN11"/>
    </row>
    <row r="12" spans="2:119" s="4" customFormat="1" ht="24.75" customHeight="1" thickBot="1">
      <c r="B12" s="57" t="str">
        <f>CONCATENATE(M13,"
(10 ~ 50)")</f>
        <v>에너지
(10 ~ 50)</v>
      </c>
      <c r="C12" s="17">
        <f>R13</f>
        <v>18.6494</v>
      </c>
      <c r="D12" s="41">
        <f>N13</f>
        <v>22.8203</v>
      </c>
      <c r="E12" s="43">
        <f>T13</f>
        <v>23.9693</v>
      </c>
      <c r="F12" s="43">
        <f>P13</f>
        <v>7.5131699999999997</v>
      </c>
      <c r="G12" s="59" t="str">
        <f>CONCATENATE(M14,"
(50 ~ 100)")</f>
        <v>자기조절
(50 ~ 100)</v>
      </c>
      <c r="H12" s="17">
        <f>R14</f>
        <v>70.466099999999997</v>
      </c>
      <c r="I12" s="42">
        <f>N14</f>
        <v>73.361099999999993</v>
      </c>
      <c r="J12" s="17">
        <f>T14</f>
        <v>76.750299999999996</v>
      </c>
      <c r="K12" s="18">
        <f>P14</f>
        <v>2.2076199999999999</v>
      </c>
      <c r="L12" s="1">
        <f>IF(M!B10="","",IF(N12&lt;U12,1,IF(N12&lt;V12,2,IF(N12&lt;W12,3,IF(N12&lt;X12,4,5)))))</f>
        <v>3</v>
      </c>
      <c r="M12" s="162" t="str">
        <f>lang!B19</f>
        <v>카리스마</v>
      </c>
      <c r="N12" s="48">
        <f>IF(M!B10="","",M!B10*1)</f>
        <v>71.149600000000007</v>
      </c>
      <c r="O12" s="48">
        <f>M!C10*1</f>
        <v>1.83386</v>
      </c>
      <c r="P12" s="48">
        <f>M!D10*1</f>
        <v>2.5774699999999999</v>
      </c>
      <c r="Q12" s="48">
        <f>M!E10*1</f>
        <v>40</v>
      </c>
      <c r="R12" s="48">
        <f>IF(M!B10="","",M!F10*1)</f>
        <v>68.208500000000001</v>
      </c>
      <c r="S12" s="48">
        <f>M!G10*1</f>
        <v>100</v>
      </c>
      <c r="T12" s="48">
        <f>IF(M!B10="","",M!H10*1)</f>
        <v>75.065100000000001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-0.18799159160831283</v>
      </c>
      <c r="AI12" s="98">
        <v>0.31913434649697919</v>
      </c>
      <c r="AJ12" s="98">
        <v>3.8587997439955973E-2</v>
      </c>
      <c r="AK12" s="98">
        <v>1.0272327081707585E-2</v>
      </c>
      <c r="AL12" s="98">
        <v>1.9404033844491575E-2</v>
      </c>
      <c r="AM12" s="101"/>
      <c r="AN12" s="101"/>
      <c r="AO12" s="101"/>
      <c r="AP12" s="101"/>
      <c r="AX12" s="171"/>
      <c r="AY12" s="219">
        <f>N13</f>
        <v>22.8203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22.8203</v>
      </c>
      <c r="DJ12" s="265">
        <f t="shared" si="8"/>
        <v>0.76034226181093068</v>
      </c>
      <c r="DK12" s="273">
        <f t="shared" si="9"/>
        <v>1.271154557301049</v>
      </c>
      <c r="DL12" s="274">
        <f t="shared" si="10"/>
        <v>0.17552850986888871</v>
      </c>
      <c r="DM12"/>
      <c r="DN12"/>
    </row>
    <row r="13" spans="2:119" ht="24.75" customHeight="1" thickBot="1">
      <c r="B13" s="58" t="str">
        <f>CONCATENATE(M15,"
(10 ~ 25)")</f>
        <v>억제
(10 ~ 25)</v>
      </c>
      <c r="C13" s="44">
        <f>R15</f>
        <v>12.571400000000001</v>
      </c>
      <c r="D13" s="45">
        <f>N15</f>
        <v>15.1203</v>
      </c>
      <c r="E13" s="46">
        <f>T15</f>
        <v>21.740600000000001</v>
      </c>
      <c r="F13" s="46">
        <f>P15</f>
        <v>17.4771</v>
      </c>
      <c r="G13" s="60" t="str">
        <f>CONCATENATE(M16,"
(10 ~ 50)")</f>
        <v>신경성
(10 ~ 50)</v>
      </c>
      <c r="H13" s="44">
        <f>R16</f>
        <v>0.94271499999999997</v>
      </c>
      <c r="I13" s="45">
        <f>N16</f>
        <v>26.425899999999999</v>
      </c>
      <c r="J13" s="46">
        <f>T16</f>
        <v>32.2149</v>
      </c>
      <c r="K13" s="47">
        <f>P16</f>
        <v>31.609300000000001</v>
      </c>
      <c r="L13" s="1">
        <f>IF(M!B11="","",IF(N13&lt;U13,1,IF(N13&lt;V13,2,IF(N13&lt;W13,3,IF(N13&lt;X13,4,5)))))</f>
        <v>3</v>
      </c>
      <c r="M13" s="162" t="str">
        <f>lang!B20</f>
        <v>에너지</v>
      </c>
      <c r="N13" s="48">
        <f>IF(M!B11="","",M!B11*1)</f>
        <v>22.8203</v>
      </c>
      <c r="O13" s="48">
        <f>M!C11*1</f>
        <v>1.7145300000000001</v>
      </c>
      <c r="P13" s="48">
        <f>M!D11*1</f>
        <v>7.5131699999999997</v>
      </c>
      <c r="Q13" s="48">
        <f>M!E11*1</f>
        <v>10</v>
      </c>
      <c r="R13" s="48">
        <f>IF(M!B11="","",M!F11*1)</f>
        <v>18.6494</v>
      </c>
      <c r="S13" s="48">
        <f>M!G11*1</f>
        <v>50</v>
      </c>
      <c r="T13" s="48">
        <f>IF(M!B11="","",M!H11*1)</f>
        <v>23.9693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-0.44675605156698428</v>
      </c>
      <c r="AI13" s="98">
        <v>0.16093442074971984</v>
      </c>
      <c r="AJ13" s="98">
        <v>-1.0988594420247608E-2</v>
      </c>
      <c r="AK13" s="98">
        <v>0.37151940745754808</v>
      </c>
      <c r="AL13" s="98">
        <v>8.9062029657998948E-2</v>
      </c>
      <c r="AM13" s="96"/>
      <c r="AN13" s="96"/>
      <c r="AO13" s="96"/>
      <c r="AP13" s="96"/>
      <c r="AX13" s="171"/>
      <c r="AY13" s="219">
        <f>info!W36</f>
        <v>55.599600000000009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26.425899999999999</v>
      </c>
      <c r="DJ13" s="265">
        <f t="shared" si="8"/>
        <v>-0.25750658721622305</v>
      </c>
      <c r="DK13" s="273">
        <f>IF(DH13=1,(DJ13-DF13)^2,0)</f>
        <v>0.48628408225229131</v>
      </c>
      <c r="DL13" s="274">
        <f t="shared" si="10"/>
        <v>1.2190947613908714E-2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73.361099999999993</v>
      </c>
      <c r="O14" s="48">
        <f>M!C12*1</f>
        <v>1.6195299999999999</v>
      </c>
      <c r="P14" s="48">
        <f>M!D12*1</f>
        <v>2.2076199999999999</v>
      </c>
      <c r="Q14" s="48">
        <f>M!E12*1</f>
        <v>50</v>
      </c>
      <c r="R14" s="48">
        <f>IF(M!B12="","",M!F12*1)</f>
        <v>70.466099999999997</v>
      </c>
      <c r="S14" s="48">
        <f>M!G12*1</f>
        <v>100</v>
      </c>
      <c r="T14" s="48">
        <f>IF(M!B12="","",M!H12*1)</f>
        <v>76.750299999999996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0.5004199490749498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60.367599999999996</v>
      </c>
      <c r="DJ14" s="265">
        <f t="shared" si="8"/>
        <v>0.39640372578910021</v>
      </c>
      <c r="DK14" s="279">
        <f t="shared" si="9"/>
        <v>0.21721405032641131</v>
      </c>
      <c r="DL14" s="280">
        <f t="shared" si="10"/>
        <v>6.4311277914580804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15.1203</v>
      </c>
      <c r="O15" s="48">
        <f>M!C13*1</f>
        <v>2.6425900000000002</v>
      </c>
      <c r="P15" s="48">
        <f>M!D13*1</f>
        <v>17.4771</v>
      </c>
      <c r="Q15" s="48">
        <f>M!E13*1</f>
        <v>10</v>
      </c>
      <c r="R15" s="48">
        <f>IF(M!B13="","",M!F13*1)</f>
        <v>12.571400000000001</v>
      </c>
      <c r="S15" s="48">
        <f>M!G13*1</f>
        <v>25</v>
      </c>
      <c r="T15" s="48">
        <f>IF(M!B13="","",M!H13*1)</f>
        <v>21.740600000000001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-1.4964855429796957</v>
      </c>
      <c r="AI15" s="98">
        <v>-8.3250321124619289E-2</v>
      </c>
      <c r="AJ15" s="98">
        <v>-0.44690513063775733</v>
      </c>
      <c r="AK15" s="98">
        <v>0.12052818186953573</v>
      </c>
      <c r="AL15" s="98">
        <v>-2.4174505446491225E-2</v>
      </c>
      <c r="AM15" s="96"/>
      <c r="AN15" s="96"/>
      <c r="AO15" s="96"/>
      <c r="AP15" s="96"/>
      <c r="AX15" s="171"/>
      <c r="AY15" s="50">
        <f>SUM(AY7:AY14)</f>
        <v>312.22359999999998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7.3398609979739087</v>
      </c>
      <c r="DL15" s="281">
        <f>IF(SUM($DI$7:$DI$14)&gt;0,SUM(DL7:DL14),0)</f>
        <v>20.475181834213689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26.425899999999999</v>
      </c>
      <c r="O16" s="48">
        <f>M!C14*1</f>
        <v>8.35304</v>
      </c>
      <c r="P16" s="48">
        <f>M!D14*1</f>
        <v>31.609300000000001</v>
      </c>
      <c r="Q16" s="48">
        <f>M!E14*1</f>
        <v>10</v>
      </c>
      <c r="R16" s="48">
        <f>IF(M!B14="","",M!F14*1)</f>
        <v>0.94271499999999997</v>
      </c>
      <c r="S16" s="48">
        <f>M!G14*1</f>
        <v>50</v>
      </c>
      <c r="T16" s="48">
        <f>IF(M!B14="","",M!H14*1)</f>
        <v>32.2149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-1.2579479446763635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0.13624236212048696</v>
      </c>
      <c r="DL16" s="281">
        <f>IF(DL15&gt;0,1/DL15,0)</f>
        <v>4.8839615105591719E-2</v>
      </c>
      <c r="DM16" t="s">
        <v>1207</v>
      </c>
    </row>
    <row r="17" spans="2:117" ht="21" customHeight="1" thickBot="1">
      <c r="B17" s="20"/>
      <c r="C17"/>
      <c r="D17"/>
      <c r="E17"/>
      <c r="F17"/>
      <c r="G17" s="1071"/>
      <c r="H17" s="827"/>
      <c r="I17" s="827"/>
      <c r="J17" s="827"/>
      <c r="K17" s="828"/>
      <c r="M17" s="163" t="str">
        <f>lang!B7</f>
        <v>긍정감정</v>
      </c>
      <c r="N17" s="54">
        <f>SUM(N11:N14)/4</f>
        <v>60.734700000000004</v>
      </c>
      <c r="O17" s="16">
        <f>N17/(N17+N18+N19)</f>
        <v>0.54583261904114622</v>
      </c>
      <c r="P17" s="54">
        <f>SUM(P11:P14)/4</f>
        <v>4.5395124999999998</v>
      </c>
      <c r="Q17" s="16">
        <f>P17/(P17+P18+P19)</f>
        <v>7.2672195869718847E-2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0.73611901149114134</v>
      </c>
      <c r="DL17" s="283"/>
      <c r="DM17" s="284" t="s">
        <v>1208</v>
      </c>
    </row>
    <row r="18" spans="2:117" ht="21" customHeight="1">
      <c r="B18" s="20"/>
      <c r="C18"/>
      <c r="D18"/>
      <c r="E18"/>
      <c r="F18"/>
      <c r="G18" s="1071"/>
      <c r="H18" s="827"/>
      <c r="I18" s="827"/>
      <c r="J18" s="827"/>
      <c r="K18" s="828"/>
      <c r="M18" s="163" t="str">
        <f>lang!B8</f>
        <v>부정감정</v>
      </c>
      <c r="N18" s="14">
        <f>SUM(N7:N10)/4</f>
        <v>29.762025000000001</v>
      </c>
      <c r="O18" s="16">
        <f>N18/(N17+N18+N19)</f>
        <v>0.2674761553727617</v>
      </c>
      <c r="P18" s="14">
        <f>SUM(P7:P10)/4</f>
        <v>33.382890000000003</v>
      </c>
      <c r="Q18" s="16">
        <f>P18/(P17+P18+P19)</f>
        <v>0.53442036359130618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20.773099999999999</v>
      </c>
      <c r="O19" s="16">
        <f>N19/(N17+N18+N19)</f>
        <v>0.18669122558609219</v>
      </c>
      <c r="P19" s="14">
        <f>(P15+P16)/2</f>
        <v>24.543199999999999</v>
      </c>
      <c r="Q19" s="16">
        <f>P19/(P17+P18+P19)</f>
        <v>0.39290744053897497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1.5803799999999999</v>
      </c>
      <c r="D24" s="34" t="str">
        <f>lang!B11</f>
        <v>편차</v>
      </c>
      <c r="E24" s="1077">
        <f>FH_info!G2*1</f>
        <v>0.50285999999999997</v>
      </c>
      <c r="F24" s="1078"/>
      <c r="G24" s="1075" t="str">
        <f>lang!B12</f>
        <v>정보(I)변화량</v>
      </c>
      <c r="H24" s="1076"/>
      <c r="I24" s="51" t="str">
        <f ca="1">CONCATENATE(info!N7,"-",info!N8)</f>
        <v>44.3-50.3</v>
      </c>
      <c r="J24" s="32" t="str">
        <f>lang!B13</f>
        <v>Kcal/분</v>
      </c>
      <c r="K24" s="31" t="str">
        <f ca="1">CONCATENATE(info!N5,"-",info!N6)</f>
        <v>2.9-3.5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60.367599999999996</v>
      </c>
      <c r="F27" s="1043"/>
      <c r="G27" s="1055" t="str">
        <f>lang!B33</f>
        <v>정서안정성</v>
      </c>
      <c r="H27" s="1056"/>
      <c r="I27" s="1057"/>
      <c r="J27" s="993">
        <f>M!B19*100</f>
        <v>60.068100000000001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3.5011999999999999</v>
      </c>
      <c r="H2" s="50">
        <f>IF(FT!B2&lt;&gt;"",FT!B2*100,"")</f>
        <v>44.278500000000001</v>
      </c>
      <c r="I2" s="50">
        <f>(IF(G2&lt;&gt;"",1,""))</f>
        <v>1</v>
      </c>
      <c r="J2" t="str">
        <f>IF(FT!B2&lt;&gt;"",FT!E2,"")</f>
        <v>0 [0.000000]</v>
      </c>
      <c r="K2">
        <f>IF(FT!B2&lt;&gt;"",IF(FT!C2&lt;&gt;"",FT!C2,F2/$M$3*$M$4),"")</f>
        <v>0</v>
      </c>
      <c r="L2" t="s">
        <v>52</v>
      </c>
      <c r="M2">
        <f>FH_info!E2</f>
        <v>4.9234099999999996</v>
      </c>
      <c r="N2" s="75">
        <f>LOOKUP(O3,A2:A1000,B2:B1000)</f>
        <v>1.5059842352941177</v>
      </c>
      <c r="O2" s="50">
        <f>MAX(C2:C1000)</f>
        <v>1</v>
      </c>
      <c r="P2" t="s">
        <v>60</v>
      </c>
      <c r="Q2" t="s">
        <v>61</v>
      </c>
      <c r="R2" t="s">
        <v>62</v>
      </c>
      <c r="S2" t="s">
        <v>63</v>
      </c>
      <c r="T2" t="s">
        <v>64</v>
      </c>
      <c r="V2" s="50">
        <f>FT!G2*10</f>
        <v>3.4994999999999998</v>
      </c>
      <c r="W2" s="50">
        <f>FT!H2*100</f>
        <v>44.467500000000001</v>
      </c>
      <c r="Y2">
        <f>IF(I2=1,H2/G2,"")</f>
        <v>12.646664000913972</v>
      </c>
      <c r="Z2">
        <f>AVERAGE(Y2:Y2000)</f>
        <v>15.229976539248039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3.4994999999999998</v>
      </c>
      <c r="H3" s="50">
        <f>IF(FT!B3&lt;&gt;"",FT!B3*100,"")</f>
        <v>44.467500000000001</v>
      </c>
      <c r="I3" s="50">
        <f t="shared" ref="I3:I66" si="2">(IF(G3&lt;&gt;"",1,""))</f>
        <v>1</v>
      </c>
      <c r="J3" t="str">
        <f>IF(FT!B3&lt;&gt;"",FT!E3,"")</f>
        <v>0 [0.366976]</v>
      </c>
      <c r="K3">
        <f>IF(FT!B3&lt;&gt;"",IF(FT!C3&lt;&gt;"",FT!C3,F3/$M$3*$M$4),"")</f>
        <v>0.36697600000000002</v>
      </c>
      <c r="L3" t="s">
        <v>53</v>
      </c>
      <c r="M3">
        <f>SUM(I2:I2005)</f>
        <v>26</v>
      </c>
      <c r="O3" s="104">
        <f>MATCH(O2,C2:C1000,0)-1</f>
        <v>78</v>
      </c>
      <c r="P3">
        <v>0</v>
      </c>
      <c r="Q3">
        <v>0</v>
      </c>
      <c r="R3">
        <f>IF(S4=0,M3,0)</f>
        <v>26</v>
      </c>
      <c r="S3">
        <f t="array" ref="S3">MAX(IF(ft_nq=0,row_n))</f>
        <v>1998</v>
      </c>
      <c r="T3">
        <f>R3-Q3</f>
        <v>26</v>
      </c>
      <c r="V3" s="50">
        <f>FT!G3*10</f>
        <v>2.9229699999999998</v>
      </c>
      <c r="W3" s="50">
        <f>FT!H3*100</f>
        <v>50.163100000000007</v>
      </c>
      <c r="Y3" s="75">
        <f t="shared" ref="Y3:Y66" si="3">IF(I3=1,H3/G3,"")</f>
        <v>12.706815259322761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3.4894799999999999</v>
      </c>
      <c r="H4" s="50">
        <f>IF(FT!B4&lt;&gt;"",FT!B4*100,"")</f>
        <v>44.792900000000003</v>
      </c>
      <c r="I4" s="50">
        <f t="shared" si="2"/>
        <v>1</v>
      </c>
      <c r="J4" t="str">
        <f>IF(FT!B4&lt;&gt;"",FT!E4,"")</f>
        <v>0 [0.781440]</v>
      </c>
      <c r="K4">
        <f>IF(FT!B4&lt;&gt;"",IF(FT!C4&lt;&gt;"",FT!C4,F4/$M$3*$M$4),"")</f>
        <v>0.78144000000000002</v>
      </c>
      <c r="L4" t="s">
        <v>246</v>
      </c>
      <c r="M4">
        <f>IF(M2&lt;&gt;0,M3/M2*2,0)</f>
        <v>10.561785429204557</v>
      </c>
      <c r="P4">
        <f>P3+1</f>
        <v>1</v>
      </c>
      <c r="Q4">
        <v>0</v>
      </c>
      <c r="R4">
        <f>IF(S4=1998,0,S4)</f>
        <v>0</v>
      </c>
      <c r="S4">
        <f t="array" ref="S4">MAX(IF(ft_nq=P4,row_n))</f>
        <v>0</v>
      </c>
      <c r="T4">
        <f>R4-Q4+1</f>
        <v>1</v>
      </c>
      <c r="V4" t="s">
        <v>209</v>
      </c>
      <c r="W4" s="23">
        <f>IF(ISERROR(V3-V2)=FALSE,(V3-V2)*10,0)</f>
        <v>-5.7652999999999999</v>
      </c>
      <c r="Y4" s="75">
        <f t="shared" si="3"/>
        <v>12.836554443642035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0.97744617524538646</v>
      </c>
      <c r="E5" s="50">
        <f t="shared" si="1"/>
        <v>2.2686280082898476E-5</v>
      </c>
      <c r="F5">
        <f t="shared" si="6"/>
        <v>3</v>
      </c>
      <c r="G5" s="50">
        <f>IF(FT!A5&lt;&gt;"",FT!A5*10,"")</f>
        <v>3.4763600000000001</v>
      </c>
      <c r="H5" s="50">
        <f>IF(FT!B5&lt;&gt;"",FT!B5*100,"")</f>
        <v>45.208100000000002</v>
      </c>
      <c r="I5" s="50">
        <f t="shared" si="2"/>
        <v>1</v>
      </c>
      <c r="J5" t="str">
        <f>IF(FT!B5&lt;&gt;"",FT!E5,"")</f>
        <v>0 [1.199595]</v>
      </c>
      <c r="K5">
        <f>IF(FT!B5&lt;&gt;"",IF(FT!C5&lt;&gt;"",FT!C5,F5/$M$3*$M$4),"")</f>
        <v>1.1995899999999999</v>
      </c>
      <c r="L5" t="s">
        <v>54</v>
      </c>
      <c r="M5" s="52">
        <f ca="1">IF(M3&gt;0,MIN(FT_E),0)</f>
        <v>2.8685</v>
      </c>
      <c r="N5" s="52">
        <f ca="1">IF(M3&gt;0,ROUND(M5,1),0)</f>
        <v>2.9</v>
      </c>
      <c r="P5">
        <f t="shared" ref="P5:P27" si="10">P4+1</f>
        <v>2</v>
      </c>
      <c r="Q5">
        <f>IF(S5=1998,0,R4)</f>
        <v>0</v>
      </c>
      <c r="R5">
        <f>IF(S5=1998,0,S5)</f>
        <v>0</v>
      </c>
      <c r="S5">
        <f t="array" ref="S5">MAX(IF(ft_nq=P5,row_n))</f>
        <v>0</v>
      </c>
      <c r="T5">
        <f t="shared" ref="T5:T27" si="11">R5-Q5+1</f>
        <v>1</v>
      </c>
      <c r="V5" t="s">
        <v>210</v>
      </c>
      <c r="W5" s="23">
        <f>IF(ISERROR(W3-W2)=FALSE,W3-W2,0)</f>
        <v>5.695600000000006</v>
      </c>
      <c r="Y5" s="75">
        <f t="shared" si="3"/>
        <v>13.004435674095893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3.4590500000000004</v>
      </c>
      <c r="H6" s="50">
        <f>IF(FT!B6&lt;&gt;"",FT!B6*100,"")</f>
        <v>45.714599999999997</v>
      </c>
      <c r="I6" s="50">
        <f t="shared" si="2"/>
        <v>1</v>
      </c>
      <c r="J6" t="str">
        <f>IF(FT!B6&lt;&gt;"",FT!E6,"")</f>
        <v>0 [1.586509]</v>
      </c>
      <c r="K6">
        <f>IF(FT!B6&lt;&gt;"",IF(FT!C6&lt;&gt;"",FT!C6,F6/$M$3*$M$4),"")</f>
        <v>1.5865100000000001</v>
      </c>
      <c r="L6" t="s">
        <v>55</v>
      </c>
      <c r="M6" s="52">
        <f ca="1">IF(M3&gt;0,MAX(FT_E),0)</f>
        <v>3.5011999999999999</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-0.98791042963939535</v>
      </c>
      <c r="Y6" s="75">
        <f t="shared" si="3"/>
        <v>13.215940792992294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3.4361000000000002</v>
      </c>
      <c r="H7" s="50">
        <f>IF(FT!B7&lt;&gt;"",FT!B7*100,"")</f>
        <v>46.165299999999995</v>
      </c>
      <c r="I7" s="50">
        <f t="shared" si="2"/>
        <v>1</v>
      </c>
      <c r="J7" t="str">
        <f>IF(FT!B7&lt;&gt;"",FT!E7,"")</f>
        <v>0 [1.990911]</v>
      </c>
      <c r="K7">
        <f>IF(FT!B7&lt;&gt;"",IF(FT!C7&lt;&gt;"",FT!C7,F7/$M$3*$M$4),"")</f>
        <v>1.99091</v>
      </c>
      <c r="L7" t="s">
        <v>56</v>
      </c>
      <c r="M7" s="366">
        <f ca="1">IF(M3&gt;0,MIN(FT_PH),0)</f>
        <v>44.278500000000001</v>
      </c>
      <c r="N7" s="52">
        <f ca="1">IF(M3&gt;0,ROUND(M7,1),0)</f>
        <v>44.3</v>
      </c>
      <c r="P7">
        <f t="shared" si="10"/>
        <v>4</v>
      </c>
      <c r="Q7">
        <f t="shared" si="12"/>
        <v>0</v>
      </c>
      <c r="R7">
        <f t="shared" si="13"/>
        <v>0</v>
      </c>
      <c r="S7">
        <f t="array" ref="S7">MAX(IF(ft_nq=P7,row_n))</f>
        <v>0</v>
      </c>
      <c r="T7">
        <f t="shared" si="11"/>
        <v>1</v>
      </c>
      <c r="V7" t="s">
        <v>212</v>
      </c>
      <c r="W7" s="23">
        <f>DEGREES(ATAN(W6))</f>
        <v>-44.651557329749174</v>
      </c>
      <c r="X7" s="106">
        <v>0.05</v>
      </c>
      <c r="Y7" s="75">
        <f t="shared" si="3"/>
        <v>13.43537731730741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2.0451481487125566E-2</v>
      </c>
      <c r="D8" s="50">
        <f>IF(hist!$D$2&gt;0,hist!B8/hist!$D$2,0)</f>
        <v>1</v>
      </c>
      <c r="E8" s="50">
        <f t="shared" si="1"/>
        <v>4.239235128206329E-5</v>
      </c>
      <c r="F8">
        <f t="shared" si="6"/>
        <v>6</v>
      </c>
      <c r="G8" s="50">
        <f>IF(FT!A8&lt;&gt;"",FT!A8*10,"")</f>
        <v>3.4096100000000003</v>
      </c>
      <c r="H8" s="50">
        <f>IF(FT!B8&lt;&gt;"",FT!B8*100,"")</f>
        <v>46.699600000000004</v>
      </c>
      <c r="I8" s="50">
        <f t="shared" si="2"/>
        <v>1</v>
      </c>
      <c r="J8" t="str">
        <f>IF(FT!B8&lt;&gt;"",FT!E8,"")</f>
        <v>0 [2.422910]</v>
      </c>
      <c r="K8">
        <f>IF(FT!B8&lt;&gt;"",IF(FT!C8&lt;&gt;"",FT!C8,F8/$M$3*$M$4),"")</f>
        <v>2.4229099999999999</v>
      </c>
      <c r="L8" t="s">
        <v>57</v>
      </c>
      <c r="M8" s="52">
        <f ca="1">IF(M3&gt;0,MAX(FT_PH),0)</f>
        <v>50.291200000000003</v>
      </c>
      <c r="N8" s="52">
        <f ca="1">IF(M3&gt;0,ROUND(M8,1),0)</f>
        <v>50.3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13.696463818442579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3.3838699999999999</v>
      </c>
      <c r="H9" s="50">
        <f>IF(FT!B9&lt;&gt;"",FT!B9*100,"")</f>
        <v>47.272500000000001</v>
      </c>
      <c r="I9" s="50">
        <f t="shared" si="2"/>
        <v>1</v>
      </c>
      <c r="J9" t="str">
        <f>IF(FT!B9&lt;&gt;"",FT!E9,"")</f>
        <v>0 [2.813213]</v>
      </c>
      <c r="K9">
        <f>IF(FT!B9&lt;&gt;"",IF(FT!C9&lt;&gt;"",FT!C9,F9/$M$3*$M$4),"")</f>
        <v>2.8132100000000002</v>
      </c>
      <c r="L9" t="s">
        <v>222</v>
      </c>
      <c r="M9" s="74">
        <f ca="1">IF(M3&gt;0,IF(COUNT(FT_E)&gt;0,AVERAGE(FT_E),0),0)</f>
        <v>3.1945519230769222</v>
      </c>
      <c r="N9" s="365">
        <f ca="1">IF(M3&gt;0,IF(COUNT(FT_PH)&gt;0,AVERAGE(FT_PH),0),0)</f>
        <v>48.294126923076917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13.969951564333146</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3.0079649299258878E-2</v>
      </c>
      <c r="D10" s="50">
        <f>IF(hist!$D$2&gt;0,hist!B10/hist!$D$2,0)</f>
        <v>0.83451865942369963</v>
      </c>
      <c r="E10" s="50">
        <f t="shared" si="1"/>
        <v>6.3640932711193118E-5</v>
      </c>
      <c r="F10">
        <f t="shared" si="6"/>
        <v>8</v>
      </c>
      <c r="G10" s="50">
        <f>IF(FT!A10&lt;&gt;"",FT!A10*10,"")</f>
        <v>3.3554899999999996</v>
      </c>
      <c r="H10" s="50">
        <f>IF(FT!B10&lt;&gt;"",FT!B10*100,"")</f>
        <v>47.8324</v>
      </c>
      <c r="I10" s="50">
        <f t="shared" si="2"/>
        <v>1</v>
      </c>
      <c r="J10" t="str">
        <f>IF(FT!B10&lt;&gt;"",FT!E10,"")</f>
        <v>0 [3.211049]</v>
      </c>
      <c r="K10">
        <f>IF(FT!B10&lt;&gt;"",IF(FT!C10&lt;&gt;"",FT!C10,F10/$M$3*$M$4),"")</f>
        <v>3.2110500000000002</v>
      </c>
      <c r="M10">
        <v>2</v>
      </c>
      <c r="P10">
        <f t="shared" si="10"/>
        <v>7</v>
      </c>
      <c r="Q10">
        <f t="shared" si="12"/>
        <v>0</v>
      </c>
      <c r="R10">
        <f t="shared" si="13"/>
        <v>0</v>
      </c>
      <c r="S10">
        <f t="array" ref="S10">MAX(IF(ft_nq=P10,row_n))</f>
        <v>0</v>
      </c>
      <c r="T10">
        <f t="shared" si="11"/>
        <v>1</v>
      </c>
      <c r="V10" t="s">
        <v>215</v>
      </c>
      <c r="X10" s="71" t="s">
        <v>270</v>
      </c>
      <c r="Y10" s="75">
        <f t="shared" si="3"/>
        <v>14.254967232803557</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3.3242799999999999</v>
      </c>
      <c r="H11" s="50">
        <f>IF(FT!B11&lt;&gt;"",FT!B11*100,"")</f>
        <v>48.362400000000001</v>
      </c>
      <c r="I11" s="50">
        <f t="shared" si="2"/>
        <v>1</v>
      </c>
      <c r="J11" t="str">
        <f>IF(FT!B11&lt;&gt;"",FT!E11,"")</f>
        <v>0 [3.626780]</v>
      </c>
      <c r="K11">
        <f>IF(FT!B11&lt;&gt;"",IF(FT!C11&lt;&gt;"",FT!C11,F11/$M$3*$M$4),"")</f>
        <v>3.6267800000000001</v>
      </c>
      <c r="M11" s="49">
        <f>MAX(IF(ft_nq=1,row_n))</f>
        <v>0</v>
      </c>
      <c r="P11">
        <f t="shared" si="10"/>
        <v>8</v>
      </c>
      <c r="Q11">
        <f t="shared" si="12"/>
        <v>0</v>
      </c>
      <c r="R11">
        <f t="shared" si="13"/>
        <v>0</v>
      </c>
      <c r="S11">
        <f t="array" ref="S11">MAX(IF(ft_nq=P11,row_n))</f>
        <v>0</v>
      </c>
      <c r="T11">
        <f t="shared" si="11"/>
        <v>1</v>
      </c>
      <c r="V11" s="71" t="s">
        <v>216</v>
      </c>
      <c r="W11" s="23">
        <f>FT!H11*100</f>
        <v>44.278500000000001</v>
      </c>
      <c r="Y11" s="75">
        <f t="shared" si="3"/>
        <v>14.548233000830257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3.2930599999999997</v>
      </c>
      <c r="H12" s="50">
        <f>IF(FT!B12&lt;&gt;"",FT!B12*100,"")</f>
        <v>48.640599999999999</v>
      </c>
      <c r="I12" s="50">
        <f t="shared" si="2"/>
        <v>1</v>
      </c>
      <c r="J12" t="str">
        <f>IF(FT!B12&lt;&gt;"",FT!E12,"")</f>
        <v>0 [4.020459]</v>
      </c>
      <c r="K12">
        <f>IF(FT!B12&lt;&gt;"",IF(FT!C12&lt;&gt;"",FT!C12,F12/$M$3*$M$4),"")</f>
        <v>4.0204599999999999</v>
      </c>
      <c r="M12">
        <f>M11+1</f>
        <v>1</v>
      </c>
      <c r="P12">
        <f t="shared" si="10"/>
        <v>9</v>
      </c>
      <c r="Q12">
        <f t="shared" si="12"/>
        <v>0</v>
      </c>
      <c r="R12">
        <f t="shared" si="13"/>
        <v>0</v>
      </c>
      <c r="S12">
        <f t="array" ref="S12">MAX(IF(ft_nq=P12,row_n))</f>
        <v>0</v>
      </c>
      <c r="T12">
        <f t="shared" si="11"/>
        <v>1</v>
      </c>
      <c r="V12" s="71" t="s">
        <v>217</v>
      </c>
      <c r="W12" s="23">
        <f>FT!H12*100</f>
        <v>50.291200000000003</v>
      </c>
      <c r="Y12" s="75">
        <f t="shared" si="3"/>
        <v>14.770638858690702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4.5949467396107953E-2</v>
      </c>
      <c r="D13" s="50">
        <f>IF(hist!$D$2&gt;0,hist!B13/hist!$D$2,0)</f>
        <v>0.76318297786729716</v>
      </c>
      <c r="E13" s="50">
        <f t="shared" si="1"/>
        <v>1.1522836836240688E-4</v>
      </c>
      <c r="F13">
        <f t="shared" si="6"/>
        <v>11</v>
      </c>
      <c r="G13" s="50">
        <f>IF(FT!A13&lt;&gt;"",FT!A13*10,"")</f>
        <v>3.2593199999999998</v>
      </c>
      <c r="H13" s="50">
        <f>IF(FT!B13&lt;&gt;"",FT!B13*100,"")</f>
        <v>48.7806</v>
      </c>
      <c r="I13" s="50">
        <f t="shared" si="2"/>
        <v>1</v>
      </c>
      <c r="J13" t="str">
        <f>IF(FT!B13&lt;&gt;"",FT!E13,"")</f>
        <v>0 [4.433476]</v>
      </c>
      <c r="K13">
        <f>IF(FT!B13&lt;&gt;"",IF(FT!C13&lt;&gt;"",FT!C13,F13/$M$3*$M$4),"")</f>
        <v>4.4334800000000003</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14.966496078936713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3.2270700000000003</v>
      </c>
      <c r="H14" s="50">
        <f>IF(FT!B14&lt;&gt;"",FT!B14*100,"")</f>
        <v>48.837699999999998</v>
      </c>
      <c r="I14" s="50">
        <f t="shared" si="2"/>
        <v>1</v>
      </c>
      <c r="J14" t="str">
        <f>IF(FT!B14&lt;&gt;"",FT!E14,"")</f>
        <v>0 [4.834903]</v>
      </c>
      <c r="K14">
        <f>IF(FT!B14&lt;&gt;"",IF(FT!C14&lt;&gt;"",FT!C14,F14/$M$3*$M$4),"")</f>
        <v>4.8349000000000002</v>
      </c>
      <c r="M14">
        <f>M13+1</f>
        <v>1</v>
      </c>
      <c r="P14">
        <f t="shared" si="10"/>
        <v>11</v>
      </c>
      <c r="Q14">
        <f t="shared" si="12"/>
        <v>0</v>
      </c>
      <c r="R14">
        <f t="shared" si="13"/>
        <v>0</v>
      </c>
      <c r="S14">
        <f t="array" ref="S14">MAX(IF(ft_nq=P14,row_n))</f>
        <v>0</v>
      </c>
      <c r="T14">
        <f t="shared" si="11"/>
        <v>1</v>
      </c>
      <c r="V14" s="71" t="s">
        <v>221</v>
      </c>
      <c r="W14">
        <f>FT!H14</f>
        <v>21</v>
      </c>
      <c r="Y14" s="75">
        <f t="shared" si="3"/>
        <v>15.133759106557958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4.6281474934345208E-2</v>
      </c>
      <c r="D15" s="50">
        <f>IF(hist!$D$2&gt;0,hist!B15/hist!$D$2,0)</f>
        <v>0.6410493011783287</v>
      </c>
      <c r="E15" s="50">
        <f t="shared" si="1"/>
        <v>1.6938471460455832E-4</v>
      </c>
      <c r="F15">
        <f t="shared" si="6"/>
        <v>13</v>
      </c>
      <c r="G15" s="50">
        <f>IF(FT!A15&lt;&gt;"",FT!A15*10,"")</f>
        <v>3.1907899999999998</v>
      </c>
      <c r="H15" s="50">
        <f>IF(FT!B15&lt;&gt;"",FT!B15*100,"")</f>
        <v>49.015300000000003</v>
      </c>
      <c r="I15" s="50">
        <f t="shared" si="2"/>
        <v>1</v>
      </c>
      <c r="J15" t="str">
        <f>IF(FT!B15&lt;&gt;"",FT!E15,"")</f>
        <v>0 [5.261871]</v>
      </c>
      <c r="K15">
        <f>IF(FT!B15&lt;&gt;"",IF(FT!C15&lt;&gt;"",FT!C15,F15/$M$3*$M$4),"")</f>
        <v>5.26187</v>
      </c>
      <c r="M15">
        <f t="array" ref="M15">MAX(IF(ft_nq=3,row_n))</f>
        <v>0</v>
      </c>
      <c r="P15">
        <f t="shared" si="10"/>
        <v>12</v>
      </c>
      <c r="Q15">
        <f t="shared" si="12"/>
        <v>0</v>
      </c>
      <c r="R15">
        <f t="shared" si="13"/>
        <v>0</v>
      </c>
      <c r="S15">
        <f t="array" ref="S15">MAX(IF(ft_nq=P15,row_n))</f>
        <v>0</v>
      </c>
      <c r="T15">
        <f t="shared" si="11"/>
        <v>1</v>
      </c>
      <c r="V15" s="23">
        <f>FT!G15*10</f>
        <v>3.5011999999999999</v>
      </c>
      <c r="W15" s="23">
        <f>FT!H15*100</f>
        <v>44.278500000000001</v>
      </c>
      <c r="Y15" s="75">
        <f t="shared" si="3"/>
        <v>15.361493548619624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3.1487100000000003</v>
      </c>
      <c r="H16" s="50">
        <f>IF(FT!B16&lt;&gt;"",FT!B16*100,"")</f>
        <v>49.212299999999999</v>
      </c>
      <c r="I16" s="50">
        <f t="shared" si="2"/>
        <v>1</v>
      </c>
      <c r="J16" t="str">
        <f>IF(FT!B16&lt;&gt;"",FT!E16,"")</f>
        <v>0 [5.649178]</v>
      </c>
      <c r="K16">
        <f>IF(FT!B16&lt;&gt;"",IF(FT!C16&lt;&gt;"",FT!C16,F16/$M$3*$M$4),"")</f>
        <v>5.6491800000000003</v>
      </c>
      <c r="M16">
        <f>M15+1</f>
        <v>1</v>
      </c>
      <c r="P16">
        <f t="shared" si="10"/>
        <v>13</v>
      </c>
      <c r="Q16">
        <f t="shared" si="12"/>
        <v>0</v>
      </c>
      <c r="R16">
        <f t="shared" si="13"/>
        <v>0</v>
      </c>
      <c r="S16">
        <f t="array" ref="S16">MAX(IF(ft_nq=P16,row_n))</f>
        <v>0</v>
      </c>
      <c r="T16">
        <f t="shared" si="11"/>
        <v>1</v>
      </c>
      <c r="V16" s="23">
        <f>FT!G16*10</f>
        <v>2.9480499999999998</v>
      </c>
      <c r="W16" s="23">
        <f>FT!H16*100</f>
        <v>50.291200000000003</v>
      </c>
      <c r="Y16" s="75">
        <f t="shared" si="3"/>
        <v>15.629352973122325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3.1019200000000002</v>
      </c>
      <c r="H17" s="50">
        <f>IF(FT!B17&lt;&gt;"",FT!B17*100,"")</f>
        <v>49.462499999999999</v>
      </c>
      <c r="I17" s="50">
        <f t="shared" si="2"/>
        <v>1</v>
      </c>
      <c r="J17" t="str">
        <f>IF(FT!B17&lt;&gt;"",FT!E17,"")</f>
        <v>0 [6.062192]</v>
      </c>
      <c r="K17">
        <f>IF(FT!B17&lt;&gt;"",IF(FT!C17&lt;&gt;"",FT!C17,F17/$M$3*$M$4),"")</f>
        <v>6.0621900000000002</v>
      </c>
      <c r="M17">
        <f>M3+1</f>
        <v>27</v>
      </c>
      <c r="P17">
        <f t="shared" si="10"/>
        <v>14</v>
      </c>
      <c r="Q17">
        <f t="shared" si="12"/>
        <v>0</v>
      </c>
      <c r="R17">
        <f t="shared" si="13"/>
        <v>0</v>
      </c>
      <c r="S17">
        <f t="array" ref="S17">MAX(IF(ft_nq=P17,row_n))</f>
        <v>0</v>
      </c>
      <c r="T17">
        <f t="shared" si="11"/>
        <v>1</v>
      </c>
      <c r="V17" t="s">
        <v>1522</v>
      </c>
      <c r="Y17" s="75">
        <f t="shared" si="3"/>
        <v>15.945769072058594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2.968125041272357E-2</v>
      </c>
      <c r="D18" s="50">
        <f>IF(hist!$D$2&gt;0,hist!B18/hist!$D$2,0)</f>
        <v>0.57835321280861041</v>
      </c>
      <c r="E18" s="50">
        <f t="shared" si="1"/>
        <v>2.9716369761879154E-4</v>
      </c>
      <c r="F18">
        <f t="shared" si="6"/>
        <v>16</v>
      </c>
      <c r="G18" s="50">
        <f>IF(FT!A18&lt;&gt;"",FT!A18*10,"")</f>
        <v>3.0625</v>
      </c>
      <c r="H18" s="50">
        <f>IF(FT!B18&lt;&gt;"",FT!B18*100,"")</f>
        <v>49.685299999999998</v>
      </c>
      <c r="I18" s="50">
        <f t="shared" si="2"/>
        <v>1</v>
      </c>
      <c r="J18" t="str">
        <f>IF(FT!B18&lt;&gt;"",FT!E18,"")</f>
        <v>0 [6.462834]</v>
      </c>
      <c r="K18">
        <f>IF(FT!B18&lt;&gt;"",IF(FT!C18&lt;&gt;"",FT!C18,F18/$M$3*$M$4),"")</f>
        <v>6.4628300000000003</v>
      </c>
      <c r="P18">
        <f t="shared" si="10"/>
        <v>15</v>
      </c>
      <c r="Q18">
        <f t="shared" si="12"/>
        <v>0</v>
      </c>
      <c r="R18">
        <f t="shared" si="13"/>
        <v>0</v>
      </c>
      <c r="S18">
        <f t="array" ref="S18">MAX(IF(ft_nq=P18,row_n))</f>
        <v>0</v>
      </c>
      <c r="T18">
        <f t="shared" si="11"/>
        <v>1</v>
      </c>
      <c r="V18" s="288">
        <f>M!B18*100</f>
        <v>60.367599999999996</v>
      </c>
      <c r="W18" s="287">
        <f>100-M!B19*100</f>
        <v>39.931899999999999</v>
      </c>
      <c r="X18" t="str">
        <f>"(" &amp; ROUND(V18,1) &amp; " , " &amp; ROUND(100-W18,1) &amp; ")"</f>
        <v>(60.4 , 60.1)</v>
      </c>
      <c r="Y18" s="75">
        <f t="shared" si="3"/>
        <v>16.223771428571428</v>
      </c>
      <c r="Z18">
        <f>M!B18*100</f>
        <v>60.367599999999996</v>
      </c>
      <c r="AA18">
        <f>100-M!B19*100</f>
        <v>39.931899999999999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3.02224</v>
      </c>
      <c r="H19" s="50">
        <f>IF(FT!B19&lt;&gt;"",FT!B19*100,"")</f>
        <v>49.857199999999999</v>
      </c>
      <c r="I19" s="50">
        <f t="shared" si="2"/>
        <v>1</v>
      </c>
      <c r="J19" t="str">
        <f>IF(FT!B19&lt;&gt;"",FT!E19,"")</f>
        <v>0 [6.887528]</v>
      </c>
      <c r="K19">
        <f>IF(FT!B19&lt;&gt;"",IF(FT!C19&lt;&gt;"",FT!C19,F19/$M$3*$M$4),"")</f>
        <v>6.8875299999999999</v>
      </c>
      <c r="P19">
        <f t="shared" si="10"/>
        <v>16</v>
      </c>
      <c r="Q19">
        <f t="shared" si="12"/>
        <v>0</v>
      </c>
      <c r="R19">
        <f t="shared" si="13"/>
        <v>0</v>
      </c>
      <c r="S19">
        <f t="array" ref="S19">MAX(IF(ft_nq=P19,row_n))</f>
        <v>0</v>
      </c>
      <c r="T19">
        <f t="shared" si="11"/>
        <v>1</v>
      </c>
      <c r="V19" t="s">
        <v>1521</v>
      </c>
      <c r="Y19" s="75">
        <f t="shared" si="3"/>
        <v>16.496770607231721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2.9860199999999999</v>
      </c>
      <c r="H20" s="50">
        <f>IF(FT!B20&lt;&gt;"",FT!B20*100,"")</f>
        <v>50.008200000000002</v>
      </c>
      <c r="I20" s="50">
        <f t="shared" si="2"/>
        <v>1</v>
      </c>
      <c r="J20" t="str">
        <f>IF(FT!B20&lt;&gt;"",FT!E20,"")</f>
        <v>0 [7.270707]</v>
      </c>
      <c r="K20">
        <f>IF(FT!B20&lt;&gt;"",IF(FT!C20&lt;&gt;"",FT!C20,F20/$M$3*$M$4),"")</f>
        <v>7.2707100000000002</v>
      </c>
      <c r="P20">
        <f t="shared" si="10"/>
        <v>17</v>
      </c>
      <c r="Q20">
        <f t="shared" si="12"/>
        <v>0</v>
      </c>
      <c r="R20">
        <f t="shared" si="13"/>
        <v>0</v>
      </c>
      <c r="S20">
        <f t="array" ref="S20">MAX(IF(ft_nq=P20,row_n))</f>
        <v>0</v>
      </c>
      <c r="T20">
        <f t="shared" si="11"/>
        <v>1</v>
      </c>
      <c r="V20" s="56">
        <v>50</v>
      </c>
      <c r="W20">
        <v>50</v>
      </c>
      <c r="Y20" s="75">
        <f t="shared" si="3"/>
        <v>16.747443084775053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4.0836622422700052E-2</v>
      </c>
      <c r="D21" s="50">
        <f>IF(hist!$D$2&gt;0,hist!B21/hist!$D$2,0)</f>
        <v>0.47126026929350784</v>
      </c>
      <c r="E21" s="50">
        <f t="shared" si="1"/>
        <v>5.1155989191839816E-4</v>
      </c>
      <c r="F21">
        <f t="shared" si="6"/>
        <v>19</v>
      </c>
      <c r="G21" s="50">
        <f>IF(FT!A21&lt;&gt;"",FT!A21*10,"")</f>
        <v>2.9663599999999999</v>
      </c>
      <c r="H21" s="50">
        <f>IF(FT!B21&lt;&gt;"",FT!B21*100,"")</f>
        <v>50.183</v>
      </c>
      <c r="I21" s="50">
        <f t="shared" si="2"/>
        <v>1</v>
      </c>
      <c r="J21" t="str">
        <f>IF(FT!B21&lt;&gt;"",FT!E21,"")</f>
        <v>0 [7.681823]</v>
      </c>
      <c r="K21">
        <f>IF(FT!B21&lt;&gt;"",IF(FT!C21&lt;&gt;"",FT!C21,F21/$M$3*$M$4),"")</f>
        <v>7.6818200000000001</v>
      </c>
      <c r="P21">
        <f t="shared" si="10"/>
        <v>18</v>
      </c>
      <c r="Q21">
        <f t="shared" si="12"/>
        <v>0</v>
      </c>
      <c r="R21">
        <f t="shared" si="13"/>
        <v>0</v>
      </c>
      <c r="S21">
        <f t="array" ref="S21">MAX(IF(ft_nq=P21,row_n))</f>
        <v>0</v>
      </c>
      <c r="T21">
        <f t="shared" si="11"/>
        <v>1</v>
      </c>
      <c r="V21" s="288">
        <f>Measurement!DK17*100</f>
        <v>73.611901149114132</v>
      </c>
      <c r="W21" s="287">
        <f>'R3'!I3</f>
        <v>32.6956937817138</v>
      </c>
      <c r="X21" t="str">
        <f>"(" &amp; ROUND(V21,1) &amp; " , " &amp; ROUND(W21,1) &amp; ")" &amp; CHAR(10) &amp; AR26</f>
        <v>(73.6 , 32.7)
만족스러운</v>
      </c>
      <c r="Y21" s="75">
        <f t="shared" si="3"/>
        <v>16.917366739033699</v>
      </c>
      <c r="AA21">
        <f>100-M!B19*100</f>
        <v>39.931899999999999</v>
      </c>
      <c r="AC21">
        <f>'R3'!I3</f>
        <v>32.6956937817138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2.9480499999999998</v>
      </c>
      <c r="H22" s="50">
        <f>IF(FT!B22&lt;&gt;"",FT!B22*100,"")</f>
        <v>50.291200000000003</v>
      </c>
      <c r="I22" s="50">
        <f t="shared" si="2"/>
        <v>1</v>
      </c>
      <c r="J22" t="str">
        <f>IF(FT!B22&lt;&gt;"",FT!E22,"")</f>
        <v>0 [8.084235]</v>
      </c>
      <c r="K22">
        <f>IF(FT!B22&lt;&gt;"",IF(FT!C22&lt;&gt;"",FT!C22,F22/$M$3*$M$4),"")</f>
        <v>8.0842399999999994</v>
      </c>
      <c r="P22">
        <f t="shared" si="10"/>
        <v>19</v>
      </c>
      <c r="Q22">
        <f t="shared" si="12"/>
        <v>0</v>
      </c>
      <c r="R22">
        <f t="shared" si="13"/>
        <v>0</v>
      </c>
      <c r="S22">
        <f t="array" ref="S22">MAX(IF(ft_nq=P22,row_n))</f>
        <v>0</v>
      </c>
      <c r="T22">
        <f t="shared" si="11"/>
        <v>1</v>
      </c>
      <c r="V22" s="300">
        <f>X23</f>
        <v>90</v>
      </c>
      <c r="W22" s="300">
        <f>X23</f>
        <v>90</v>
      </c>
      <c r="X22" t="s">
        <v>1188</v>
      </c>
      <c r="Y22" s="75">
        <f t="shared" si="3"/>
        <v>17.059140787978496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5.2855031163804266E-2</v>
      </c>
      <c r="D23" s="50">
        <f>IF(hist!$D$2&gt;0,hist!B23/hist!$D$2,0)</f>
        <v>0.38461798951768145</v>
      </c>
      <c r="E23" s="50">
        <f t="shared" si="1"/>
        <v>7.2710399246906645E-4</v>
      </c>
      <c r="F23">
        <f t="shared" si="6"/>
        <v>21</v>
      </c>
      <c r="G23" s="50">
        <f>IF(FT!A23&lt;&gt;"",FT!A23*10,"")</f>
        <v>2.9328700000000003</v>
      </c>
      <c r="H23" s="50">
        <f>IF(FT!B23&lt;&gt;"",FT!B23*100,"")</f>
        <v>50.264900000000004</v>
      </c>
      <c r="I23" s="50">
        <f t="shared" si="2"/>
        <v>1</v>
      </c>
      <c r="J23" t="str">
        <f>IF(FT!B23&lt;&gt;"",FT!E23,"")</f>
        <v>0 [8.499984]</v>
      </c>
      <c r="K23">
        <f>IF(FT!B23&lt;&gt;"",IF(FT!C23&lt;&gt;"",FT!C23,F23/$M$3*$M$4),"")</f>
        <v>8.4999800000000008</v>
      </c>
      <c r="P23">
        <f t="shared" si="10"/>
        <v>20</v>
      </c>
      <c r="Q23">
        <f t="shared" si="12"/>
        <v>0</v>
      </c>
      <c r="R23">
        <f t="shared" si="13"/>
        <v>0</v>
      </c>
      <c r="S23">
        <f t="array" ref="S23">MAX(IF(ft_nq=P23,row_n))</f>
        <v>0</v>
      </c>
      <c r="T23">
        <f t="shared" si="11"/>
        <v>1</v>
      </c>
      <c r="V23" s="300">
        <f>100-X23</f>
        <v>10</v>
      </c>
      <c r="W23" s="300">
        <f>X23</f>
        <v>90</v>
      </c>
      <c r="X23">
        <v>90</v>
      </c>
      <c r="Y23" s="75">
        <f t="shared" si="3"/>
        <v>17.138468462632165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2.9229699999999998</v>
      </c>
      <c r="H24" s="50">
        <f>IF(FT!B24&lt;&gt;"",FT!B24*100,"")</f>
        <v>50.163100000000007</v>
      </c>
      <c r="I24" s="50">
        <f t="shared" si="2"/>
        <v>1</v>
      </c>
      <c r="J24" t="str">
        <f>IF(FT!B24&lt;&gt;"",FT!E24,"")</f>
        <v>0 [8.910748]</v>
      </c>
      <c r="K24">
        <f>IF(FT!B24&lt;&gt;"",IF(FT!C24&lt;&gt;"",FT!C24,F24/$M$3*$M$4),"")</f>
        <v>8.9107500000000002</v>
      </c>
      <c r="P24">
        <f t="shared" si="10"/>
        <v>21</v>
      </c>
      <c r="Q24">
        <f t="shared" si="12"/>
        <v>0</v>
      </c>
      <c r="R24">
        <f t="shared" si="13"/>
        <v>0</v>
      </c>
      <c r="S24">
        <f t="array" ref="S24">MAX(IF(ft_nq=P24,row_n))</f>
        <v>0</v>
      </c>
      <c r="T24">
        <f t="shared" si="11"/>
        <v>1</v>
      </c>
      <c r="V24" s="300">
        <f>100-X23</f>
        <v>10</v>
      </c>
      <c r="W24" s="300">
        <f>100-X23</f>
        <v>10</v>
      </c>
      <c r="Y24" s="75">
        <f t="shared" si="3"/>
        <v>17.161688282808242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2.90429</v>
      </c>
      <c r="H25" s="50">
        <f>IF(FT!B25&lt;&gt;"",FT!B25*100,"")</f>
        <v>50.091799999999999</v>
      </c>
      <c r="I25" s="50">
        <f t="shared" si="2"/>
        <v>1</v>
      </c>
      <c r="J25" t="str">
        <f>IF(FT!B25&lt;&gt;"",FT!E25,"")</f>
        <v>0 [9.312539]</v>
      </c>
      <c r="K25">
        <f>IF(FT!B25&lt;&gt;"",IF(FT!C25&lt;&gt;"",FT!C25,F25/$M$3*$M$4),"")</f>
        <v>9.3125400000000003</v>
      </c>
      <c r="P25">
        <f t="shared" si="10"/>
        <v>22</v>
      </c>
      <c r="Q25">
        <f t="shared" si="12"/>
        <v>0</v>
      </c>
      <c r="R25">
        <f t="shared" si="13"/>
        <v>0</v>
      </c>
      <c r="S25">
        <f t="array" ref="S25">MAX(IF(ft_nq=P25,row_n))</f>
        <v>0</v>
      </c>
      <c r="T25">
        <f t="shared" si="11"/>
        <v>1</v>
      </c>
      <c r="V25" s="300">
        <f>X23</f>
        <v>90</v>
      </c>
      <c r="W25" s="300">
        <f>100-X23</f>
        <v>10</v>
      </c>
      <c r="Y25" s="75">
        <f t="shared" si="3"/>
        <v>17.247520047929097</v>
      </c>
    </row>
    <row r="26" spans="1:120">
      <c r="A26" s="50">
        <f t="shared" si="5"/>
        <v>24</v>
      </c>
      <c r="B26" s="50">
        <f t="shared" si="0"/>
        <v>0.46337976470588232</v>
      </c>
      <c r="C26" s="50">
        <f>IF(FH!$C$2&gt;0,FH!A26/FH!$C$2,0)</f>
        <v>6.4674418250255258E-2</v>
      </c>
      <c r="D26" s="50">
        <f>IF(hist!$D$2&gt;0,hist!B26/hist!$D$2,0)</f>
        <v>0.31553042911511181</v>
      </c>
      <c r="E26" s="50">
        <f t="shared" si="1"/>
        <v>1.2128188079122912E-3</v>
      </c>
      <c r="F26">
        <f t="shared" si="6"/>
        <v>24</v>
      </c>
      <c r="G26" s="50">
        <f>IF(FT!A26&lt;&gt;"",FT!A26*10,"")</f>
        <v>2.8887400000000003</v>
      </c>
      <c r="H26" s="50">
        <f>IF(FT!B26&lt;&gt;"",FT!B26*100,"")</f>
        <v>50.1723</v>
      </c>
      <c r="I26" s="50">
        <f t="shared" si="2"/>
        <v>1</v>
      </c>
      <c r="J26" t="str">
        <f>IF(FT!B26&lt;&gt;"",FT!E26,"")</f>
        <v>0 [9.723005]</v>
      </c>
      <c r="K26">
        <f>IF(FT!B26&lt;&gt;"",IF(FT!C26&lt;&gt;"",FT!C26,F26/$M$3*$M$4),"")</f>
        <v>9.7230000000000008</v>
      </c>
      <c r="P26">
        <f t="shared" si="10"/>
        <v>23</v>
      </c>
      <c r="Q26">
        <f t="shared" si="12"/>
        <v>0</v>
      </c>
      <c r="R26">
        <f t="shared" si="13"/>
        <v>0</v>
      </c>
      <c r="S26">
        <f t="array" ref="S26">MAX(IF(ft_nq=P26,row_n))</f>
        <v>0</v>
      </c>
      <c r="T26">
        <f t="shared" si="11"/>
        <v>1</v>
      </c>
      <c r="V26" s="300">
        <f>X23</f>
        <v>90</v>
      </c>
      <c r="W26" s="300">
        <f>X23</f>
        <v>90</v>
      </c>
      <c r="Y26" s="75">
        <f t="shared" si="3"/>
        <v>17.368229747225431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2.8685</v>
      </c>
      <c r="H27" s="50">
        <f>IF(FT!B27&lt;&gt;"",FT!B27*100,"")</f>
        <v>50.187499999999993</v>
      </c>
      <c r="I27" s="50">
        <f t="shared" si="2"/>
        <v>1</v>
      </c>
      <c r="J27" t="str">
        <f>IF(FT!B27&lt;&gt;"",FT!E27,"")</f>
        <v>0 [10.120620]</v>
      </c>
      <c r="K27">
        <f>IF(FT!B27&lt;&gt;"",IF(FT!C27&lt;&gt;"",FT!C27,F27/$M$3*$M$4),"")</f>
        <v>10.1206</v>
      </c>
      <c r="P27">
        <f t="shared" si="10"/>
        <v>24</v>
      </c>
      <c r="Q27">
        <f t="shared" si="12"/>
        <v>0</v>
      </c>
      <c r="R27">
        <f t="shared" si="13"/>
        <v>0</v>
      </c>
      <c r="S27">
        <f t="array" ref="S27">MAX(IF(ft_nq=P27,row_n))</f>
        <v>0</v>
      </c>
      <c r="T27">
        <f t="shared" si="11"/>
        <v>1</v>
      </c>
      <c r="V27" s="288">
        <v>60</v>
      </c>
      <c r="W27" s="288">
        <v>60</v>
      </c>
      <c r="X27" t="s">
        <v>1189</v>
      </c>
      <c r="Y27" s="75">
        <f t="shared" si="3"/>
        <v>17.496078089593862</v>
      </c>
      <c r="AS27" t="s">
        <v>2144</v>
      </c>
    </row>
    <row r="28" spans="1:120">
      <c r="A28" s="50">
        <f t="shared" si="5"/>
        <v>26</v>
      </c>
      <c r="B28" s="50">
        <f t="shared" si="0"/>
        <v>0.50199474509803921</v>
      </c>
      <c r="C28" s="50">
        <f>IF(FH!$C$2&gt;0,FH!A28/FH!$C$2,0)</f>
        <v>0.11938911832086274</v>
      </c>
      <c r="D28" s="50">
        <f>IF(hist!$D$2&gt;0,hist!B28/hist!$D$2,0)</f>
        <v>0.26582512733655622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0.11832645037411806</v>
      </c>
      <c r="D31" s="50">
        <f>IF(hist!$D$2&gt;0,hist!B31/hist!$D$2,0)</f>
        <v>0.23805955398471967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0.11487379548213732</v>
      </c>
      <c r="D33" s="50">
        <f>IF(hist!$D$2&gt;0,hist!B33/hist!$D$2,0)</f>
        <v>0.20304680957562574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0.50285999999999997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49.714000000000006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52.679333333333332</v>
      </c>
      <c r="W35" s="23">
        <f>IF(FH_info!G2*1&lt;&gt;0,(1-NORMSDIST((FH_info!G2*1-0.5308)/0.1538))*100,0)</f>
        <v>57.207698612966119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0.23180587515175527</v>
      </c>
      <c r="D36" s="50">
        <f>IF(hist!$D$2&gt;0,hist!B36/hist!$D$2,0)</f>
        <v>0.18617862221716547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1.5803799999999999</v>
      </c>
      <c r="W36" s="495">
        <f>IF(W34&gt;=60,30/40*(W34-60)+70,IF(W34&gt;=35,35/25*(W34-35)+35,IF(W34&gt;=0,W34,0)))</f>
        <v>55.599600000000009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0.3596277614381575</v>
      </c>
      <c r="D39" s="50">
        <f>IF(hist!$D$2&gt;0,hist!B39/hist!$D$2,0)</f>
        <v>0.17548431874266057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0.34687879388203979</v>
      </c>
      <c r="D41" s="50">
        <f>IF(hist!$D$2&gt;0,hist!B41/hist!$D$2,0)</f>
        <v>0.1515043079890401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20.0776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0.46772831867847181</v>
      </c>
      <c r="D44" s="50">
        <f>IF(hist!$D$2&gt;0,hist!B44/hist!$D$2,0)</f>
        <v>0.14072298182997489</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0.48014558347683417</v>
      </c>
      <c r="D46" s="50">
        <f>IF(hist!$D$2&gt;0,hist!B46/hist!$D$2,0)</f>
        <v>0.12893119540664025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0.28486002956370676</v>
      </c>
      <c r="D49" s="50">
        <f>IF(hist!$D$2&gt;0,hist!B49/hist!$D$2,0)</f>
        <v>0.12120055266228483</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0.377290298329295</v>
      </c>
      <c r="D51" s="50">
        <f>IF(hist!$D$2&gt;0,hist!B51/hist!$D$2,0)</f>
        <v>0.11486711794364668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73.611901149114132</v>
      </c>
      <c r="W52" s="303">
        <f ca="1">100-N9</f>
        <v>51.705873076923083</v>
      </c>
      <c r="X52" t="str">
        <f ca="1">"(" &amp; ROUND(V52,1) &amp; " , " &amp; ROUND(100-W52,1) &amp; ")"</f>
        <v>(73.6 , 48.3)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0.39468716823374628</v>
      </c>
      <c r="D54" s="50">
        <f>IF(hist!$D$2&gt;0,hist!B54/hist!$D$2,0)</f>
        <v>0.10840315844449007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0.51659783707451379</v>
      </c>
      <c r="D57" s="50">
        <f>IF(hist!$D$2&gt;0,hist!B57/hist!$D$2,0)</f>
        <v>0.10594230531009952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0.62290526914656386</v>
      </c>
      <c r="D59" s="50">
        <f>IF(hist!$D$2&gt;0,hist!B59/hist!$D$2,0)</f>
        <v>0.10061448948150795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0.60982510680016055</v>
      </c>
      <c r="D62" s="50">
        <f>IF(hist!$D$2&gt;0,hist!B62/hist!$D$2,0)</f>
        <v>9.5272164324363098E-2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0.79329279752924631</v>
      </c>
      <c r="D64" s="50">
        <f>IF(hist!$D$2&gt;0,hist!B64/hist!$D$2,0)</f>
        <v>9.0514842867429904E-2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0.81951915799312203</v>
      </c>
      <c r="D67" s="50">
        <f>IF(hist!$D$2&gt;0,hist!B67/hist!$D$2,0)</f>
        <v>8.2789030401710872E-2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0.80717046880317789</v>
      </c>
      <c r="D69" s="50">
        <f>IF(hist!$D$2&gt;0,hist!B69/hist!$D$2,0)</f>
        <v>7.7649761873735651E-2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0.80630692410458038</v>
      </c>
      <c r="D72" s="50">
        <f>IF(hist!$D$2&gt;0,hist!B72/hist!$D$2,0)</f>
        <v>7.0151175923012343E-2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0.88625592417061605</v>
      </c>
      <c r="D75" s="50">
        <f>IF(hist!$D$2&gt;0,hist!B75/hist!$D$2,0)</f>
        <v>6.1521280278889201E-2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0.84375936565022369</v>
      </c>
      <c r="D77" s="50">
        <f>IF(hist!$D$2&gt;0,hist!B77/hist!$D$2,0)</f>
        <v>5.5071822711228229E-2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1</v>
      </c>
      <c r="D80" s="50">
        <f>IF(hist!$D$2&gt;0,hist!B80/hist!$D$2,0)</f>
        <v>4.9603799353672477E-2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0.96965402335634421</v>
      </c>
      <c r="D82" s="50">
        <f>IF(hist!$D$2&gt;0,hist!B82/hist!$D$2,0)</f>
        <v>4.3183345649002808E-2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0.94289429704921701</v>
      </c>
      <c r="D85" s="50">
        <f>IF(hist!$D$2&gt;0,hist!B85/hist!$D$2,0)</f>
        <v>3.6743552337143451E-2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0.90471546202181219</v>
      </c>
      <c r="D88" s="50">
        <f>IF(hist!$D$2&gt;0,hist!B88/hist!$D$2,0)</f>
        <v>3.0661525114913574E-2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0.92861533147417241</v>
      </c>
      <c r="D90" s="50">
        <f>IF(hist!$D$2&gt;0,hist!B90/hist!$D$2,0)</f>
        <v>2.6605233905743667E-2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0.82709295296729191</v>
      </c>
      <c r="D93" s="50">
        <f>IF(hist!$D$2&gt;0,hist!B93/hist!$D$2,0)</f>
        <v>2.2616625773944434E-2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0.79867217303403892</v>
      </c>
      <c r="D95" s="50">
        <f>IF(hist!$D$2&gt;0,hist!B95/hist!$D$2,0)</f>
        <v>1.9024459247625223E-2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0.74720998867232546</v>
      </c>
      <c r="D98" s="50">
        <f>IF(hist!$D$2&gt;0,hist!B98/hist!$D$2,0)</f>
        <v>1.5693364473515884E-2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0.74880500652738202</v>
      </c>
      <c r="D100" s="50">
        <f>IF(hist!$D$2&gt;0,hist!B100/hist!$D$2,0)</f>
        <v>1.2362273397935363E-2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0.8213783189324555</v>
      </c>
      <c r="D103" s="50">
        <f>IF(hist!$D$2&gt;0,hist!B103/hist!$D$2,0)</f>
        <v>9.5339862195849036E-3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0.80371629000878786</v>
      </c>
      <c r="D106" s="50">
        <f>IF(hist!$D$2&gt;0,hist!B106/hist!$D$2,0)</f>
        <v>7.3051972758841057E-3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0.65238770109162214</v>
      </c>
      <c r="D108" s="50">
        <f>IF(hist!$D$2&gt;0,hist!B108/hist!$D$2,0)</f>
        <v>5.6469027038416695E-3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0.71420734216180803</v>
      </c>
      <c r="D111" s="50">
        <f>IF(hist!$D$2&gt;0,hist!B111/hist!$D$2,0)</f>
        <v>4.7331515711071179E-3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0.68087451679594446</v>
      </c>
      <c r="D113" s="50">
        <f>IF(hist!$D$2&gt;0,hist!B113/hist!$D$2,0)</f>
        <v>3.4664646273794906E-3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0.7060392252480151</v>
      </c>
      <c r="D116" s="50">
        <f>IF(hist!$D$2&gt;0,hist!B116/hist!$D$2,0)</f>
        <v>3.0845249533951163E-3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0.58698688935960541</v>
      </c>
      <c r="D118" s="50">
        <f>IF(hist!$D$2&gt;0,hist!B118/hist!$D$2,0)</f>
        <v>2.2094493365111142E-3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0.52177910526609883</v>
      </c>
      <c r="D121" s="50">
        <f>IF(hist!$D$2&gt;0,hist!B121/hist!$D$2,0)</f>
        <v>1.9000304155914413E-3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0.35106190599554005</v>
      </c>
      <c r="D124" s="50">
        <f>IF(hist!$D$2&gt;0,hist!B124/hist!$D$2,0)</f>
        <v>1.2038341449933589E-3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0.3389768519224029</v>
      </c>
      <c r="D126" s="50">
        <f>IF(hist!$D$2&gt;0,hist!B126/hist!$D$2,0)</f>
        <v>1.0201171230134051E-3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0.20092958046966675</v>
      </c>
      <c r="D129" s="50">
        <f>IF(hist!$D$2&gt;0,hist!B129/hist!$D$2,0)</f>
        <v>5.3181515727899488E-4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0.13897735988987264</v>
      </c>
      <c r="D131" s="50">
        <f>IF(hist!$D$2&gt;0,hist!B131/hist!$D$2,0)</f>
        <v>3.6743404395990731E-4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6.4674418250255258E-2</v>
      </c>
      <c r="D134" s="50">
        <f>IF(hist!$D$2&gt;0,hist!B134/hist!$D$2,0)</f>
        <v>1.9338867483920471E-4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3.6653357918958872E-2</v>
      </c>
      <c r="D136" s="50">
        <f>IF(hist!$D$2&gt;0,hist!B136/hist!$D$2,0)</f>
        <v>1.2086792177450295E-4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6.5471419210313783E-2</v>
      </c>
      <c r="D139" s="50">
        <f>IF(hist!$D$2&gt;0,hist!B139/hist!$D$2,0)</f>
        <v>1.9338867483920471E-4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4.2430217968841277E-2</v>
      </c>
      <c r="D142" s="50">
        <f>IF(hist!$D$2&gt;0,hist!B142/hist!$D$2,0)</f>
        <v>1.2086792177450295E-4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6.5272295962166577E-2</v>
      </c>
      <c r="D144" s="50">
        <f>IF(hist!$D$2&gt;0,hist!B144/hist!$D$2,0)</f>
        <v>1.6921509048430414E-4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7.4435521149225609E-2</v>
      </c>
      <c r="D147" s="50">
        <f>IF(hist!$D$2&gt;0,hist!B147/hist!$D$2,0)</f>
        <v>1.7888304481473714E-4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3.0810055724031431E-2</v>
      </c>
      <c r="D149" s="50">
        <f>IF(hist!$D$2&gt;0,hist!B149/hist!$D$2,0)</f>
        <v>6.7686775899485275E-5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6.2417010814627433E-3</v>
      </c>
      <c r="D152" s="50">
        <f>IF(hist!$D$2&gt;0,hist!B152/hist!$D$2,0)</f>
        <v>1.4505630024467583E-5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6.7728826645941601E-3</v>
      </c>
      <c r="D154" s="50">
        <f>IF(hist!$D$2&gt;0,hist!B154/hist!$D$2,0)</f>
        <v>1.9339607189684087E-5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2.3904339566094188E-3</v>
      </c>
      <c r="D157" s="50">
        <f>IF(hist!$D$2&gt;0,hist!B157/hist!$D$2,0)</f>
        <v>9.6679543304330081E-6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38.2361</v>
      </c>
      <c r="C5" s="49">
        <v>3.6975699999999998</v>
      </c>
      <c r="D5" s="49">
        <v>9.6703499999999991</v>
      </c>
      <c r="E5" s="49">
        <v>20</v>
      </c>
      <c r="F5" s="49">
        <v>31.533899999999999</v>
      </c>
      <c r="G5" s="49">
        <v>50</v>
      </c>
      <c r="H5" s="49">
        <v>46.664400000000001</v>
      </c>
    </row>
    <row r="6" spans="1:10">
      <c r="A6" t="s">
        <v>1111</v>
      </c>
      <c r="B6" s="49">
        <v>32.200200000000002</v>
      </c>
      <c r="C6" s="49">
        <v>1.3519300000000001</v>
      </c>
      <c r="D6" s="49">
        <v>4.1985099999999997</v>
      </c>
      <c r="E6" s="49">
        <v>20</v>
      </c>
      <c r="F6" s="49">
        <v>31.223600000000001</v>
      </c>
      <c r="G6" s="49">
        <v>40</v>
      </c>
      <c r="H6" s="49">
        <v>35.625</v>
      </c>
    </row>
    <row r="7" spans="1:10">
      <c r="A7" t="s">
        <v>1112</v>
      </c>
      <c r="B7" s="49">
        <v>16.61</v>
      </c>
      <c r="C7" s="49">
        <v>16.729199999999999</v>
      </c>
      <c r="D7" s="49">
        <v>100.718</v>
      </c>
      <c r="E7" s="49">
        <v>15</v>
      </c>
      <c r="F7" s="49">
        <v>7.2068599999999998</v>
      </c>
      <c r="G7" s="49">
        <v>40</v>
      </c>
      <c r="H7" s="49">
        <v>48.166200000000003</v>
      </c>
    </row>
    <row r="8" spans="1:10">
      <c r="A8" t="s">
        <v>1113</v>
      </c>
      <c r="B8" s="49">
        <v>32.001800000000003</v>
      </c>
      <c r="C8" s="49">
        <v>6.06264</v>
      </c>
      <c r="D8" s="49">
        <v>18.944700000000001</v>
      </c>
      <c r="E8" s="49">
        <v>20</v>
      </c>
      <c r="F8" s="49">
        <v>25.615100000000002</v>
      </c>
      <c r="G8" s="49">
        <v>50</v>
      </c>
      <c r="H8" s="49">
        <v>40.7425</v>
      </c>
    </row>
    <row r="9" spans="1:10">
      <c r="A9" t="s">
        <v>1114</v>
      </c>
      <c r="B9" s="49">
        <v>75.607799999999997</v>
      </c>
      <c r="C9" s="49">
        <v>4.4304500000000004</v>
      </c>
      <c r="D9" s="49">
        <v>5.8597900000000003</v>
      </c>
      <c r="E9" s="49">
        <v>50</v>
      </c>
      <c r="F9" s="49">
        <v>66.603700000000003</v>
      </c>
      <c r="G9" s="49">
        <v>100</v>
      </c>
      <c r="H9" s="49">
        <v>84.275000000000006</v>
      </c>
    </row>
    <row r="10" spans="1:10">
      <c r="A10" t="s">
        <v>1115</v>
      </c>
      <c r="B10" s="49">
        <v>71.149600000000007</v>
      </c>
      <c r="C10" s="49">
        <v>1.83386</v>
      </c>
      <c r="D10" s="49">
        <v>2.5774699999999999</v>
      </c>
      <c r="E10" s="49">
        <v>40</v>
      </c>
      <c r="F10" s="49">
        <v>68.208500000000001</v>
      </c>
      <c r="G10" s="49">
        <v>100</v>
      </c>
      <c r="H10" s="49">
        <v>75.065100000000001</v>
      </c>
    </row>
    <row r="11" spans="1:10">
      <c r="A11" t="s">
        <v>1116</v>
      </c>
      <c r="B11" s="49">
        <v>22.8203</v>
      </c>
      <c r="C11" s="49">
        <v>1.7145300000000001</v>
      </c>
      <c r="D11" s="49">
        <v>7.5131699999999997</v>
      </c>
      <c r="E11" s="49">
        <v>10</v>
      </c>
      <c r="F11" s="49">
        <v>18.6494</v>
      </c>
      <c r="G11" s="49">
        <v>50</v>
      </c>
      <c r="H11" s="49">
        <v>23.9693</v>
      </c>
    </row>
    <row r="12" spans="1:10">
      <c r="A12" t="s">
        <v>1117</v>
      </c>
      <c r="B12" s="49">
        <v>73.361099999999993</v>
      </c>
      <c r="C12" s="49">
        <v>1.6195299999999999</v>
      </c>
      <c r="D12" s="49">
        <v>2.2076199999999999</v>
      </c>
      <c r="E12" s="49">
        <v>50</v>
      </c>
      <c r="F12" s="49">
        <v>70.466099999999997</v>
      </c>
      <c r="G12" s="49">
        <v>100</v>
      </c>
      <c r="H12" s="49">
        <v>76.750299999999996</v>
      </c>
    </row>
    <row r="13" spans="1:10">
      <c r="A13" t="s">
        <v>1118</v>
      </c>
      <c r="B13" s="49">
        <v>15.1203</v>
      </c>
      <c r="C13" s="49">
        <v>2.6425900000000002</v>
      </c>
      <c r="D13" s="49">
        <v>17.4771</v>
      </c>
      <c r="E13" s="49">
        <v>10</v>
      </c>
      <c r="F13" s="49">
        <v>12.571400000000001</v>
      </c>
      <c r="G13" s="49">
        <v>25</v>
      </c>
      <c r="H13" s="49">
        <v>21.740600000000001</v>
      </c>
      <c r="J13" s="49"/>
    </row>
    <row r="14" spans="1:10">
      <c r="A14" t="s">
        <v>1119</v>
      </c>
      <c r="B14" s="49">
        <v>26.425899999999999</v>
      </c>
      <c r="C14" s="49">
        <v>8.35304</v>
      </c>
      <c r="D14" s="49">
        <v>31.609300000000001</v>
      </c>
      <c r="E14" s="49">
        <v>10</v>
      </c>
      <c r="F14" s="49">
        <v>0.94271499999999997</v>
      </c>
      <c r="G14" s="49">
        <v>50</v>
      </c>
      <c r="H14" s="49">
        <v>32.2149</v>
      </c>
    </row>
    <row r="15" spans="1:10">
      <c r="A15" t="s">
        <v>1120</v>
      </c>
      <c r="B15" s="49">
        <v>-0.111817</v>
      </c>
      <c r="C15" s="49">
        <v>0</v>
      </c>
      <c r="D15" s="49">
        <v>0</v>
      </c>
      <c r="E15" s="49">
        <v>0</v>
      </c>
      <c r="F15" s="49">
        <v>0</v>
      </c>
      <c r="G15" s="49">
        <v>0</v>
      </c>
      <c r="H15" s="49">
        <v>0</v>
      </c>
    </row>
    <row r="16" spans="1:10">
      <c r="A16" t="s">
        <v>1121</v>
      </c>
      <c r="B16" s="49">
        <v>-0.16042100000000001</v>
      </c>
      <c r="C16" s="49">
        <v>0</v>
      </c>
      <c r="D16" s="49">
        <v>0</v>
      </c>
      <c r="E16" s="49">
        <v>0</v>
      </c>
      <c r="F16" s="49">
        <v>0</v>
      </c>
      <c r="G16" s="49">
        <v>0</v>
      </c>
      <c r="H16" s="49">
        <v>0</v>
      </c>
    </row>
    <row r="17" spans="1:8">
      <c r="A17" t="s">
        <v>1122</v>
      </c>
      <c r="B17" s="49">
        <v>20.0776</v>
      </c>
      <c r="C17" s="49">
        <v>0</v>
      </c>
      <c r="D17" s="49">
        <v>0</v>
      </c>
      <c r="E17" s="49">
        <v>0</v>
      </c>
      <c r="F17" s="49">
        <v>0</v>
      </c>
      <c r="G17" s="49">
        <v>0</v>
      </c>
      <c r="H17" s="49">
        <v>0</v>
      </c>
    </row>
    <row r="18" spans="1:8">
      <c r="A18" t="s">
        <v>1123</v>
      </c>
      <c r="B18" s="49">
        <v>0.60367599999999999</v>
      </c>
      <c r="C18" s="49">
        <v>0</v>
      </c>
      <c r="D18" s="49">
        <v>0</v>
      </c>
      <c r="E18" s="49">
        <v>0</v>
      </c>
      <c r="F18" s="49">
        <v>0</v>
      </c>
      <c r="G18" s="49">
        <v>0</v>
      </c>
      <c r="H18" s="49">
        <v>0</v>
      </c>
    </row>
    <row r="19" spans="1:8">
      <c r="A19" t="s">
        <v>1124</v>
      </c>
      <c r="B19" s="49">
        <v>0.60068100000000002</v>
      </c>
      <c r="C19" s="49">
        <v>0</v>
      </c>
      <c r="D19" s="49">
        <v>0</v>
      </c>
      <c r="E19" s="49">
        <v>0</v>
      </c>
      <c r="F19" s="49">
        <v>0</v>
      </c>
      <c r="G19" s="49">
        <v>0</v>
      </c>
      <c r="H19" s="49">
        <v>0</v>
      </c>
    </row>
    <row r="20" spans="1:8">
      <c r="A20" t="s">
        <v>1125</v>
      </c>
      <c r="B20" s="49">
        <v>1.4249E-2</v>
      </c>
      <c r="C20" s="49">
        <v>1.0152100000000001E-2</v>
      </c>
      <c r="D20" s="49">
        <v>0.71247799999999994</v>
      </c>
      <c r="E20" s="49">
        <v>0</v>
      </c>
      <c r="F20" s="49">
        <v>1.2876500000000001E-2</v>
      </c>
      <c r="G20" s="49">
        <v>0</v>
      </c>
      <c r="H20" s="49">
        <v>7.5217699999999998E-2</v>
      </c>
    </row>
    <row r="21" spans="1:8">
      <c r="A21" t="s">
        <v>1126</v>
      </c>
      <c r="B21" s="49">
        <v>2.6103100000000001E-2</v>
      </c>
      <c r="C21" s="49">
        <v>0.104032</v>
      </c>
      <c r="D21" s="49">
        <v>3.98542</v>
      </c>
      <c r="E21" s="49">
        <v>0</v>
      </c>
      <c r="F21" s="49">
        <v>1.5550899999999999E-2</v>
      </c>
      <c r="G21" s="49">
        <v>0</v>
      </c>
      <c r="H21" s="49">
        <v>0.476912</v>
      </c>
    </row>
    <row r="22" spans="1:8">
      <c r="A22" t="s">
        <v>1127</v>
      </c>
      <c r="B22" s="49">
        <v>34.291499999999999</v>
      </c>
      <c r="C22" s="49">
        <v>11.671099999999999</v>
      </c>
      <c r="D22" s="49">
        <v>0.34034999999999999</v>
      </c>
      <c r="E22" s="49">
        <v>0</v>
      </c>
      <c r="F22" s="49">
        <v>18.813500000000001</v>
      </c>
      <c r="G22" s="49">
        <v>0</v>
      </c>
      <c r="H22" s="49">
        <v>54.185200000000002</v>
      </c>
    </row>
    <row r="23" spans="1:8">
      <c r="A23" t="s">
        <v>1128</v>
      </c>
      <c r="B23" s="49">
        <v>24.529399999999999</v>
      </c>
      <c r="C23" s="49">
        <v>3.14832</v>
      </c>
      <c r="D23" s="49">
        <v>0.12834899999999999</v>
      </c>
      <c r="E23" s="49">
        <v>0</v>
      </c>
      <c r="F23" s="49">
        <v>16.388500000000001</v>
      </c>
      <c r="G23" s="49">
        <v>0</v>
      </c>
      <c r="H23" s="49">
        <v>26.118400000000001</v>
      </c>
    </row>
    <row r="24" spans="1:8">
      <c r="A24" t="s">
        <v>1129</v>
      </c>
      <c r="B24" s="49">
        <v>1.44814E-2</v>
      </c>
      <c r="C24" s="49">
        <v>8.6964499999999997E-3</v>
      </c>
      <c r="D24" s="49">
        <v>0.60052799999999995</v>
      </c>
      <c r="E24" s="49">
        <v>0</v>
      </c>
      <c r="F24" s="49">
        <v>1.34739E-2</v>
      </c>
      <c r="G24" s="49">
        <v>0</v>
      </c>
      <c r="H24" s="49">
        <v>5.8399300000000001E-2</v>
      </c>
    </row>
    <row r="25" spans="1:8">
      <c r="A25" t="s">
        <v>1130</v>
      </c>
      <c r="B25" s="49">
        <v>8.6854299999999995E-2</v>
      </c>
      <c r="C25" s="49">
        <v>4.96937E-2</v>
      </c>
      <c r="D25" s="49">
        <v>0.57215000000000005</v>
      </c>
      <c r="E25" s="49">
        <v>0</v>
      </c>
      <c r="F25" s="49">
        <v>1.88615E-2</v>
      </c>
      <c r="G25" s="49">
        <v>0</v>
      </c>
      <c r="H25" s="49">
        <v>0.183698</v>
      </c>
    </row>
    <row r="26" spans="1:8">
      <c r="A26" t="s">
        <v>1131</v>
      </c>
      <c r="B26" s="49">
        <v>2.6961899999999998E-3</v>
      </c>
      <c r="C26" s="49">
        <v>1.12082E-3</v>
      </c>
      <c r="D26" s="49">
        <v>0.41570800000000002</v>
      </c>
      <c r="E26" s="49">
        <v>0</v>
      </c>
      <c r="F26" s="173">
        <v>2.4463200000000001E-3</v>
      </c>
      <c r="G26" s="49">
        <v>0</v>
      </c>
      <c r="H26" s="49">
        <v>8.6657599999999998E-3</v>
      </c>
    </row>
    <row r="27" spans="1:8">
      <c r="A27" t="s">
        <v>1132</v>
      </c>
      <c r="B27" s="173">
        <v>-6.5467299999999999E-6</v>
      </c>
      <c r="C27" s="49">
        <v>2.7162200000000001E-4</v>
      </c>
      <c r="D27" s="49">
        <v>-41.489600000000003</v>
      </c>
      <c r="E27" s="49">
        <v>0</v>
      </c>
      <c r="F27" s="49">
        <v>-1.13587E-3</v>
      </c>
      <c r="G27" s="49">
        <v>0</v>
      </c>
      <c r="H27" s="49">
        <v>1.6868899999999999E-3</v>
      </c>
    </row>
    <row r="28" spans="1:8">
      <c r="A28" t="s">
        <v>1133</v>
      </c>
      <c r="B28" s="49">
        <v>4.2881899999999999E-3</v>
      </c>
      <c r="C28" s="49">
        <v>6.4057200000000002E-3</v>
      </c>
      <c r="D28" s="49">
        <v>1.4938</v>
      </c>
      <c r="E28" s="49">
        <v>0</v>
      </c>
      <c r="F28" s="49">
        <v>2.8233500000000001E-3</v>
      </c>
      <c r="G28" s="49">
        <v>0</v>
      </c>
      <c r="H28" s="49">
        <v>2.7937300000000002E-2</v>
      </c>
    </row>
    <row r="29" spans="1:8">
      <c r="A29" t="s">
        <v>1134</v>
      </c>
      <c r="B29" s="49">
        <v>53.244500000000002</v>
      </c>
      <c r="C29" s="49">
        <v>4.3727400000000003</v>
      </c>
      <c r="D29" s="49">
        <v>8.2125799999999999E-2</v>
      </c>
      <c r="E29" s="49">
        <v>0</v>
      </c>
      <c r="F29" s="49">
        <v>43.729500000000002</v>
      </c>
      <c r="G29" s="49">
        <v>0</v>
      </c>
      <c r="H29" s="49">
        <v>68.164199999999994</v>
      </c>
    </row>
    <row r="30" spans="1:8">
      <c r="A30" t="s">
        <v>1135</v>
      </c>
      <c r="B30" s="49">
        <v>25.050599999999999</v>
      </c>
      <c r="C30" s="49">
        <v>2.49823</v>
      </c>
      <c r="D30" s="49">
        <v>9.97276E-2</v>
      </c>
      <c r="E30" s="49">
        <v>0</v>
      </c>
      <c r="F30" s="49">
        <v>18.267800000000001</v>
      </c>
      <c r="G30" s="49">
        <v>0</v>
      </c>
      <c r="H30" s="49">
        <v>26.277799999999999</v>
      </c>
    </row>
    <row r="31" spans="1:8">
      <c r="A31" t="s">
        <v>1136</v>
      </c>
      <c r="B31" s="49">
        <v>128.892</v>
      </c>
      <c r="C31" s="49">
        <v>15.977</v>
      </c>
      <c r="D31" s="49">
        <v>0.123956</v>
      </c>
      <c r="E31" s="49">
        <v>0</v>
      </c>
      <c r="F31" s="49">
        <v>101.071</v>
      </c>
      <c r="G31" s="49">
        <v>0</v>
      </c>
      <c r="H31" s="49">
        <v>147.886</v>
      </c>
    </row>
    <row r="32" spans="1:8">
      <c r="A32" t="s">
        <v>1137</v>
      </c>
      <c r="B32" s="49">
        <v>0.1661</v>
      </c>
      <c r="C32" s="49">
        <v>0.167292</v>
      </c>
      <c r="D32" s="49">
        <v>1.00718</v>
      </c>
      <c r="E32" s="49">
        <v>0.15</v>
      </c>
      <c r="F32" s="49">
        <v>7.2068599999999997E-2</v>
      </c>
      <c r="G32" s="49">
        <v>0.4</v>
      </c>
      <c r="H32" s="49">
        <v>0.48166199999999998</v>
      </c>
    </row>
    <row r="33" spans="1:8">
      <c r="A33" t="s">
        <v>1138</v>
      </c>
      <c r="B33" s="49">
        <v>0.27638499999999999</v>
      </c>
      <c r="C33" s="49">
        <v>1.07312E-2</v>
      </c>
      <c r="D33" s="49">
        <v>3.8827100000000003E-2</v>
      </c>
      <c r="E33" s="49">
        <v>0</v>
      </c>
      <c r="F33" s="49">
        <v>0.25434600000000002</v>
      </c>
      <c r="G33" s="49">
        <v>0</v>
      </c>
      <c r="H33" s="49">
        <v>0.29968800000000001</v>
      </c>
    </row>
    <row r="34" spans="1:8">
      <c r="A34" t="s">
        <v>1139</v>
      </c>
      <c r="B34" s="49">
        <v>0.151203</v>
      </c>
      <c r="C34" s="49">
        <v>2.6425899999999999E-2</v>
      </c>
      <c r="D34" s="49">
        <v>0.17477100000000001</v>
      </c>
      <c r="E34" s="49">
        <v>0.1</v>
      </c>
      <c r="F34" s="49">
        <v>0.12571399999999999</v>
      </c>
      <c r="G34" s="49">
        <v>0.25</v>
      </c>
      <c r="H34" s="49">
        <v>0.21740599999999999</v>
      </c>
    </row>
    <row r="35" spans="1:8">
      <c r="A35" t="s">
        <v>1140</v>
      </c>
      <c r="B35" s="49">
        <v>6.2594399999999994E-2</v>
      </c>
      <c r="C35" s="49">
        <v>3.5648199999999998E-2</v>
      </c>
      <c r="D35" s="49">
        <v>0.56951200000000002</v>
      </c>
      <c r="E35" s="49">
        <v>0</v>
      </c>
      <c r="F35" s="49">
        <v>4.3267300000000002E-2</v>
      </c>
      <c r="G35" s="49">
        <v>0</v>
      </c>
      <c r="H35" s="49">
        <v>0.15278600000000001</v>
      </c>
    </row>
    <row r="36" spans="1:8">
      <c r="A36" t="s">
        <v>1141</v>
      </c>
      <c r="B36" s="49">
        <v>0.13276399999999999</v>
      </c>
      <c r="C36" s="49">
        <v>9.30787E-2</v>
      </c>
      <c r="D36" s="49">
        <v>0.70108499999999996</v>
      </c>
      <c r="E36" s="49">
        <v>0</v>
      </c>
      <c r="F36" s="49">
        <v>3.9703799999999997E-2</v>
      </c>
      <c r="G36" s="49">
        <v>0</v>
      </c>
      <c r="H36" s="49">
        <v>0.49795800000000001</v>
      </c>
    </row>
    <row r="37" spans="1:8">
      <c r="A37" t="s">
        <v>1142</v>
      </c>
      <c r="B37" s="49">
        <v>0.26425900000000002</v>
      </c>
      <c r="C37" s="49">
        <v>8.3530400000000005E-2</v>
      </c>
      <c r="D37" s="49">
        <v>0.31609300000000001</v>
      </c>
      <c r="E37" s="49">
        <v>0.1</v>
      </c>
      <c r="F37" s="49">
        <v>9.4271500000000005E-3</v>
      </c>
      <c r="G37" s="49">
        <v>0.5</v>
      </c>
      <c r="H37" s="49">
        <v>0.32214900000000002</v>
      </c>
    </row>
    <row r="38" spans="1:8">
      <c r="A38" t="s">
        <v>1143</v>
      </c>
      <c r="B38" s="49">
        <v>3.0131399999999999</v>
      </c>
      <c r="C38" s="49">
        <v>91.174199999999999</v>
      </c>
      <c r="D38" s="49">
        <v>30.258900000000001</v>
      </c>
      <c r="E38" s="49">
        <v>0</v>
      </c>
      <c r="F38" s="49">
        <v>-104.741</v>
      </c>
      <c r="G38" s="49">
        <v>0</v>
      </c>
      <c r="H38" s="49">
        <v>384.447</v>
      </c>
    </row>
    <row r="39" spans="1:8">
      <c r="A39" t="s">
        <v>1144</v>
      </c>
      <c r="B39" s="49">
        <v>0.82040999999999997</v>
      </c>
      <c r="C39" s="49">
        <v>14.928599999999999</v>
      </c>
      <c r="D39" s="49">
        <v>18.1965</v>
      </c>
      <c r="E39" s="49">
        <v>0</v>
      </c>
      <c r="F39" s="49">
        <v>-25.533000000000001</v>
      </c>
      <c r="G39" s="49">
        <v>0</v>
      </c>
      <c r="H39" s="49">
        <v>30.401199999999999</v>
      </c>
    </row>
    <row r="40" spans="1:8">
      <c r="A40" t="s">
        <v>1145</v>
      </c>
      <c r="B40" s="49">
        <v>3.91249</v>
      </c>
      <c r="C40" s="49">
        <v>1.7111000000000001</v>
      </c>
      <c r="D40" s="49">
        <v>0.43734499999999998</v>
      </c>
      <c r="E40" s="49">
        <v>0</v>
      </c>
      <c r="F40" s="49">
        <v>1.3589100000000001</v>
      </c>
      <c r="G40" s="49">
        <v>0</v>
      </c>
      <c r="H40" s="49">
        <v>6.6291500000000001</v>
      </c>
    </row>
    <row r="41" spans="1:8">
      <c r="A41" t="s">
        <v>1146</v>
      </c>
      <c r="B41" s="49">
        <v>2.12766E-2</v>
      </c>
      <c r="C41" s="49">
        <v>0.42010999999999998</v>
      </c>
      <c r="D41" s="49">
        <v>19.745200000000001</v>
      </c>
      <c r="E41" s="49">
        <v>0</v>
      </c>
      <c r="F41" s="49">
        <v>-1</v>
      </c>
      <c r="G41" s="49">
        <v>0</v>
      </c>
      <c r="H41" s="49">
        <v>0.84897</v>
      </c>
    </row>
    <row r="42" spans="1:8">
      <c r="A42" t="s">
        <v>1147</v>
      </c>
      <c r="B42" s="49">
        <v>-5.6878600000000001E-2</v>
      </c>
      <c r="C42" s="49">
        <v>0.31012600000000001</v>
      </c>
      <c r="D42" s="49">
        <v>-5.45242</v>
      </c>
      <c r="E42" s="49">
        <v>0</v>
      </c>
      <c r="F42" s="49">
        <v>-0.35271000000000002</v>
      </c>
      <c r="G42" s="49">
        <v>0</v>
      </c>
      <c r="H42" s="49">
        <v>0.76239500000000004</v>
      </c>
    </row>
    <row r="43" spans="1:8">
      <c r="A43" t="s">
        <v>1148</v>
      </c>
      <c r="B43" s="49">
        <v>0.238979</v>
      </c>
      <c r="C43" s="49">
        <v>3.75068E-2</v>
      </c>
      <c r="D43" s="49">
        <v>0.156946</v>
      </c>
      <c r="E43" s="49">
        <v>0</v>
      </c>
      <c r="F43" s="49">
        <v>0.18076800000000001</v>
      </c>
      <c r="G43" s="49">
        <v>0</v>
      </c>
      <c r="H43" s="49">
        <v>0.30980400000000002</v>
      </c>
    </row>
    <row r="44" spans="1:8">
      <c r="A44" t="s">
        <v>1149</v>
      </c>
      <c r="B44" s="49">
        <v>10.0608</v>
      </c>
      <c r="C44" s="49">
        <v>7.6553000000000004</v>
      </c>
      <c r="D44" s="49">
        <v>0.76090100000000005</v>
      </c>
      <c r="E44" s="49">
        <v>0</v>
      </c>
      <c r="F44" s="49">
        <v>-6.0761000000000003</v>
      </c>
      <c r="G44" s="49">
        <v>0</v>
      </c>
      <c r="H44" s="49">
        <v>18.410299999999999</v>
      </c>
    </row>
    <row r="45" spans="1:8">
      <c r="A45" t="s">
        <v>1150</v>
      </c>
      <c r="B45" s="49">
        <v>49.829700000000003</v>
      </c>
      <c r="C45" s="49">
        <v>4.0275699999999999</v>
      </c>
      <c r="D45" s="49">
        <v>8.0826599999999998E-2</v>
      </c>
      <c r="E45" s="49">
        <v>0</v>
      </c>
      <c r="F45" s="49">
        <v>39.712899999999998</v>
      </c>
      <c r="G45" s="49">
        <v>0</v>
      </c>
      <c r="H45" s="49">
        <v>60.100999999999999</v>
      </c>
    </row>
    <row r="46" spans="1:8">
      <c r="A46" t="s">
        <v>1151</v>
      </c>
      <c r="B46" s="49">
        <v>28.7742</v>
      </c>
      <c r="C46" s="49">
        <v>1.4366699999999999</v>
      </c>
      <c r="D46" s="49">
        <v>4.9929000000000001E-2</v>
      </c>
      <c r="E46" s="49">
        <v>0</v>
      </c>
      <c r="F46" s="49">
        <v>27.350300000000001</v>
      </c>
      <c r="G46" s="49">
        <v>0</v>
      </c>
      <c r="H46" s="49">
        <v>31.773900000000001</v>
      </c>
    </row>
    <row r="47" spans="1:8">
      <c r="A47" t="s">
        <v>1152</v>
      </c>
      <c r="B47" s="49">
        <v>0.64464699999999997</v>
      </c>
      <c r="C47" s="49">
        <v>0.23000799999999999</v>
      </c>
      <c r="D47" s="49">
        <v>0.35679699999999998</v>
      </c>
      <c r="E47" s="49">
        <v>0</v>
      </c>
      <c r="F47" s="49">
        <v>0.37829200000000002</v>
      </c>
      <c r="G47" s="49">
        <v>0</v>
      </c>
      <c r="H47" s="49">
        <v>1.1449800000000001</v>
      </c>
    </row>
    <row r="48" spans="1:8">
      <c r="A48" t="s">
        <v>1153</v>
      </c>
      <c r="B48" s="49">
        <v>0.94338699999999998</v>
      </c>
      <c r="C48" s="49">
        <v>0.128164</v>
      </c>
      <c r="D48" s="49">
        <v>0.135855</v>
      </c>
      <c r="E48" s="49">
        <v>0</v>
      </c>
      <c r="F48" s="49">
        <v>0.69009100000000001</v>
      </c>
      <c r="G48" s="49">
        <v>0</v>
      </c>
      <c r="H48" s="49">
        <v>1.0924700000000001</v>
      </c>
    </row>
    <row r="50" spans="1:4">
      <c r="A50" t="str">
        <f>lang!B7</f>
        <v>긍정감정</v>
      </c>
      <c r="B50" s="134">
        <f>SUM(B9:B12)</f>
        <v>242.93880000000001</v>
      </c>
      <c r="C50" s="134"/>
      <c r="D50" s="134">
        <f t="shared" ref="D50" si="0">SUM(D9:D12)</f>
        <v>18.158049999999999</v>
      </c>
    </row>
    <row r="51" spans="1:4">
      <c r="A51" t="str">
        <f>lang!B8</f>
        <v>부정감정</v>
      </c>
      <c r="B51" s="134">
        <f>SUM(B5:B8)</f>
        <v>119.04810000000001</v>
      </c>
      <c r="C51" s="134"/>
      <c r="D51" s="134">
        <f t="shared" ref="D51" si="1">SUM(D5:D8)</f>
        <v>133.53156000000001</v>
      </c>
    </row>
    <row r="52" spans="1:4">
      <c r="A52" t="str">
        <f>lang!B9</f>
        <v>생리감정</v>
      </c>
      <c r="B52" s="134">
        <f>SUM(B13:B14)</f>
        <v>41.546199999999999</v>
      </c>
      <c r="C52" s="134"/>
      <c r="D52" s="134">
        <f t="shared" ref="D52" si="2">SUM(D13:D14)</f>
        <v>49.086399999999998</v>
      </c>
    </row>
    <row r="53" spans="1:4">
      <c r="B53" s="50">
        <f>SUM(B50:B52)</f>
        <v>403.53309999999999</v>
      </c>
      <c r="D53" s="50">
        <f>SUM(D50:D52)</f>
        <v>200.77601000000001</v>
      </c>
    </row>
    <row r="54" spans="1:4">
      <c r="A54" t="str">
        <f>lang!B7</f>
        <v>긍정감정</v>
      </c>
      <c r="B54" s="135">
        <f>IF(B$53&lt;&gt;0,B50/B$53,0)</f>
        <v>0.60202942459986564</v>
      </c>
      <c r="C54" s="135"/>
      <c r="D54" s="135">
        <f>IF(D$53&lt;&gt;0,D50/D$53,0)</f>
        <v>9.0439340835590853E-2</v>
      </c>
    </row>
    <row r="55" spans="1:4">
      <c r="A55" t="str">
        <f>lang!B8</f>
        <v>부정감정</v>
      </c>
      <c r="B55" s="135">
        <f>IF(B$53&lt;&gt;0,B51/B$53,0)</f>
        <v>0.29501446101943063</v>
      </c>
      <c r="C55" s="135"/>
      <c r="D55" s="135">
        <f>IF(D$53&lt;&gt;0,D51/D$53,0)</f>
        <v>0.66507726695036928</v>
      </c>
    </row>
    <row r="56" spans="1:4">
      <c r="A56" t="str">
        <f>lang!B9</f>
        <v>생리감정</v>
      </c>
      <c r="B56" s="135">
        <f>IF(B$53&lt;&gt;0,B52/B$53,0)</f>
        <v>0.10295611438070384</v>
      </c>
      <c r="C56" s="135"/>
      <c r="D56" s="135">
        <f>IF(D$53&lt;&gt;0,D52/D$53,0)</f>
        <v>0.24448339221403989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19.686299999999999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0.40261400000000003</v>
      </c>
      <c r="B8" s="49">
        <v>0.40261400000000003</v>
      </c>
    </row>
    <row r="9" spans="1:3">
      <c r="A9" s="49">
        <v>0</v>
      </c>
      <c r="B9" s="49">
        <v>0</v>
      </c>
    </row>
    <row r="10" spans="1:3">
      <c r="A10" s="49">
        <v>0.59215700000000004</v>
      </c>
      <c r="B10" s="49">
        <v>0.59215700000000004</v>
      </c>
    </row>
    <row r="11" spans="1:3">
      <c r="A11" s="49">
        <v>0</v>
      </c>
      <c r="B11" s="49">
        <v>0</v>
      </c>
    </row>
    <row r="12" spans="1:3">
      <c r="A12" s="49">
        <v>0</v>
      </c>
      <c r="B12" s="49">
        <v>0</v>
      </c>
    </row>
    <row r="13" spans="1:3">
      <c r="A13" s="49">
        <v>0.90457500000000002</v>
      </c>
      <c r="B13" s="49">
        <v>0.90457500000000002</v>
      </c>
    </row>
    <row r="14" spans="1:3">
      <c r="A14" s="49">
        <v>0</v>
      </c>
      <c r="B14" s="49">
        <v>0</v>
      </c>
    </row>
    <row r="15" spans="1:3">
      <c r="A15" s="49">
        <v>0.911111</v>
      </c>
      <c r="B15" s="49">
        <v>0.911111</v>
      </c>
    </row>
    <row r="16" spans="1:3">
      <c r="A16" s="49">
        <v>0</v>
      </c>
      <c r="B16" s="49">
        <v>0</v>
      </c>
    </row>
    <row r="17" spans="1:2">
      <c r="A17" s="49">
        <v>0</v>
      </c>
      <c r="B17" s="49">
        <v>0</v>
      </c>
    </row>
    <row r="18" spans="1:2">
      <c r="A18" s="49">
        <v>0.584314</v>
      </c>
      <c r="B18" s="49">
        <v>0.584314</v>
      </c>
    </row>
    <row r="19" spans="1:2">
      <c r="A19" s="49">
        <v>0</v>
      </c>
      <c r="B19" s="49">
        <v>0</v>
      </c>
    </row>
    <row r="20" spans="1:2">
      <c r="A20" s="49">
        <v>0</v>
      </c>
      <c r="B20" s="49">
        <v>0</v>
      </c>
    </row>
    <row r="21" spans="1:2">
      <c r="A21" s="49">
        <v>0.80392200000000003</v>
      </c>
      <c r="B21" s="49">
        <v>0.80392200000000003</v>
      </c>
    </row>
    <row r="22" spans="1:2">
      <c r="A22" s="49">
        <v>0</v>
      </c>
      <c r="B22" s="49">
        <v>0</v>
      </c>
    </row>
    <row r="23" spans="1:2">
      <c r="A23" s="49">
        <v>1.0405199999999999</v>
      </c>
      <c r="B23" s="49">
        <v>1.0405199999999999</v>
      </c>
    </row>
    <row r="24" spans="1:2">
      <c r="A24" s="49">
        <v>0</v>
      </c>
      <c r="B24" s="49">
        <v>0</v>
      </c>
    </row>
    <row r="25" spans="1:2">
      <c r="A25" s="49">
        <v>0</v>
      </c>
      <c r="B25" s="49">
        <v>0</v>
      </c>
    </row>
    <row r="26" spans="1:2">
      <c r="A26" s="49">
        <v>1.2732000000000001</v>
      </c>
      <c r="B26" s="49">
        <v>1.2732000000000001</v>
      </c>
    </row>
    <row r="27" spans="1:2">
      <c r="A27" s="49">
        <v>0</v>
      </c>
      <c r="B27" s="49">
        <v>0</v>
      </c>
    </row>
    <row r="28" spans="1:2">
      <c r="A28" s="49">
        <v>2.35033</v>
      </c>
      <c r="B28" s="49">
        <v>2.35033</v>
      </c>
    </row>
    <row r="29" spans="1:2">
      <c r="A29" s="49">
        <v>0</v>
      </c>
      <c r="B29" s="49">
        <v>0</v>
      </c>
    </row>
    <row r="30" spans="1:2">
      <c r="A30" s="49">
        <v>0</v>
      </c>
      <c r="B30" s="49">
        <v>0</v>
      </c>
    </row>
    <row r="31" spans="1:2">
      <c r="A31" s="49">
        <v>2.3294100000000002</v>
      </c>
      <c r="B31" s="49">
        <v>2.3294100000000002</v>
      </c>
    </row>
    <row r="32" spans="1:2">
      <c r="A32" s="49">
        <v>0</v>
      </c>
      <c r="B32" s="49">
        <v>0</v>
      </c>
    </row>
    <row r="33" spans="1:2">
      <c r="A33" s="49">
        <v>2.2614399999999999</v>
      </c>
      <c r="B33" s="49">
        <v>2.2614399999999999</v>
      </c>
    </row>
    <row r="34" spans="1:2">
      <c r="A34" s="49">
        <v>0</v>
      </c>
      <c r="B34" s="49">
        <v>0</v>
      </c>
    </row>
    <row r="35" spans="1:2">
      <c r="A35" s="49">
        <v>0</v>
      </c>
      <c r="B35" s="49">
        <v>0</v>
      </c>
    </row>
    <row r="36" spans="1:2">
      <c r="A36" s="49">
        <v>4.5633999999999997</v>
      </c>
      <c r="B36" s="49">
        <v>4.5633999999999997</v>
      </c>
    </row>
    <row r="37" spans="1:2">
      <c r="A37" s="49">
        <v>0</v>
      </c>
      <c r="B37" s="49">
        <v>0</v>
      </c>
    </row>
    <row r="38" spans="1:2">
      <c r="A38" s="49">
        <v>0</v>
      </c>
      <c r="B38" s="49">
        <v>0</v>
      </c>
    </row>
    <row r="39" spans="1:2">
      <c r="A39" s="49">
        <v>7.0797400000000001</v>
      </c>
      <c r="B39" s="49">
        <v>7.0797400000000001</v>
      </c>
    </row>
    <row r="40" spans="1:2">
      <c r="A40" s="49">
        <v>0</v>
      </c>
      <c r="B40" s="49">
        <v>0</v>
      </c>
    </row>
    <row r="41" spans="1:2">
      <c r="A41" s="49">
        <v>6.8287599999999999</v>
      </c>
      <c r="B41" s="49">
        <v>6.8287599999999999</v>
      </c>
    </row>
    <row r="42" spans="1:2">
      <c r="A42" s="49">
        <v>0</v>
      </c>
      <c r="B42" s="49">
        <v>0</v>
      </c>
    </row>
    <row r="43" spans="1:2">
      <c r="A43" s="49">
        <v>0</v>
      </c>
      <c r="B43" s="49">
        <v>0</v>
      </c>
    </row>
    <row r="44" spans="1:2">
      <c r="A44" s="49">
        <v>9.2078399999999991</v>
      </c>
      <c r="B44" s="49">
        <v>9.2078399999999991</v>
      </c>
    </row>
    <row r="45" spans="1:2">
      <c r="A45" s="49">
        <v>0</v>
      </c>
      <c r="B45" s="49">
        <v>0</v>
      </c>
    </row>
    <row r="46" spans="1:2">
      <c r="A46" s="49">
        <v>9.4522899999999996</v>
      </c>
      <c r="B46" s="49">
        <v>9.4522899999999996</v>
      </c>
    </row>
    <row r="47" spans="1:2">
      <c r="A47" s="49">
        <v>0</v>
      </c>
      <c r="B47" s="49">
        <v>0</v>
      </c>
    </row>
    <row r="48" spans="1:2">
      <c r="A48" s="49">
        <v>0</v>
      </c>
      <c r="B48" s="49">
        <v>0</v>
      </c>
    </row>
    <row r="49" spans="1:2">
      <c r="A49" s="49">
        <v>5.6078400000000004</v>
      </c>
      <c r="B49" s="49">
        <v>5.6078400000000004</v>
      </c>
    </row>
    <row r="50" spans="1:2">
      <c r="A50" s="49">
        <v>0</v>
      </c>
      <c r="B50" s="49">
        <v>0</v>
      </c>
    </row>
    <row r="51" spans="1:2">
      <c r="A51" s="49">
        <v>7.4274500000000003</v>
      </c>
      <c r="B51" s="49">
        <v>7.4274500000000003</v>
      </c>
    </row>
    <row r="52" spans="1:2">
      <c r="A52" s="49">
        <v>0</v>
      </c>
      <c r="B52" s="49">
        <v>0</v>
      </c>
    </row>
    <row r="53" spans="1:2">
      <c r="A53" s="49">
        <v>0</v>
      </c>
      <c r="B53" s="49">
        <v>0</v>
      </c>
    </row>
    <row r="54" spans="1:2">
      <c r="A54" s="49">
        <v>7.7699299999999996</v>
      </c>
      <c r="B54" s="49">
        <v>7.7699299999999996</v>
      </c>
    </row>
    <row r="55" spans="1:2">
      <c r="A55" s="49">
        <v>0</v>
      </c>
      <c r="B55" s="49">
        <v>0</v>
      </c>
    </row>
    <row r="56" spans="1:2">
      <c r="A56" s="49">
        <v>0</v>
      </c>
      <c r="B56" s="49">
        <v>0</v>
      </c>
    </row>
    <row r="57" spans="1:2">
      <c r="A57" s="49">
        <v>10.1699</v>
      </c>
      <c r="B57" s="49">
        <v>10.1699</v>
      </c>
    </row>
    <row r="58" spans="1:2">
      <c r="A58" s="49">
        <v>0</v>
      </c>
      <c r="B58" s="49">
        <v>0</v>
      </c>
    </row>
    <row r="59" spans="1:2">
      <c r="A59" s="49">
        <v>12.262700000000001</v>
      </c>
      <c r="B59" s="49">
        <v>12.262700000000001</v>
      </c>
    </row>
    <row r="60" spans="1:2">
      <c r="A60" s="49">
        <v>0</v>
      </c>
      <c r="B60" s="49">
        <v>0</v>
      </c>
    </row>
    <row r="61" spans="1:2">
      <c r="A61" s="49">
        <v>0</v>
      </c>
      <c r="B61" s="49">
        <v>0</v>
      </c>
    </row>
    <row r="62" spans="1:2">
      <c r="A62" s="49">
        <v>12.0052</v>
      </c>
      <c r="B62" s="49">
        <v>12.0052</v>
      </c>
    </row>
    <row r="63" spans="1:2">
      <c r="A63" s="49">
        <v>0</v>
      </c>
      <c r="B63" s="49">
        <v>0</v>
      </c>
    </row>
    <row r="64" spans="1:2">
      <c r="A64" s="49">
        <v>15.617000000000001</v>
      </c>
      <c r="B64" s="49">
        <v>15.617000000000001</v>
      </c>
    </row>
    <row r="65" spans="1:2">
      <c r="A65" s="49">
        <v>0</v>
      </c>
      <c r="B65" s="49">
        <v>0</v>
      </c>
    </row>
    <row r="66" spans="1:2">
      <c r="A66" s="49">
        <v>0</v>
      </c>
      <c r="B66" s="49">
        <v>0</v>
      </c>
    </row>
    <row r="67" spans="1:2">
      <c r="A67" s="49">
        <v>16.133299999999998</v>
      </c>
      <c r="B67" s="49">
        <v>16.133299999999998</v>
      </c>
    </row>
    <row r="68" spans="1:2">
      <c r="A68" s="49">
        <v>0</v>
      </c>
      <c r="B68" s="49">
        <v>0</v>
      </c>
    </row>
    <row r="69" spans="1:2">
      <c r="A69" s="49">
        <v>15.8902</v>
      </c>
      <c r="B69" s="49">
        <v>15.8902</v>
      </c>
    </row>
    <row r="70" spans="1:2">
      <c r="A70" s="49">
        <v>0</v>
      </c>
      <c r="B70" s="49">
        <v>0</v>
      </c>
    </row>
    <row r="71" spans="1:2">
      <c r="A71" s="49">
        <v>0</v>
      </c>
      <c r="B71" s="49">
        <v>0</v>
      </c>
    </row>
    <row r="72" spans="1:2">
      <c r="A72" s="49">
        <v>15.873200000000001</v>
      </c>
      <c r="B72" s="49">
        <v>15.873200000000001</v>
      </c>
    </row>
    <row r="73" spans="1:2">
      <c r="A73" s="49">
        <v>0</v>
      </c>
      <c r="B73" s="49">
        <v>0</v>
      </c>
    </row>
    <row r="74" spans="1:2">
      <c r="A74" s="49">
        <v>0</v>
      </c>
      <c r="B74" s="49">
        <v>0</v>
      </c>
    </row>
    <row r="75" spans="1:2">
      <c r="A75" s="49">
        <v>17.447099999999999</v>
      </c>
      <c r="B75" s="49">
        <v>17.447099999999999</v>
      </c>
    </row>
    <row r="76" spans="1:2">
      <c r="A76" s="49">
        <v>0</v>
      </c>
      <c r="B76" s="49">
        <v>0</v>
      </c>
    </row>
    <row r="77" spans="1:2">
      <c r="A77" s="49">
        <v>16.610499999999998</v>
      </c>
      <c r="B77" s="49">
        <v>16.610499999999998</v>
      </c>
    </row>
    <row r="78" spans="1:2">
      <c r="A78" s="49">
        <v>0</v>
      </c>
      <c r="B78" s="49">
        <v>0</v>
      </c>
    </row>
    <row r="79" spans="1:2">
      <c r="A79" s="49">
        <v>0</v>
      </c>
      <c r="B79" s="49">
        <v>0</v>
      </c>
    </row>
    <row r="80" spans="1:2">
      <c r="A80" s="49">
        <v>19.686299999999999</v>
      </c>
      <c r="B80" s="49">
        <v>19.686299999999999</v>
      </c>
    </row>
    <row r="81" spans="1:2">
      <c r="A81" s="49">
        <v>0</v>
      </c>
      <c r="B81" s="49">
        <v>0</v>
      </c>
    </row>
    <row r="82" spans="1:2">
      <c r="A82" s="49">
        <v>19.088899999999999</v>
      </c>
      <c r="B82" s="49">
        <v>19.088899999999999</v>
      </c>
    </row>
    <row r="83" spans="1:2">
      <c r="A83" s="49">
        <v>0</v>
      </c>
      <c r="B83" s="49">
        <v>0</v>
      </c>
    </row>
    <row r="84" spans="1:2">
      <c r="A84" s="49">
        <v>0</v>
      </c>
      <c r="B84" s="49">
        <v>0</v>
      </c>
    </row>
    <row r="85" spans="1:2">
      <c r="A85" s="49">
        <v>18.562100000000001</v>
      </c>
      <c r="B85" s="49">
        <v>18.562100000000001</v>
      </c>
    </row>
    <row r="86" spans="1:2">
      <c r="A86" s="49">
        <v>0</v>
      </c>
      <c r="B86" s="49">
        <v>0</v>
      </c>
    </row>
    <row r="87" spans="1:2">
      <c r="A87" s="49">
        <v>0</v>
      </c>
      <c r="B87" s="49">
        <v>0</v>
      </c>
    </row>
    <row r="88" spans="1:2">
      <c r="A88" s="49">
        <v>17.810500000000001</v>
      </c>
      <c r="B88" s="49">
        <v>17.810500000000001</v>
      </c>
    </row>
    <row r="89" spans="1:2">
      <c r="A89" s="49">
        <v>0</v>
      </c>
      <c r="B89" s="49">
        <v>0</v>
      </c>
    </row>
    <row r="90" spans="1:2">
      <c r="A90" s="49">
        <v>18.280999999999999</v>
      </c>
      <c r="B90" s="49">
        <v>18.280999999999999</v>
      </c>
    </row>
    <row r="91" spans="1:2">
      <c r="A91" s="49">
        <v>0</v>
      </c>
      <c r="B91" s="49">
        <v>0</v>
      </c>
    </row>
    <row r="92" spans="1:2">
      <c r="A92" s="49">
        <v>0</v>
      </c>
      <c r="B92" s="49">
        <v>0</v>
      </c>
    </row>
    <row r="93" spans="1:2">
      <c r="A93" s="49">
        <v>16.282399999999999</v>
      </c>
      <c r="B93" s="49">
        <v>16.282399999999999</v>
      </c>
    </row>
    <row r="94" spans="1:2">
      <c r="A94" s="49">
        <v>0</v>
      </c>
      <c r="B94" s="49">
        <v>0</v>
      </c>
    </row>
    <row r="95" spans="1:2">
      <c r="A95" s="49">
        <v>15.722899999999999</v>
      </c>
      <c r="B95" s="49">
        <v>15.722899999999999</v>
      </c>
    </row>
    <row r="96" spans="1:2">
      <c r="A96" s="49">
        <v>0</v>
      </c>
      <c r="B96" s="49">
        <v>0</v>
      </c>
    </row>
    <row r="97" spans="1:2">
      <c r="A97" s="49">
        <v>0</v>
      </c>
      <c r="B97" s="49">
        <v>0</v>
      </c>
    </row>
    <row r="98" spans="1:2">
      <c r="A98" s="49">
        <v>14.7098</v>
      </c>
      <c r="B98" s="49">
        <v>14.7098</v>
      </c>
    </row>
    <row r="99" spans="1:2">
      <c r="A99" s="49">
        <v>0</v>
      </c>
      <c r="B99" s="49">
        <v>0</v>
      </c>
    </row>
    <row r="100" spans="1:2">
      <c r="A100" s="49">
        <v>14.741199999999999</v>
      </c>
      <c r="B100" s="49">
        <v>14.741199999999999</v>
      </c>
    </row>
    <row r="101" spans="1:2">
      <c r="A101" s="49">
        <v>0</v>
      </c>
      <c r="B101" s="49">
        <v>0</v>
      </c>
    </row>
    <row r="102" spans="1:2">
      <c r="A102" s="49">
        <v>0</v>
      </c>
      <c r="B102" s="49">
        <v>0</v>
      </c>
    </row>
    <row r="103" spans="1:2">
      <c r="A103" s="49">
        <v>16.169899999999998</v>
      </c>
      <c r="B103" s="49">
        <v>16.169899999999998</v>
      </c>
    </row>
    <row r="104" spans="1:2">
      <c r="A104" s="49">
        <v>0</v>
      </c>
      <c r="B104" s="49">
        <v>0</v>
      </c>
    </row>
    <row r="105" spans="1:2">
      <c r="A105" s="49">
        <v>0</v>
      </c>
      <c r="B105" s="49">
        <v>0</v>
      </c>
    </row>
    <row r="106" spans="1:2">
      <c r="A106" s="49">
        <v>15.8222</v>
      </c>
      <c r="B106" s="49">
        <v>15.8222</v>
      </c>
    </row>
    <row r="107" spans="1:2">
      <c r="A107" s="49">
        <v>0</v>
      </c>
      <c r="B107" s="49">
        <v>0</v>
      </c>
    </row>
    <row r="108" spans="1:2">
      <c r="A108" s="49">
        <v>12.8431</v>
      </c>
      <c r="B108" s="49">
        <v>12.8431</v>
      </c>
    </row>
    <row r="109" spans="1:2">
      <c r="A109" s="49">
        <v>0</v>
      </c>
      <c r="B109" s="49">
        <v>0</v>
      </c>
    </row>
    <row r="110" spans="1:2">
      <c r="A110" s="49">
        <v>0</v>
      </c>
      <c r="B110" s="49">
        <v>0</v>
      </c>
    </row>
    <row r="111" spans="1:2">
      <c r="A111" s="49">
        <v>14.0601</v>
      </c>
      <c r="B111" s="49">
        <v>14.0601</v>
      </c>
    </row>
    <row r="112" spans="1:2">
      <c r="A112" s="49">
        <v>0</v>
      </c>
      <c r="B112" s="49">
        <v>0</v>
      </c>
    </row>
    <row r="113" spans="1:2">
      <c r="A113" s="49">
        <v>13.4039</v>
      </c>
      <c r="B113" s="49">
        <v>13.4039</v>
      </c>
    </row>
    <row r="114" spans="1:2">
      <c r="A114" s="49">
        <v>0</v>
      </c>
      <c r="B114" s="49">
        <v>0</v>
      </c>
    </row>
    <row r="115" spans="1:2">
      <c r="A115" s="49">
        <v>0</v>
      </c>
      <c r="B115" s="49">
        <v>0</v>
      </c>
    </row>
    <row r="116" spans="1:2">
      <c r="A116" s="49">
        <v>13.8993</v>
      </c>
      <c r="B116" s="49">
        <v>13.8993</v>
      </c>
    </row>
    <row r="117" spans="1:2">
      <c r="A117" s="49">
        <v>0</v>
      </c>
      <c r="B117" s="49">
        <v>0</v>
      </c>
    </row>
    <row r="118" spans="1:2">
      <c r="A118" s="49">
        <v>11.5556</v>
      </c>
      <c r="B118" s="49">
        <v>11.5556</v>
      </c>
    </row>
    <row r="119" spans="1:2">
      <c r="A119" s="49">
        <v>0</v>
      </c>
      <c r="B119" s="49">
        <v>0</v>
      </c>
    </row>
    <row r="120" spans="1:2">
      <c r="A120" s="49">
        <v>0</v>
      </c>
      <c r="B120" s="49">
        <v>0</v>
      </c>
    </row>
    <row r="121" spans="1:2">
      <c r="A121" s="49">
        <v>10.2719</v>
      </c>
      <c r="B121" s="49">
        <v>10.2719</v>
      </c>
    </row>
    <row r="122" spans="1:2">
      <c r="A122" s="49">
        <v>0</v>
      </c>
      <c r="B122" s="49">
        <v>0</v>
      </c>
    </row>
    <row r="123" spans="1:2">
      <c r="A123" s="49">
        <v>0</v>
      </c>
      <c r="B123" s="49">
        <v>0</v>
      </c>
    </row>
    <row r="124" spans="1:2">
      <c r="A124" s="49">
        <v>6.9111099999999999</v>
      </c>
      <c r="B124" s="49">
        <v>6.9111099999999999</v>
      </c>
    </row>
    <row r="125" spans="1:2">
      <c r="A125" s="49">
        <v>0</v>
      </c>
      <c r="B125" s="49">
        <v>0</v>
      </c>
    </row>
    <row r="126" spans="1:2">
      <c r="A126" s="49">
        <v>6.6731999999999996</v>
      </c>
      <c r="B126" s="49">
        <v>6.6731999999999996</v>
      </c>
    </row>
    <row r="127" spans="1:2">
      <c r="A127" s="49">
        <v>0</v>
      </c>
      <c r="B127" s="49">
        <v>0</v>
      </c>
    </row>
    <row r="128" spans="1:2">
      <c r="A128" s="49">
        <v>0</v>
      </c>
      <c r="B128" s="49">
        <v>0</v>
      </c>
    </row>
    <row r="129" spans="1:2">
      <c r="A129" s="49">
        <v>3.9555600000000002</v>
      </c>
      <c r="B129" s="49">
        <v>3.9555600000000002</v>
      </c>
    </row>
    <row r="130" spans="1:2">
      <c r="A130" s="49">
        <v>0</v>
      </c>
      <c r="B130" s="49">
        <v>0</v>
      </c>
    </row>
    <row r="131" spans="1:2">
      <c r="A131" s="49">
        <v>2.7359499999999999</v>
      </c>
      <c r="B131" s="49">
        <v>2.7359499999999999</v>
      </c>
    </row>
    <row r="132" spans="1:2">
      <c r="A132" s="49">
        <v>0</v>
      </c>
      <c r="B132" s="49">
        <v>0</v>
      </c>
    </row>
    <row r="133" spans="1:2">
      <c r="A133" s="49">
        <v>0</v>
      </c>
      <c r="B133" s="49">
        <v>0</v>
      </c>
    </row>
    <row r="134" spans="1:2">
      <c r="A134" s="49">
        <v>1.2732000000000001</v>
      </c>
      <c r="B134" s="49">
        <v>1.2732000000000001</v>
      </c>
    </row>
    <row r="135" spans="1:2">
      <c r="A135" s="49">
        <v>0</v>
      </c>
      <c r="B135" s="49">
        <v>0</v>
      </c>
    </row>
    <row r="136" spans="1:2">
      <c r="A136" s="49">
        <v>0.72156900000000002</v>
      </c>
      <c r="B136" s="49">
        <v>0.72156900000000002</v>
      </c>
    </row>
    <row r="137" spans="1:2">
      <c r="A137" s="49">
        <v>0</v>
      </c>
      <c r="B137" s="49">
        <v>0</v>
      </c>
    </row>
    <row r="138" spans="1:2">
      <c r="A138" s="49">
        <v>0</v>
      </c>
      <c r="B138" s="49">
        <v>0</v>
      </c>
    </row>
    <row r="139" spans="1:2">
      <c r="A139" s="49">
        <v>1.2888900000000001</v>
      </c>
      <c r="B139" s="49">
        <v>1.2888900000000001</v>
      </c>
    </row>
    <row r="140" spans="1:2">
      <c r="A140" s="49">
        <v>0</v>
      </c>
      <c r="B140" s="49">
        <v>0</v>
      </c>
    </row>
    <row r="141" spans="1:2">
      <c r="A141" s="49">
        <v>0</v>
      </c>
      <c r="B141" s="49">
        <v>0</v>
      </c>
    </row>
    <row r="142" spans="1:2">
      <c r="A142" s="49">
        <v>0.83529399999999998</v>
      </c>
      <c r="B142" s="49">
        <v>0.83529399999999998</v>
      </c>
    </row>
    <row r="143" spans="1:2">
      <c r="A143" s="49">
        <v>0</v>
      </c>
      <c r="B143" s="49">
        <v>0</v>
      </c>
    </row>
    <row r="144" spans="1:2">
      <c r="A144" s="49">
        <v>1.2849699999999999</v>
      </c>
      <c r="B144" s="49">
        <v>1.2849699999999999</v>
      </c>
    </row>
    <row r="145" spans="1:2">
      <c r="A145" s="49">
        <v>0</v>
      </c>
      <c r="B145" s="49">
        <v>0</v>
      </c>
    </row>
    <row r="146" spans="1:2">
      <c r="A146" s="49">
        <v>0</v>
      </c>
      <c r="B146" s="49">
        <v>0</v>
      </c>
    </row>
    <row r="147" spans="1:2">
      <c r="A147" s="49">
        <v>1.46536</v>
      </c>
      <c r="B147" s="49">
        <v>1.46536</v>
      </c>
    </row>
    <row r="148" spans="1:2">
      <c r="A148" s="49">
        <v>0</v>
      </c>
      <c r="B148" s="49">
        <v>0</v>
      </c>
    </row>
    <row r="149" spans="1:2">
      <c r="A149" s="49">
        <v>0.60653599999999996</v>
      </c>
      <c r="B149" s="49">
        <v>0.60653599999999996</v>
      </c>
    </row>
    <row r="150" spans="1:2">
      <c r="A150" s="49">
        <v>0</v>
      </c>
      <c r="B150" s="49">
        <v>0</v>
      </c>
    </row>
    <row r="151" spans="1:2">
      <c r="A151" s="49">
        <v>0</v>
      </c>
      <c r="B151" s="49">
        <v>0</v>
      </c>
    </row>
    <row r="152" spans="1:2">
      <c r="A152" s="49">
        <v>0.122876</v>
      </c>
      <c r="B152" s="49">
        <v>0.122876</v>
      </c>
    </row>
    <row r="153" spans="1:2">
      <c r="A153" s="49">
        <v>0</v>
      </c>
      <c r="B153" s="49">
        <v>0</v>
      </c>
    </row>
    <row r="154" spans="1:2">
      <c r="A154" s="49">
        <v>0.13333300000000001</v>
      </c>
      <c r="B154" s="49">
        <v>0.13333300000000001</v>
      </c>
    </row>
    <row r="155" spans="1:2">
      <c r="A155" s="49">
        <v>0</v>
      </c>
      <c r="B155" s="49">
        <v>0</v>
      </c>
    </row>
    <row r="156" spans="1:2">
      <c r="A156" s="49">
        <v>0</v>
      </c>
      <c r="B156" s="49">
        <v>0</v>
      </c>
    </row>
    <row r="157" spans="1:2">
      <c r="A157" s="49">
        <v>4.7058799999999998E-2</v>
      </c>
      <c r="B157" s="49">
        <v>4.7058799999999998E-2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0.35011999999999999</v>
      </c>
      <c r="B2" s="49">
        <v>0.44278499999999998</v>
      </c>
      <c r="C2">
        <v>0</v>
      </c>
      <c r="D2">
        <v>0</v>
      </c>
      <c r="E2" t="s">
        <v>1161</v>
      </c>
      <c r="F2" s="49">
        <f>IF(A2&lt;&gt;"",1,"")</f>
        <v>1</v>
      </c>
      <c r="G2">
        <f>IF($H8&gt;0,LOOKUP(COUNT(A2:A1000)*$H8,F2:F1000,A2:A1000),LOOKUP(1,F2:F1000,A2:A1000))</f>
        <v>0.34994999999999998</v>
      </c>
      <c r="H2">
        <f>IF($H8&gt;0,LOOKUP(COUNT(B2:B1000)*$H8,F2:F1000,B2:B1000),LOOKUP(1,F2:F1000,B2:B1000))</f>
        <v>0.44467499999999999</v>
      </c>
      <c r="J2" s="49">
        <f>IF(A2&lt;&gt;"",A2*10,"")</f>
        <v>3.5011999999999999</v>
      </c>
      <c r="K2" s="49">
        <f>IF(B2&lt;&gt;"",B2*100,"")</f>
        <v>44.278500000000001</v>
      </c>
      <c r="L2" s="49">
        <f>IF(F2&lt;&gt;"",IF(K2&lt;&gt;0,K2/J2,0),"")</f>
        <v>12.646664000913972</v>
      </c>
    </row>
    <row r="3" spans="1:12">
      <c r="A3" s="49">
        <v>0.34994999999999998</v>
      </c>
      <c r="B3" s="49">
        <v>0.44467499999999999</v>
      </c>
      <c r="C3">
        <v>0.36697600000000002</v>
      </c>
      <c r="D3">
        <v>0</v>
      </c>
      <c r="E3" t="s">
        <v>2560</v>
      </c>
      <c r="F3" s="49">
        <f>IF(A3&lt;&gt;"",F2+1,"")</f>
        <v>2</v>
      </c>
      <c r="G3">
        <f>IF($H9&gt;0,LOOKUP(COUNT(A2:A1000)*$H9,F2:F1000,A2:A1000),LOOKUP(1,F2:F1000,A2:A1000))</f>
        <v>0.29229699999999997</v>
      </c>
      <c r="H3">
        <f>IF($H9&gt;0,LOOKUP(COUNT(B2:B1000)*$H9,F2:F1000,B2:B1000),LOOKUP(1,F2:F1000,B2:B1000))</f>
        <v>0.50163100000000005</v>
      </c>
      <c r="J3" s="49">
        <f t="shared" ref="J3:J66" si="0">IF(A3&lt;&gt;"",A3*10,"")</f>
        <v>3.4994999999999998</v>
      </c>
      <c r="K3" s="49">
        <f t="shared" ref="K3:K66" si="1">IF(B3&lt;&gt;"",B3*100,"")</f>
        <v>44.467500000000001</v>
      </c>
      <c r="L3" s="49">
        <f t="shared" ref="L3:L66" si="2">IF(F3&lt;&gt;"",IF(K3&lt;&gt;0,K3/J3,0),"")</f>
        <v>12.706815259322761</v>
      </c>
    </row>
    <row r="4" spans="1:12">
      <c r="A4" s="49">
        <v>0.34894799999999998</v>
      </c>
      <c r="B4" s="49">
        <v>0.44792900000000002</v>
      </c>
      <c r="C4">
        <v>0.78144000000000002</v>
      </c>
      <c r="D4">
        <v>0</v>
      </c>
      <c r="E4" t="s">
        <v>2561</v>
      </c>
      <c r="F4" s="49">
        <f t="shared" ref="F4:F67" si="3">IF(A4&lt;&gt;"",F3+1,"")</f>
        <v>3</v>
      </c>
      <c r="G4" s="71" t="s">
        <v>209</v>
      </c>
      <c r="H4" s="23">
        <f>IF(ISERROR(G3-G2)=FALSE,(G3-G2)*10,0)</f>
        <v>-0.5765300000000001</v>
      </c>
      <c r="J4" s="49">
        <f t="shared" si="0"/>
        <v>3.4894799999999999</v>
      </c>
      <c r="K4" s="49">
        <f t="shared" si="1"/>
        <v>44.792900000000003</v>
      </c>
      <c r="L4" s="49">
        <f t="shared" si="2"/>
        <v>12.836554443642035</v>
      </c>
    </row>
    <row r="5" spans="1:12">
      <c r="A5" s="49">
        <v>0.347636</v>
      </c>
      <c r="B5" s="49">
        <v>0.45208100000000001</v>
      </c>
      <c r="C5">
        <v>1.1995899999999999</v>
      </c>
      <c r="D5">
        <v>0</v>
      </c>
      <c r="E5" t="s">
        <v>2562</v>
      </c>
      <c r="F5" s="49">
        <f t="shared" si="3"/>
        <v>4</v>
      </c>
      <c r="G5" s="71" t="s">
        <v>210</v>
      </c>
      <c r="H5" s="23">
        <f>IF(ISERROR(H3-H2)=FALSE,H3-H2,0)</f>
        <v>5.6956000000000062E-2</v>
      </c>
      <c r="J5" s="49">
        <f t="shared" si="0"/>
        <v>3.4763600000000001</v>
      </c>
      <c r="K5" s="49">
        <f t="shared" si="1"/>
        <v>45.208100000000002</v>
      </c>
      <c r="L5" s="49">
        <f t="shared" si="2"/>
        <v>13.004435674095893</v>
      </c>
    </row>
    <row r="6" spans="1:12">
      <c r="A6" s="49">
        <v>0.34590500000000002</v>
      </c>
      <c r="B6" s="49">
        <v>0.457146</v>
      </c>
      <c r="C6">
        <v>1.5865100000000001</v>
      </c>
      <c r="D6">
        <v>0</v>
      </c>
      <c r="E6" t="s">
        <v>2563</v>
      </c>
      <c r="F6" s="49">
        <f t="shared" si="3"/>
        <v>5</v>
      </c>
      <c r="G6" s="71" t="s">
        <v>211</v>
      </c>
      <c r="H6" s="23">
        <f>IF(H4&lt;&gt;0,H5/H4,0)</f>
        <v>-9.8791042963939521E-2</v>
      </c>
      <c r="J6" s="49">
        <f t="shared" si="0"/>
        <v>3.4590500000000004</v>
      </c>
      <c r="K6" s="49">
        <f t="shared" si="1"/>
        <v>45.714599999999997</v>
      </c>
      <c r="L6" s="49">
        <f t="shared" si="2"/>
        <v>13.215940792992294</v>
      </c>
    </row>
    <row r="7" spans="1:12">
      <c r="A7" s="49">
        <v>0.34361000000000003</v>
      </c>
      <c r="B7" s="49">
        <v>0.46165299999999998</v>
      </c>
      <c r="C7">
        <v>1.99091</v>
      </c>
      <c r="D7">
        <v>0</v>
      </c>
      <c r="E7" t="s">
        <v>2564</v>
      </c>
      <c r="F7" s="49">
        <f t="shared" si="3"/>
        <v>6</v>
      </c>
      <c r="G7" s="71" t="s">
        <v>212</v>
      </c>
      <c r="H7" s="23">
        <f>DEGREES(ATAN(H6))</f>
        <v>-5.6420026474158638</v>
      </c>
      <c r="J7" s="49">
        <f t="shared" si="0"/>
        <v>3.4361000000000002</v>
      </c>
      <c r="K7" s="49">
        <f t="shared" si="1"/>
        <v>46.165299999999995</v>
      </c>
      <c r="L7" s="49">
        <f t="shared" si="2"/>
        <v>13.43537731730741</v>
      </c>
    </row>
    <row r="8" spans="1:12">
      <c r="A8" s="49">
        <v>0.34096100000000001</v>
      </c>
      <c r="B8" s="49">
        <v>0.46699600000000002</v>
      </c>
      <c r="C8">
        <v>2.4229099999999999</v>
      </c>
      <c r="D8">
        <v>0</v>
      </c>
      <c r="E8" t="s">
        <v>2565</v>
      </c>
      <c r="F8" s="49">
        <f t="shared" si="3"/>
        <v>7</v>
      </c>
      <c r="G8" s="71" t="s">
        <v>213</v>
      </c>
      <c r="H8" s="72">
        <v>0.1</v>
      </c>
      <c r="J8" s="49">
        <f t="shared" si="0"/>
        <v>3.4096100000000003</v>
      </c>
      <c r="K8" s="49">
        <f t="shared" si="1"/>
        <v>46.699600000000004</v>
      </c>
      <c r="L8" s="49">
        <f t="shared" si="2"/>
        <v>13.696463818442579</v>
      </c>
    </row>
    <row r="9" spans="1:12">
      <c r="A9" s="49">
        <v>0.33838699999999999</v>
      </c>
      <c r="B9" s="49">
        <v>0.47272500000000001</v>
      </c>
      <c r="C9">
        <v>2.8132100000000002</v>
      </c>
      <c r="D9">
        <v>0</v>
      </c>
      <c r="E9" t="s">
        <v>2566</v>
      </c>
      <c r="F9" s="49">
        <f t="shared" si="3"/>
        <v>8</v>
      </c>
      <c r="G9" s="71" t="s">
        <v>214</v>
      </c>
      <c r="H9" s="72">
        <v>0.9</v>
      </c>
      <c r="J9" s="49">
        <f t="shared" si="0"/>
        <v>3.3838699999999999</v>
      </c>
      <c r="K9" s="49">
        <f t="shared" si="1"/>
        <v>47.272500000000001</v>
      </c>
      <c r="L9" s="49">
        <f t="shared" si="2"/>
        <v>13.969951564333146</v>
      </c>
    </row>
    <row r="10" spans="1:12">
      <c r="A10" s="49">
        <v>0.33554899999999999</v>
      </c>
      <c r="B10" s="49">
        <v>0.47832400000000003</v>
      </c>
      <c r="C10">
        <v>3.2110500000000002</v>
      </c>
      <c r="D10">
        <v>0</v>
      </c>
      <c r="E10" t="s">
        <v>2567</v>
      </c>
      <c r="F10" s="49">
        <f t="shared" si="3"/>
        <v>9</v>
      </c>
      <c r="G10" t="s">
        <v>215</v>
      </c>
      <c r="J10" s="49">
        <f t="shared" si="0"/>
        <v>3.3554899999999996</v>
      </c>
      <c r="K10" s="49">
        <f t="shared" si="1"/>
        <v>47.8324</v>
      </c>
      <c r="L10" s="49">
        <f t="shared" si="2"/>
        <v>14.254967232803557</v>
      </c>
    </row>
    <row r="11" spans="1:12">
      <c r="A11" s="49">
        <v>0.332428</v>
      </c>
      <c r="B11" s="49">
        <v>0.483624</v>
      </c>
      <c r="C11">
        <v>3.6267800000000001</v>
      </c>
      <c r="D11">
        <v>0</v>
      </c>
      <c r="E11" t="s">
        <v>2568</v>
      </c>
      <c r="F11" s="49">
        <f t="shared" si="3"/>
        <v>10</v>
      </c>
      <c r="G11" s="71" t="s">
        <v>216</v>
      </c>
      <c r="H11" s="73">
        <f>MIN(B2:B1000)</f>
        <v>0.44278499999999998</v>
      </c>
      <c r="J11" s="49">
        <f t="shared" si="0"/>
        <v>3.3242799999999999</v>
      </c>
      <c r="K11" s="49">
        <f t="shared" si="1"/>
        <v>48.362400000000001</v>
      </c>
      <c r="L11" s="49">
        <f t="shared" si="2"/>
        <v>14.548233000830257</v>
      </c>
    </row>
    <row r="12" spans="1:12">
      <c r="A12" s="49">
        <v>0.32930599999999999</v>
      </c>
      <c r="B12" s="49">
        <v>0.48640600000000001</v>
      </c>
      <c r="C12">
        <v>4.0204599999999999</v>
      </c>
      <c r="D12">
        <v>0</v>
      </c>
      <c r="E12" t="s">
        <v>2569</v>
      </c>
      <c r="F12" s="49">
        <f t="shared" si="3"/>
        <v>11</v>
      </c>
      <c r="G12" s="71" t="s">
        <v>218</v>
      </c>
      <c r="H12" s="73">
        <f>MAX(B2:B1000)</f>
        <v>0.50291200000000003</v>
      </c>
      <c r="J12" s="49">
        <f t="shared" si="0"/>
        <v>3.2930599999999997</v>
      </c>
      <c r="K12" s="49">
        <f t="shared" si="1"/>
        <v>48.640599999999999</v>
      </c>
      <c r="L12" s="49">
        <f t="shared" si="2"/>
        <v>14.770638858690702</v>
      </c>
    </row>
    <row r="13" spans="1:12">
      <c r="A13" s="49">
        <v>0.325932</v>
      </c>
      <c r="B13" s="49">
        <v>0.48780600000000002</v>
      </c>
      <c r="C13">
        <v>4.4334800000000003</v>
      </c>
      <c r="D13">
        <v>0</v>
      </c>
      <c r="E13" t="s">
        <v>2570</v>
      </c>
      <c r="F13" s="49">
        <f t="shared" si="3"/>
        <v>12</v>
      </c>
      <c r="G13" s="71" t="s">
        <v>220</v>
      </c>
      <c r="H13">
        <f>MATCH($H$11,B2:B1000,0)</f>
        <v>1</v>
      </c>
      <c r="J13" s="49">
        <f t="shared" si="0"/>
        <v>3.2593199999999998</v>
      </c>
      <c r="K13" s="49">
        <f t="shared" si="1"/>
        <v>48.7806</v>
      </c>
      <c r="L13" s="49">
        <f t="shared" si="2"/>
        <v>14.966496078936713</v>
      </c>
    </row>
    <row r="14" spans="1:12">
      <c r="A14" s="49">
        <v>0.32270700000000002</v>
      </c>
      <c r="B14" s="49">
        <v>0.48837700000000001</v>
      </c>
      <c r="C14">
        <v>4.8349000000000002</v>
      </c>
      <c r="D14">
        <v>0</v>
      </c>
      <c r="E14" t="s">
        <v>2571</v>
      </c>
      <c r="F14" s="49">
        <f t="shared" si="3"/>
        <v>13</v>
      </c>
      <c r="G14" s="71" t="s">
        <v>221</v>
      </c>
      <c r="H14">
        <f>MATCH($H$12,B2:B1000,0)</f>
        <v>21</v>
      </c>
      <c r="J14" s="49">
        <f t="shared" si="0"/>
        <v>3.2270700000000003</v>
      </c>
      <c r="K14" s="49">
        <f t="shared" si="1"/>
        <v>48.837699999999998</v>
      </c>
      <c r="L14" s="49">
        <f t="shared" si="2"/>
        <v>15.133759106557958</v>
      </c>
    </row>
    <row r="15" spans="1:12">
      <c r="A15" s="49">
        <v>0.319079</v>
      </c>
      <c r="B15" s="49">
        <v>0.49015300000000001</v>
      </c>
      <c r="C15">
        <v>5.26187</v>
      </c>
      <c r="D15">
        <v>0</v>
      </c>
      <c r="E15" t="s">
        <v>2572</v>
      </c>
      <c r="F15" s="49">
        <f t="shared" si="3"/>
        <v>14</v>
      </c>
      <c r="G15">
        <f>LOOKUP($H13,F2:F1000,A2:A1000)</f>
        <v>0.35011999999999999</v>
      </c>
      <c r="H15">
        <f>LOOKUP($H13,F2:F1000,B2:B1000)</f>
        <v>0.44278499999999998</v>
      </c>
      <c r="J15" s="49">
        <f t="shared" si="0"/>
        <v>3.1907899999999998</v>
      </c>
      <c r="K15" s="49">
        <f t="shared" si="1"/>
        <v>49.015300000000003</v>
      </c>
      <c r="L15" s="49">
        <f t="shared" si="2"/>
        <v>15.361493548619624</v>
      </c>
    </row>
    <row r="16" spans="1:12">
      <c r="A16" s="49">
        <v>0.31487100000000001</v>
      </c>
      <c r="B16" s="49">
        <v>0.49212299999999998</v>
      </c>
      <c r="C16">
        <v>5.6491800000000003</v>
      </c>
      <c r="D16">
        <v>0</v>
      </c>
      <c r="E16" t="s">
        <v>2573</v>
      </c>
      <c r="F16" s="49">
        <f t="shared" si="3"/>
        <v>15</v>
      </c>
      <c r="G16">
        <f>LOOKUP($H14,F2:F1000,A2:A1000)</f>
        <v>0.29480499999999998</v>
      </c>
      <c r="H16">
        <f>LOOKUP($H14,F2:F1000,B2:B1000)</f>
        <v>0.50291200000000003</v>
      </c>
      <c r="J16" s="49">
        <f t="shared" si="0"/>
        <v>3.1487100000000003</v>
      </c>
      <c r="K16" s="49">
        <f t="shared" si="1"/>
        <v>49.212299999999999</v>
      </c>
      <c r="L16" s="49">
        <f t="shared" si="2"/>
        <v>15.629352973122325</v>
      </c>
    </row>
    <row r="17" spans="1:12">
      <c r="A17" s="49">
        <v>0.31019200000000002</v>
      </c>
      <c r="B17" s="49">
        <v>0.49462499999999998</v>
      </c>
      <c r="C17">
        <v>6.0621900000000002</v>
      </c>
      <c r="D17">
        <v>0</v>
      </c>
      <c r="E17" t="s">
        <v>2574</v>
      </c>
      <c r="F17" s="49">
        <f t="shared" si="3"/>
        <v>16</v>
      </c>
      <c r="J17" s="49">
        <f t="shared" si="0"/>
        <v>3.1019200000000002</v>
      </c>
      <c r="K17" s="49">
        <f t="shared" si="1"/>
        <v>49.462499999999999</v>
      </c>
      <c r="L17" s="49">
        <f t="shared" si="2"/>
        <v>15.945769072058594</v>
      </c>
    </row>
    <row r="18" spans="1:12">
      <c r="A18" s="49">
        <v>0.30625000000000002</v>
      </c>
      <c r="B18" s="49">
        <v>0.49685299999999999</v>
      </c>
      <c r="C18">
        <v>6.4628300000000003</v>
      </c>
      <c r="D18">
        <v>0</v>
      </c>
      <c r="E18" t="s">
        <v>2575</v>
      </c>
      <c r="F18" s="49">
        <f t="shared" si="3"/>
        <v>17</v>
      </c>
      <c r="J18" s="49">
        <f t="shared" si="0"/>
        <v>3.0625</v>
      </c>
      <c r="K18" s="49">
        <f t="shared" si="1"/>
        <v>49.685299999999998</v>
      </c>
      <c r="L18" s="49">
        <f t="shared" si="2"/>
        <v>16.223771428571428</v>
      </c>
    </row>
    <row r="19" spans="1:12">
      <c r="A19" s="49">
        <v>0.30222399999999999</v>
      </c>
      <c r="B19" s="49">
        <v>0.49857200000000002</v>
      </c>
      <c r="C19">
        <v>6.8875299999999999</v>
      </c>
      <c r="D19">
        <v>0</v>
      </c>
      <c r="E19" t="s">
        <v>2576</v>
      </c>
      <c r="F19" s="49">
        <f t="shared" si="3"/>
        <v>18</v>
      </c>
      <c r="J19" s="49">
        <f t="shared" si="0"/>
        <v>3.02224</v>
      </c>
      <c r="K19" s="49">
        <f t="shared" si="1"/>
        <v>49.857199999999999</v>
      </c>
      <c r="L19" s="49">
        <f t="shared" si="2"/>
        <v>16.496770607231721</v>
      </c>
    </row>
    <row r="20" spans="1:12">
      <c r="A20" s="49">
        <v>0.29860199999999998</v>
      </c>
      <c r="B20" s="49">
        <v>0.50008200000000003</v>
      </c>
      <c r="C20">
        <v>7.2707100000000002</v>
      </c>
      <c r="D20">
        <v>0</v>
      </c>
      <c r="E20" t="s">
        <v>2577</v>
      </c>
      <c r="F20" s="49">
        <f t="shared" si="3"/>
        <v>19</v>
      </c>
      <c r="J20" s="49">
        <f t="shared" si="0"/>
        <v>2.9860199999999999</v>
      </c>
      <c r="K20" s="49">
        <f t="shared" si="1"/>
        <v>50.008200000000002</v>
      </c>
      <c r="L20" s="49">
        <f t="shared" si="2"/>
        <v>16.747443084775053</v>
      </c>
    </row>
    <row r="21" spans="1:12">
      <c r="A21" s="49">
        <v>0.29663600000000001</v>
      </c>
      <c r="B21" s="49">
        <v>0.50183</v>
      </c>
      <c r="C21">
        <v>7.6818200000000001</v>
      </c>
      <c r="D21">
        <v>0</v>
      </c>
      <c r="E21" t="s">
        <v>2578</v>
      </c>
      <c r="F21" s="49">
        <f t="shared" si="3"/>
        <v>20</v>
      </c>
      <c r="J21" s="49">
        <f t="shared" si="0"/>
        <v>2.9663599999999999</v>
      </c>
      <c r="K21" s="49">
        <f t="shared" si="1"/>
        <v>50.183</v>
      </c>
      <c r="L21" s="49">
        <f t="shared" si="2"/>
        <v>16.917366739033699</v>
      </c>
    </row>
    <row r="22" spans="1:12">
      <c r="A22" s="49">
        <v>0.29480499999999998</v>
      </c>
      <c r="B22" s="49">
        <v>0.50291200000000003</v>
      </c>
      <c r="C22">
        <v>8.0842399999999994</v>
      </c>
      <c r="D22">
        <v>0</v>
      </c>
      <c r="E22" t="s">
        <v>2579</v>
      </c>
      <c r="F22" s="49">
        <f t="shared" si="3"/>
        <v>21</v>
      </c>
      <c r="J22" s="49">
        <f t="shared" si="0"/>
        <v>2.9480499999999998</v>
      </c>
      <c r="K22" s="49">
        <f t="shared" si="1"/>
        <v>50.291200000000003</v>
      </c>
      <c r="L22" s="49">
        <f t="shared" si="2"/>
        <v>17.059140787978496</v>
      </c>
    </row>
    <row r="23" spans="1:12">
      <c r="A23" s="49">
        <v>0.29328700000000002</v>
      </c>
      <c r="B23" s="49">
        <v>0.50264900000000001</v>
      </c>
      <c r="C23">
        <v>8.4999800000000008</v>
      </c>
      <c r="D23">
        <v>0</v>
      </c>
      <c r="E23" t="s">
        <v>2580</v>
      </c>
      <c r="F23" s="49">
        <f t="shared" si="3"/>
        <v>22</v>
      </c>
      <c r="J23" s="49">
        <f t="shared" si="0"/>
        <v>2.9328700000000003</v>
      </c>
      <c r="K23" s="49">
        <f t="shared" si="1"/>
        <v>50.264900000000004</v>
      </c>
      <c r="L23" s="49">
        <f t="shared" si="2"/>
        <v>17.138468462632165</v>
      </c>
    </row>
    <row r="24" spans="1:12">
      <c r="A24" s="49">
        <v>0.29229699999999997</v>
      </c>
      <c r="B24" s="49">
        <v>0.50163100000000005</v>
      </c>
      <c r="C24">
        <v>8.9107500000000002</v>
      </c>
      <c r="D24">
        <v>0</v>
      </c>
      <c r="E24" t="s">
        <v>2581</v>
      </c>
      <c r="F24" s="49">
        <f t="shared" si="3"/>
        <v>23</v>
      </c>
      <c r="G24" t="s">
        <v>245</v>
      </c>
      <c r="H24">
        <f>COUNT(A2:A2000)</f>
        <v>26</v>
      </c>
      <c r="J24" s="49">
        <f t="shared" si="0"/>
        <v>2.9229699999999998</v>
      </c>
      <c r="K24" s="49">
        <f t="shared" si="1"/>
        <v>50.163100000000007</v>
      </c>
      <c r="L24" s="49">
        <f t="shared" si="2"/>
        <v>17.161688282808242</v>
      </c>
    </row>
    <row r="25" spans="1:12">
      <c r="A25" s="49">
        <v>0.29042899999999999</v>
      </c>
      <c r="B25" s="49">
        <v>0.50091799999999997</v>
      </c>
      <c r="C25">
        <v>9.3125400000000003</v>
      </c>
      <c r="D25">
        <v>0</v>
      </c>
      <c r="E25" t="s">
        <v>2582</v>
      </c>
      <c r="F25" s="49">
        <f t="shared" si="3"/>
        <v>24</v>
      </c>
      <c r="J25" s="49">
        <f t="shared" si="0"/>
        <v>2.90429</v>
      </c>
      <c r="K25" s="49">
        <f t="shared" si="1"/>
        <v>50.091799999999999</v>
      </c>
      <c r="L25" s="49">
        <f t="shared" si="2"/>
        <v>17.247520047929097</v>
      </c>
    </row>
    <row r="26" spans="1:12">
      <c r="A26" s="49">
        <v>0.28887400000000002</v>
      </c>
      <c r="B26" s="49">
        <v>0.50172300000000003</v>
      </c>
      <c r="C26">
        <v>9.7230000000000008</v>
      </c>
      <c r="D26">
        <v>0</v>
      </c>
      <c r="E26" t="s">
        <v>2583</v>
      </c>
      <c r="F26" s="49">
        <f t="shared" si="3"/>
        <v>25</v>
      </c>
      <c r="J26" s="49">
        <f t="shared" si="0"/>
        <v>2.8887400000000003</v>
      </c>
      <c r="K26" s="49">
        <f t="shared" si="1"/>
        <v>50.1723</v>
      </c>
      <c r="L26" s="49">
        <f t="shared" si="2"/>
        <v>17.368229747225431</v>
      </c>
    </row>
    <row r="27" spans="1:12">
      <c r="A27" s="49">
        <v>0.28684999999999999</v>
      </c>
      <c r="B27" s="49">
        <v>0.50187499999999996</v>
      </c>
      <c r="C27">
        <v>10.1206</v>
      </c>
      <c r="D27">
        <v>0</v>
      </c>
      <c r="E27" t="s">
        <v>2584</v>
      </c>
      <c r="F27" s="49">
        <f t="shared" si="3"/>
        <v>26</v>
      </c>
      <c r="J27" s="49">
        <f t="shared" si="0"/>
        <v>2.8685</v>
      </c>
      <c r="K27" s="49">
        <f t="shared" si="1"/>
        <v>50.187499999999993</v>
      </c>
      <c r="L27" s="49">
        <f t="shared" si="2"/>
        <v>17.496078089593862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45779.555046296293</v>
      </c>
      <c r="B2" t="s">
        <v>2585</v>
      </c>
      <c r="C2" s="49"/>
      <c r="D2" s="49"/>
      <c r="E2" s="49">
        <v>4.9234099999999996</v>
      </c>
      <c r="F2" s="49">
        <v>1.5803799999999999</v>
      </c>
      <c r="G2" s="49">
        <v>0.50285999999999997</v>
      </c>
      <c r="H2" s="49">
        <v>0</v>
      </c>
      <c r="I2" s="49">
        <v>19.686299999999999</v>
      </c>
      <c r="J2" s="49">
        <v>78</v>
      </c>
      <c r="K2" s="49">
        <v>78</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19.686274000000001</v>
      </c>
      <c r="D2">
        <f>MAX(B2:B257)</f>
        <v>270.37777699999998</v>
      </c>
      <c r="G2" t="s">
        <v>1590</v>
      </c>
      <c r="H2">
        <v>4.9234140000000002</v>
      </c>
      <c r="I2">
        <v>19.686274000000001</v>
      </c>
      <c r="J2">
        <v>0</v>
      </c>
      <c r="K2">
        <v>78</v>
      </c>
      <c r="L2">
        <v>78</v>
      </c>
      <c r="M2">
        <v>1.5803769999999999</v>
      </c>
      <c r="N2">
        <v>0.50285999999999997</v>
      </c>
      <c r="O2">
        <v>0.25286799999999998</v>
      </c>
    </row>
    <row r="3" spans="1:15">
      <c r="A3">
        <v>0</v>
      </c>
      <c r="B3">
        <v>0</v>
      </c>
      <c r="G3" t="s">
        <v>1591</v>
      </c>
      <c r="H3">
        <v>4.9234140000000002</v>
      </c>
      <c r="I3">
        <v>270.37777699999998</v>
      </c>
      <c r="J3">
        <v>0</v>
      </c>
      <c r="K3">
        <v>6</v>
      </c>
      <c r="L3">
        <v>6</v>
      </c>
      <c r="M3">
        <v>0.452372</v>
      </c>
      <c r="N3">
        <v>0.41656500000000002</v>
      </c>
      <c r="O3">
        <v>0.17352600000000001</v>
      </c>
    </row>
    <row r="4" spans="1:15">
      <c r="A4">
        <v>0</v>
      </c>
      <c r="B4">
        <v>0</v>
      </c>
    </row>
    <row r="5" spans="1:15">
      <c r="A5">
        <v>0.180392</v>
      </c>
      <c r="B5">
        <v>264.27972399999999</v>
      </c>
    </row>
    <row r="6" spans="1:15">
      <c r="A6">
        <v>0</v>
      </c>
      <c r="B6">
        <v>0</v>
      </c>
    </row>
    <row r="7" spans="1:15">
      <c r="A7">
        <v>0</v>
      </c>
      <c r="B7">
        <v>0</v>
      </c>
    </row>
    <row r="8" spans="1:15">
      <c r="A8">
        <v>0.40261400000000003</v>
      </c>
      <c r="B8">
        <v>270.37777699999998</v>
      </c>
    </row>
    <row r="9" spans="1:15">
      <c r="A9">
        <v>0</v>
      </c>
      <c r="B9">
        <v>0</v>
      </c>
    </row>
    <row r="10" spans="1:15">
      <c r="A10">
        <v>0.59215700000000004</v>
      </c>
      <c r="B10">
        <v>225.6353</v>
      </c>
    </row>
    <row r="11" spans="1:15">
      <c r="A11">
        <v>0</v>
      </c>
      <c r="B11">
        <v>0</v>
      </c>
    </row>
    <row r="12" spans="1:15">
      <c r="A12">
        <v>0</v>
      </c>
      <c r="B12">
        <v>0</v>
      </c>
    </row>
    <row r="13" spans="1:15">
      <c r="A13">
        <v>0.90457500000000002</v>
      </c>
      <c r="B13">
        <v>206.34771699999999</v>
      </c>
    </row>
    <row r="14" spans="1:15">
      <c r="A14">
        <v>0</v>
      </c>
      <c r="B14">
        <v>0</v>
      </c>
    </row>
    <row r="15" spans="1:15">
      <c r="A15">
        <v>0.911111</v>
      </c>
      <c r="B15">
        <v>173.32548499999999</v>
      </c>
    </row>
    <row r="16" spans="1:15">
      <c r="A16">
        <v>0</v>
      </c>
      <c r="B16">
        <v>0</v>
      </c>
    </row>
    <row r="17" spans="1:2">
      <c r="A17">
        <v>0</v>
      </c>
      <c r="B17">
        <v>0</v>
      </c>
    </row>
    <row r="18" spans="1:2">
      <c r="A18">
        <v>0.584314</v>
      </c>
      <c r="B18">
        <v>156.37385599999999</v>
      </c>
    </row>
    <row r="19" spans="1:2">
      <c r="A19">
        <v>0</v>
      </c>
      <c r="B19">
        <v>0</v>
      </c>
    </row>
    <row r="20" spans="1:2">
      <c r="A20">
        <v>0</v>
      </c>
      <c r="B20">
        <v>0</v>
      </c>
    </row>
    <row r="21" spans="1:2">
      <c r="A21">
        <v>0.80392200000000003</v>
      </c>
      <c r="B21">
        <v>127.41830400000001</v>
      </c>
    </row>
    <row r="22" spans="1:2">
      <c r="A22">
        <v>0</v>
      </c>
      <c r="B22">
        <v>0</v>
      </c>
    </row>
    <row r="23" spans="1:2">
      <c r="A23">
        <v>1.0405230000000001</v>
      </c>
      <c r="B23">
        <v>103.99215700000001</v>
      </c>
    </row>
    <row r="24" spans="1:2">
      <c r="A24">
        <v>0</v>
      </c>
      <c r="B24">
        <v>0</v>
      </c>
    </row>
    <row r="25" spans="1:2">
      <c r="A25">
        <v>0</v>
      </c>
      <c r="B25">
        <v>0</v>
      </c>
    </row>
    <row r="26" spans="1:2">
      <c r="A26">
        <v>1.2732030000000001</v>
      </c>
      <c r="B26">
        <v>85.312415999999999</v>
      </c>
    </row>
    <row r="27" spans="1:2">
      <c r="A27">
        <v>0</v>
      </c>
      <c r="B27">
        <v>0</v>
      </c>
    </row>
    <row r="28" spans="1:2">
      <c r="A28">
        <v>2.3503270000000001</v>
      </c>
      <c r="B28">
        <v>71.873206999999994</v>
      </c>
    </row>
    <row r="29" spans="1:2">
      <c r="A29">
        <v>0</v>
      </c>
      <c r="B29">
        <v>0</v>
      </c>
    </row>
    <row r="30" spans="1:2">
      <c r="A30">
        <v>0</v>
      </c>
      <c r="B30">
        <v>0</v>
      </c>
    </row>
    <row r="31" spans="1:2">
      <c r="A31">
        <v>2.329412</v>
      </c>
      <c r="B31">
        <v>64.366012999999995</v>
      </c>
    </row>
    <row r="32" spans="1:2">
      <c r="A32">
        <v>0</v>
      </c>
      <c r="B32">
        <v>0</v>
      </c>
    </row>
    <row r="33" spans="1:2">
      <c r="A33">
        <v>2.2614380000000001</v>
      </c>
      <c r="B33">
        <v>54.899344999999997</v>
      </c>
    </row>
    <row r="34" spans="1:2">
      <c r="A34">
        <v>0</v>
      </c>
      <c r="B34">
        <v>0</v>
      </c>
    </row>
    <row r="35" spans="1:2">
      <c r="A35">
        <v>0</v>
      </c>
      <c r="B35">
        <v>0</v>
      </c>
    </row>
    <row r="36" spans="1:2">
      <c r="A36">
        <v>4.5633990000000004</v>
      </c>
      <c r="B36">
        <v>50.338562000000003</v>
      </c>
    </row>
    <row r="37" spans="1:2">
      <c r="A37">
        <v>0</v>
      </c>
      <c r="B37">
        <v>0</v>
      </c>
    </row>
    <row r="38" spans="1:2">
      <c r="A38">
        <v>0</v>
      </c>
      <c r="B38">
        <v>0</v>
      </c>
    </row>
    <row r="39" spans="1:2">
      <c r="A39">
        <v>7.079739</v>
      </c>
      <c r="B39">
        <v>47.44706</v>
      </c>
    </row>
    <row r="40" spans="1:2">
      <c r="A40">
        <v>0</v>
      </c>
      <c r="B40">
        <v>0</v>
      </c>
    </row>
    <row r="41" spans="1:2">
      <c r="A41">
        <v>6.8287579999999997</v>
      </c>
      <c r="B41">
        <v>40.963397999999998</v>
      </c>
    </row>
    <row r="42" spans="1:2">
      <c r="A42">
        <v>0</v>
      </c>
      <c r="B42">
        <v>0</v>
      </c>
    </row>
    <row r="43" spans="1:2">
      <c r="A43">
        <v>0</v>
      </c>
      <c r="B43">
        <v>0</v>
      </c>
    </row>
    <row r="44" spans="1:2">
      <c r="A44">
        <v>9.2078430000000004</v>
      </c>
      <c r="B44">
        <v>38.048366999999999</v>
      </c>
    </row>
    <row r="45" spans="1:2">
      <c r="A45">
        <v>0</v>
      </c>
      <c r="B45">
        <v>0</v>
      </c>
    </row>
    <row r="46" spans="1:2">
      <c r="A46">
        <v>9.4522879999999994</v>
      </c>
      <c r="B46">
        <v>34.860129999999998</v>
      </c>
    </row>
    <row r="47" spans="1:2">
      <c r="A47">
        <v>0</v>
      </c>
      <c r="B47">
        <v>0</v>
      </c>
    </row>
    <row r="48" spans="1:2">
      <c r="A48">
        <v>0</v>
      </c>
      <c r="B48">
        <v>0</v>
      </c>
    </row>
    <row r="49" spans="1:2">
      <c r="A49">
        <v>5.6078429999999999</v>
      </c>
      <c r="B49">
        <v>32.769936000000001</v>
      </c>
    </row>
    <row r="50" spans="1:2">
      <c r="A50">
        <v>0</v>
      </c>
      <c r="B50">
        <v>0</v>
      </c>
    </row>
    <row r="51" spans="1:2">
      <c r="A51">
        <v>7.4274509999999996</v>
      </c>
      <c r="B51">
        <v>31.057516</v>
      </c>
    </row>
    <row r="52" spans="1:2">
      <c r="A52">
        <v>0</v>
      </c>
      <c r="B52">
        <v>0</v>
      </c>
    </row>
    <row r="53" spans="1:2">
      <c r="A53">
        <v>0</v>
      </c>
      <c r="B53">
        <v>0</v>
      </c>
    </row>
    <row r="54" spans="1:2">
      <c r="A54">
        <v>7.7699350000000003</v>
      </c>
      <c r="B54">
        <v>29.309805000000001</v>
      </c>
    </row>
    <row r="55" spans="1:2">
      <c r="A55">
        <v>0</v>
      </c>
      <c r="B55">
        <v>0</v>
      </c>
    </row>
    <row r="56" spans="1:2">
      <c r="A56">
        <v>0</v>
      </c>
      <c r="B56">
        <v>0</v>
      </c>
    </row>
    <row r="57" spans="1:2">
      <c r="A57">
        <v>10.169935000000001</v>
      </c>
      <c r="B57">
        <v>28.644445000000001</v>
      </c>
    </row>
    <row r="58" spans="1:2">
      <c r="A58">
        <v>0</v>
      </c>
      <c r="B58">
        <v>0</v>
      </c>
    </row>
    <row r="59" spans="1:2">
      <c r="A59">
        <v>12.262746</v>
      </c>
      <c r="B59">
        <v>27.203921999999999</v>
      </c>
    </row>
    <row r="60" spans="1:2">
      <c r="A60">
        <v>0</v>
      </c>
      <c r="B60">
        <v>0</v>
      </c>
    </row>
    <row r="61" spans="1:2">
      <c r="A61">
        <v>0</v>
      </c>
      <c r="B61">
        <v>0</v>
      </c>
    </row>
    <row r="62" spans="1:2">
      <c r="A62">
        <v>12.005229</v>
      </c>
      <c r="B62">
        <v>25.759475999999999</v>
      </c>
    </row>
    <row r="63" spans="1:2">
      <c r="A63">
        <v>0</v>
      </c>
      <c r="B63">
        <v>0</v>
      </c>
    </row>
    <row r="64" spans="1:2">
      <c r="A64">
        <v>15.616994</v>
      </c>
      <c r="B64">
        <v>24.473202000000001</v>
      </c>
    </row>
    <row r="65" spans="1:2">
      <c r="A65">
        <v>0</v>
      </c>
      <c r="B65">
        <v>0</v>
      </c>
    </row>
    <row r="66" spans="1:2">
      <c r="A66">
        <v>0</v>
      </c>
      <c r="B66">
        <v>0</v>
      </c>
    </row>
    <row r="67" spans="1:2">
      <c r="A67">
        <v>16.133333</v>
      </c>
      <c r="B67">
        <v>22.384314</v>
      </c>
    </row>
    <row r="68" spans="1:2">
      <c r="A68">
        <v>0</v>
      </c>
      <c r="B68">
        <v>0</v>
      </c>
    </row>
    <row r="69" spans="1:2">
      <c r="A69">
        <v>15.890197000000001</v>
      </c>
      <c r="B69">
        <v>20.994769999999999</v>
      </c>
    </row>
    <row r="70" spans="1:2">
      <c r="A70">
        <v>0</v>
      </c>
      <c r="B70">
        <v>0</v>
      </c>
    </row>
    <row r="71" spans="1:2">
      <c r="A71">
        <v>0</v>
      </c>
      <c r="B71">
        <v>0</v>
      </c>
    </row>
    <row r="72" spans="1:2">
      <c r="A72">
        <v>15.873201999999999</v>
      </c>
      <c r="B72">
        <v>18.967319</v>
      </c>
    </row>
    <row r="73" spans="1:2">
      <c r="A73">
        <v>0</v>
      </c>
      <c r="B73">
        <v>0</v>
      </c>
    </row>
    <row r="74" spans="1:2">
      <c r="A74">
        <v>0</v>
      </c>
      <c r="B74">
        <v>0</v>
      </c>
    </row>
    <row r="75" spans="1:2">
      <c r="A75">
        <v>17.447057999999998</v>
      </c>
      <c r="B75">
        <v>16.633987000000001</v>
      </c>
    </row>
    <row r="76" spans="1:2">
      <c r="A76">
        <v>0</v>
      </c>
      <c r="B76">
        <v>0</v>
      </c>
    </row>
    <row r="77" spans="1:2">
      <c r="A77">
        <v>16.610458000000001</v>
      </c>
      <c r="B77">
        <v>14.890197000000001</v>
      </c>
    </row>
    <row r="78" spans="1:2">
      <c r="A78">
        <v>0</v>
      </c>
      <c r="B78">
        <v>0</v>
      </c>
    </row>
    <row r="79" spans="1:2">
      <c r="A79">
        <v>0</v>
      </c>
      <c r="B79">
        <v>0</v>
      </c>
    </row>
    <row r="80" spans="1:2">
      <c r="A80">
        <v>19.686274000000001</v>
      </c>
      <c r="B80">
        <v>13.411765000000001</v>
      </c>
    </row>
    <row r="81" spans="1:2">
      <c r="A81">
        <v>0</v>
      </c>
      <c r="B81">
        <v>0</v>
      </c>
    </row>
    <row r="82" spans="1:2">
      <c r="A82">
        <v>19.088888000000001</v>
      </c>
      <c r="B82">
        <v>11.675817</v>
      </c>
    </row>
    <row r="83" spans="1:2">
      <c r="A83">
        <v>0</v>
      </c>
      <c r="B83">
        <v>0</v>
      </c>
    </row>
    <row r="84" spans="1:2">
      <c r="A84">
        <v>0</v>
      </c>
      <c r="B84">
        <v>0</v>
      </c>
    </row>
    <row r="85" spans="1:2">
      <c r="A85">
        <v>18.562092</v>
      </c>
      <c r="B85">
        <v>9.9346399999999999</v>
      </c>
    </row>
    <row r="86" spans="1:2">
      <c r="A86">
        <v>0</v>
      </c>
      <c r="B86">
        <v>0</v>
      </c>
    </row>
    <row r="87" spans="1:2">
      <c r="A87">
        <v>0</v>
      </c>
      <c r="B87">
        <v>0</v>
      </c>
    </row>
    <row r="88" spans="1:2">
      <c r="A88">
        <v>17.810457</v>
      </c>
      <c r="B88">
        <v>8.2901950000000006</v>
      </c>
    </row>
    <row r="89" spans="1:2">
      <c r="A89">
        <v>0</v>
      </c>
      <c r="B89">
        <v>0</v>
      </c>
    </row>
    <row r="90" spans="1:2">
      <c r="A90">
        <v>18.281046</v>
      </c>
      <c r="B90">
        <v>7.1934639999999996</v>
      </c>
    </row>
    <row r="91" spans="1:2">
      <c r="A91">
        <v>0</v>
      </c>
      <c r="B91">
        <v>0</v>
      </c>
    </row>
    <row r="92" spans="1:2">
      <c r="A92">
        <v>0</v>
      </c>
      <c r="B92">
        <v>0</v>
      </c>
    </row>
    <row r="93" spans="1:2">
      <c r="A93">
        <v>16.282354000000002</v>
      </c>
      <c r="B93">
        <v>6.1150330000000004</v>
      </c>
    </row>
    <row r="94" spans="1:2">
      <c r="A94">
        <v>0</v>
      </c>
      <c r="B94">
        <v>0</v>
      </c>
    </row>
    <row r="95" spans="1:2">
      <c r="A95">
        <v>15.722875999999999</v>
      </c>
      <c r="B95">
        <v>5.1437910000000002</v>
      </c>
    </row>
    <row r="96" spans="1:2">
      <c r="A96">
        <v>0</v>
      </c>
      <c r="B96">
        <v>0</v>
      </c>
    </row>
    <row r="97" spans="1:2">
      <c r="A97">
        <v>0</v>
      </c>
      <c r="B97">
        <v>0</v>
      </c>
    </row>
    <row r="98" spans="1:2">
      <c r="A98">
        <v>14.709804999999999</v>
      </c>
      <c r="B98">
        <v>4.2431369999999999</v>
      </c>
    </row>
    <row r="99" spans="1:2">
      <c r="A99">
        <v>0</v>
      </c>
      <c r="B99">
        <v>0</v>
      </c>
    </row>
    <row r="100" spans="1:2">
      <c r="A100">
        <v>14.741177</v>
      </c>
      <c r="B100">
        <v>3.3424839999999998</v>
      </c>
    </row>
    <row r="101" spans="1:2">
      <c r="A101">
        <v>0</v>
      </c>
      <c r="B101">
        <v>0</v>
      </c>
    </row>
    <row r="102" spans="1:2">
      <c r="A102">
        <v>0</v>
      </c>
      <c r="B102">
        <v>0</v>
      </c>
    </row>
    <row r="103" spans="1:2">
      <c r="A103">
        <v>16.169934999999999</v>
      </c>
      <c r="B103">
        <v>2.5777779999999999</v>
      </c>
    </row>
    <row r="104" spans="1:2">
      <c r="A104">
        <v>0</v>
      </c>
      <c r="B104">
        <v>0</v>
      </c>
    </row>
    <row r="105" spans="1:2">
      <c r="A105">
        <v>0</v>
      </c>
      <c r="B105">
        <v>0</v>
      </c>
    </row>
    <row r="106" spans="1:2">
      <c r="A106">
        <v>15.822222999999999</v>
      </c>
      <c r="B106">
        <v>1.975163</v>
      </c>
    </row>
    <row r="107" spans="1:2">
      <c r="A107">
        <v>0</v>
      </c>
      <c r="B107">
        <v>0</v>
      </c>
    </row>
    <row r="108" spans="1:2">
      <c r="A108">
        <v>12.843137</v>
      </c>
      <c r="B108">
        <v>1.526797</v>
      </c>
    </row>
    <row r="109" spans="1:2">
      <c r="A109">
        <v>0</v>
      </c>
      <c r="B109">
        <v>0</v>
      </c>
    </row>
    <row r="110" spans="1:2">
      <c r="A110">
        <v>0</v>
      </c>
      <c r="B110">
        <v>0</v>
      </c>
    </row>
    <row r="111" spans="1:2">
      <c r="A111">
        <v>14.060129999999999</v>
      </c>
      <c r="B111">
        <v>1.279739</v>
      </c>
    </row>
    <row r="112" spans="1:2">
      <c r="A112">
        <v>0</v>
      </c>
      <c r="B112">
        <v>0</v>
      </c>
    </row>
    <row r="113" spans="1:2">
      <c r="A113">
        <v>13.403921</v>
      </c>
      <c r="B113">
        <v>0.93725499999999995</v>
      </c>
    </row>
    <row r="114" spans="1:2">
      <c r="A114">
        <v>0</v>
      </c>
      <c r="B114">
        <v>0</v>
      </c>
    </row>
    <row r="115" spans="1:2">
      <c r="A115">
        <v>0</v>
      </c>
      <c r="B115">
        <v>0</v>
      </c>
    </row>
    <row r="116" spans="1:2">
      <c r="A116">
        <v>13.899345</v>
      </c>
      <c r="B116">
        <v>0.83398700000000003</v>
      </c>
    </row>
    <row r="117" spans="1:2">
      <c r="A117">
        <v>0</v>
      </c>
      <c r="B117">
        <v>0</v>
      </c>
    </row>
    <row r="118" spans="1:2">
      <c r="A118">
        <v>11.555555</v>
      </c>
      <c r="B118">
        <v>0.59738599999999997</v>
      </c>
    </row>
    <row r="119" spans="1:2">
      <c r="A119">
        <v>0</v>
      </c>
      <c r="B119">
        <v>0</v>
      </c>
    </row>
    <row r="120" spans="1:2">
      <c r="A120">
        <v>0</v>
      </c>
      <c r="B120">
        <v>0</v>
      </c>
    </row>
    <row r="121" spans="1:2">
      <c r="A121">
        <v>10.271894</v>
      </c>
      <c r="B121">
        <v>0.51372600000000002</v>
      </c>
    </row>
    <row r="122" spans="1:2">
      <c r="A122">
        <v>0</v>
      </c>
      <c r="B122">
        <v>0</v>
      </c>
    </row>
    <row r="123" spans="1:2">
      <c r="A123">
        <v>0</v>
      </c>
      <c r="B123">
        <v>0</v>
      </c>
    </row>
    <row r="124" spans="1:2">
      <c r="A124">
        <v>6.911111</v>
      </c>
      <c r="B124">
        <v>0.32549</v>
      </c>
    </row>
    <row r="125" spans="1:2">
      <c r="A125">
        <v>0</v>
      </c>
      <c r="B125">
        <v>0</v>
      </c>
    </row>
    <row r="126" spans="1:2">
      <c r="A126">
        <v>6.673203</v>
      </c>
      <c r="B126">
        <v>0.27581699999999998</v>
      </c>
    </row>
    <row r="127" spans="1:2">
      <c r="A127">
        <v>0</v>
      </c>
      <c r="B127">
        <v>0</v>
      </c>
    </row>
    <row r="128" spans="1:2">
      <c r="A128">
        <v>0</v>
      </c>
      <c r="B128">
        <v>0</v>
      </c>
    </row>
    <row r="129" spans="1:2">
      <c r="A129">
        <v>3.9555560000000001</v>
      </c>
      <c r="B129">
        <v>0.143791</v>
      </c>
    </row>
    <row r="130" spans="1:2">
      <c r="A130">
        <v>0</v>
      </c>
      <c r="B130">
        <v>0</v>
      </c>
    </row>
    <row r="131" spans="1:2">
      <c r="A131">
        <v>2.735948</v>
      </c>
      <c r="B131">
        <v>9.9346000000000004E-2</v>
      </c>
    </row>
    <row r="132" spans="1:2">
      <c r="A132">
        <v>0</v>
      </c>
      <c r="B132">
        <v>0</v>
      </c>
    </row>
    <row r="133" spans="1:2">
      <c r="A133">
        <v>0</v>
      </c>
      <c r="B133">
        <v>0</v>
      </c>
    </row>
    <row r="134" spans="1:2">
      <c r="A134">
        <v>1.2732030000000001</v>
      </c>
      <c r="B134">
        <v>5.2288000000000001E-2</v>
      </c>
    </row>
    <row r="135" spans="1:2">
      <c r="A135">
        <v>0</v>
      </c>
      <c r="B135">
        <v>0</v>
      </c>
    </row>
    <row r="136" spans="1:2">
      <c r="A136">
        <v>0.72156900000000002</v>
      </c>
      <c r="B136">
        <v>3.2680000000000001E-2</v>
      </c>
    </row>
    <row r="137" spans="1:2">
      <c r="A137">
        <v>0</v>
      </c>
      <c r="B137">
        <v>0</v>
      </c>
    </row>
    <row r="138" spans="1:2">
      <c r="A138">
        <v>0</v>
      </c>
      <c r="B138">
        <v>0</v>
      </c>
    </row>
    <row r="139" spans="1:2">
      <c r="A139">
        <v>1.288889</v>
      </c>
      <c r="B139">
        <v>5.2288000000000001E-2</v>
      </c>
    </row>
    <row r="140" spans="1:2">
      <c r="A140">
        <v>0</v>
      </c>
      <c r="B140">
        <v>0</v>
      </c>
    </row>
    <row r="141" spans="1:2">
      <c r="A141">
        <v>0</v>
      </c>
      <c r="B141">
        <v>0</v>
      </c>
    </row>
    <row r="142" spans="1:2">
      <c r="A142">
        <v>0.83529399999999998</v>
      </c>
      <c r="B142">
        <v>3.2680000000000001E-2</v>
      </c>
    </row>
    <row r="143" spans="1:2">
      <c r="A143">
        <v>0</v>
      </c>
      <c r="B143">
        <v>0</v>
      </c>
    </row>
    <row r="144" spans="1:2">
      <c r="A144">
        <v>1.284967</v>
      </c>
      <c r="B144">
        <v>4.5752000000000001E-2</v>
      </c>
    </row>
    <row r="145" spans="1:2">
      <c r="A145">
        <v>0</v>
      </c>
      <c r="B145">
        <v>0</v>
      </c>
    </row>
    <row r="146" spans="1:2">
      <c r="A146">
        <v>0</v>
      </c>
      <c r="B146">
        <v>0</v>
      </c>
    </row>
    <row r="147" spans="1:2">
      <c r="A147">
        <v>1.4653590000000001</v>
      </c>
      <c r="B147">
        <v>4.8365999999999999E-2</v>
      </c>
    </row>
    <row r="148" spans="1:2">
      <c r="A148">
        <v>0</v>
      </c>
      <c r="B148">
        <v>0</v>
      </c>
    </row>
    <row r="149" spans="1:2">
      <c r="A149">
        <v>0.60653599999999996</v>
      </c>
      <c r="B149">
        <v>1.8301000000000001E-2</v>
      </c>
    </row>
    <row r="150" spans="1:2">
      <c r="A150">
        <v>0</v>
      </c>
      <c r="B150">
        <v>0</v>
      </c>
    </row>
    <row r="151" spans="1:2">
      <c r="A151">
        <v>0</v>
      </c>
      <c r="B151">
        <v>0</v>
      </c>
    </row>
    <row r="152" spans="1:2">
      <c r="A152">
        <v>0.122876</v>
      </c>
      <c r="B152">
        <v>3.9220000000000001E-3</v>
      </c>
    </row>
    <row r="153" spans="1:2">
      <c r="A153">
        <v>0</v>
      </c>
      <c r="B153">
        <v>0</v>
      </c>
    </row>
    <row r="154" spans="1:2">
      <c r="A154">
        <v>0.13333300000000001</v>
      </c>
      <c r="B154">
        <v>5.2290000000000001E-3</v>
      </c>
    </row>
    <row r="155" spans="1:2">
      <c r="A155">
        <v>0</v>
      </c>
      <c r="B155">
        <v>0</v>
      </c>
    </row>
    <row r="156" spans="1:2">
      <c r="A156">
        <v>0</v>
      </c>
      <c r="B156">
        <v>0</v>
      </c>
    </row>
    <row r="157" spans="1:2">
      <c r="A157">
        <v>4.7058999999999997E-2</v>
      </c>
      <c r="B157">
        <v>2.614E-3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0.894493324134812
0.89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0.89449332413481208</v>
      </c>
      <c r="I4" s="322">
        <f>IF(Measurement!AQ7&lt;&gt;"",NORMSDIST((H6-$B$2)/$B$3)*100,"")</f>
        <v>77.444896455205665</v>
      </c>
      <c r="J4" t="str">
        <f>Measurement!AR7</f>
        <v>건강</v>
      </c>
    </row>
    <row r="5" spans="1:11">
      <c r="B5" s="171">
        <v>-10</v>
      </c>
      <c r="C5" s="171">
        <f>NORMSDIST(($B5-$B$2)/$B$3)*100</f>
        <v>7.1097265868555281E-5</v>
      </c>
      <c r="G5" t="s">
        <v>1539</v>
      </c>
      <c r="H5" s="320">
        <f>IF(Measurement!AQ7&lt;-7,-7,Measurement!AQ7)</f>
        <v>0.89449332413481208</v>
      </c>
      <c r="I5" s="321">
        <f>IF(Measurement!AQ7&lt;&gt;"",0,"")</f>
        <v>0</v>
      </c>
    </row>
    <row r="6" spans="1:11">
      <c r="B6" s="171">
        <f>B5+0.1</f>
        <v>-9.9</v>
      </c>
      <c r="C6" s="171">
        <f t="shared" ref="C6:C57" si="0">NORMSDIST(($B6-$B$2)/$B$3)*100</f>
        <v>9.1781224195367343E-5</v>
      </c>
      <c r="H6" s="320">
        <f>IF(Measurement!AQ7&lt;-7,-7,Measurement!AQ7)</f>
        <v>0.89449332413481208</v>
      </c>
      <c r="I6" s="321">
        <f>IF(Measurement!AQ7&lt;&gt;"",NORMSDIST((H6-$B$2)/$B$3)*100,"")</f>
        <v>77.444896455205665</v>
      </c>
    </row>
    <row r="7" spans="1:11">
      <c r="B7" s="171">
        <f t="shared" ref="B7:B70" si="1">B6+0.1</f>
        <v>-9.8000000000000007</v>
      </c>
      <c r="C7" s="171">
        <f t="shared" si="0"/>
        <v>1.1818368021892541E-4</v>
      </c>
      <c r="D7" s="171"/>
      <c r="H7" s="320">
        <f>IF(Measurement!AQ7&lt;&gt;"",-7,"")</f>
        <v>-7</v>
      </c>
      <c r="I7" s="321">
        <f>IF(Measurement!AQ7&lt;&gt;"",NORMSDIST((H6-$B$2)/$B$3)*100,"")</f>
        <v>77.444896455205665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55.6</v>
      </c>
      <c r="V4" t="s">
        <v>1218</v>
      </c>
    </row>
    <row r="5" spans="1:29">
      <c r="B5" s="171">
        <v>0</v>
      </c>
      <c r="C5" s="171">
        <f>NORMSDIST(($B5-$B$2)/$B$3)*100</f>
        <v>1.2153167836658598</v>
      </c>
      <c r="H5">
        <f>info!W36</f>
        <v>55.599600000000009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55.599600000000009</v>
      </c>
      <c r="I6" s="171">
        <f>NORMSDIST((H6-$B$2)/$B$3)*100</f>
        <v>59.956999088188155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59.956999088188155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1.5803799999999999</v>
      </c>
    </row>
    <row r="3" spans="1:11" ht="18">
      <c r="A3" s="71" t="s">
        <v>1065</v>
      </c>
      <c r="B3" s="557">
        <v>0.71290976993199895</v>
      </c>
      <c r="C3" s="523"/>
      <c r="H3" s="561" t="s">
        <v>2223</v>
      </c>
      <c r="I3" s="562">
        <f>IF(I2=0,0,NORMSDIST((I2-$B$2)/$B$3)*100)</f>
        <v>32.6956937817138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1.58</v>
      </c>
    </row>
    <row r="6" spans="1:11">
      <c r="B6" s="23">
        <v>0</v>
      </c>
      <c r="C6" s="23">
        <f>NORMSDIST(($B6-$B$2)/$B$3)*100</f>
        <v>0.38478836223957635</v>
      </c>
      <c r="H6" s="205">
        <f>IF(info!V36&gt;I1,I1,info!V36)</f>
        <v>1.5803799999999999</v>
      </c>
      <c r="I6" s="560">
        <v>0</v>
      </c>
    </row>
    <row r="7" spans="1:11">
      <c r="B7" s="23">
        <f>B5+0.05</f>
        <v>0</v>
      </c>
      <c r="C7" s="23">
        <f t="shared" ref="C7:E58" si="0">NORMSDIST(($B7-$B$2)/$B$3)*100</f>
        <v>0.38478836223957635</v>
      </c>
      <c r="H7" s="205">
        <f>IF(info!V36&gt;I1,I1,info!V36)</f>
        <v>1.5803799999999999</v>
      </c>
      <c r="I7" s="560">
        <f>NORMSDIST((H7-$B$2)/$B$3)*100</f>
        <v>32.6956937817138</v>
      </c>
    </row>
    <row r="8" spans="1:11">
      <c r="B8" s="23">
        <f t="shared" ref="B8:B71" si="1">B7+0.05</f>
        <v>0.05</v>
      </c>
      <c r="C8" s="23">
        <f t="shared" si="0"/>
        <v>0.47295624138584591</v>
      </c>
      <c r="D8" s="171"/>
      <c r="H8" s="205">
        <v>0</v>
      </c>
      <c r="I8" s="560">
        <f>NORMSDIST((H7-$B$2)/$B$3)*100</f>
        <v>32.6956937817138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1.5803799999999999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1.5803799999999999</v>
      </c>
      <c r="I6" s="171">
        <f>NORMSDIST((H6-$B$2)/$B$3)*100</f>
        <v>5.1186262476226964E-2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5.1186262476226964E-2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45779.555046296293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2025-05-02T04:19:34Z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