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9\vision^3hqB^1^1^\"/>
    </mc:Choice>
  </mc:AlternateContent>
  <xr:revisionPtr revIDLastSave="0" documentId="13_ncr:1_{6DB55214-5EE9-44BA-A1C5-E0340CA1F9B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L7" i="43"/>
  <c r="H7" i="43"/>
  <c r="H7" i="42"/>
  <c r="H7" i="41"/>
  <c r="H7" i="40"/>
  <c r="L7" i="39"/>
  <c r="H7" i="39"/>
  <c r="H7" i="38"/>
  <c r="H7" i="37"/>
  <c r="H7" i="36"/>
  <c r="L7" i="33"/>
  <c r="H7" i="33"/>
  <c r="V2" i="14"/>
  <c r="L8" i="49" s="1"/>
  <c r="U2" i="14"/>
  <c r="R8" i="49" s="1"/>
  <c r="T2" i="14"/>
  <c r="L7" i="49" s="1"/>
  <c r="R2" i="14"/>
  <c r="O2" i="14"/>
  <c r="H8" i="39" s="1"/>
  <c r="H8" i="36" l="1"/>
  <c r="H8" i="40"/>
  <c r="L8" i="37"/>
  <c r="L8" i="41"/>
  <c r="L8" i="45"/>
  <c r="Q8" i="45"/>
  <c r="Q8" i="41"/>
  <c r="H8" i="44"/>
  <c r="L8" i="40"/>
  <c r="H8" i="33"/>
  <c r="L7" i="42"/>
  <c r="Q8" i="44"/>
  <c r="L8" i="39"/>
  <c r="L8" i="43"/>
  <c r="Q2" i="14"/>
  <c r="H8" i="49"/>
  <c r="H8" i="30"/>
  <c r="Q8" i="33"/>
  <c r="L7" i="37"/>
  <c r="H8" i="38"/>
  <c r="Q8" i="39"/>
  <c r="L7" i="41"/>
  <c r="H8" i="42"/>
  <c r="Q8" i="43"/>
  <c r="L7" i="45"/>
  <c r="H8" i="46"/>
  <c r="L8" i="36"/>
  <c r="L8" i="44"/>
  <c r="L7" i="30"/>
  <c r="Q8" i="36"/>
  <c r="L7" i="38"/>
  <c r="Q8" i="40"/>
  <c r="H8" i="43"/>
  <c r="L7" i="46"/>
  <c r="L8" i="33"/>
  <c r="P2" i="14"/>
  <c r="L8" i="30"/>
  <c r="L8" i="38"/>
  <c r="L8" i="42"/>
  <c r="L8" i="46"/>
  <c r="Q8" i="37"/>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11" i="1"/>
  <c r="I36" i="48" s="1"/>
  <c r="L7" i="1"/>
  <c r="I32" i="48" s="1"/>
  <c r="L8" i="1"/>
  <c r="I33" i="48" s="1"/>
  <c r="L16" i="1"/>
  <c r="I41"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A7" i="1"/>
  <c r="CA6" i="1" s="1"/>
  <c r="CB7" i="1"/>
  <c r="CD7" i="1"/>
  <c r="CC6" i="1" s="1"/>
  <c r="AS7" i="1"/>
  <c r="A71" i="32"/>
  <c r="A67" i="32"/>
  <c r="B53" i="24"/>
  <c r="D53" i="24" s="1"/>
  <c r="H4" i="21"/>
  <c r="H6" i="21"/>
  <c r="I6" i="21" s="1"/>
  <c r="H5" i="21"/>
  <c r="A9" i="17"/>
  <c r="C8" i="17"/>
  <c r="B8" i="17" s="1"/>
  <c r="V21" i="11"/>
  <c r="V52" i="11"/>
  <c r="X52" i="11" s="1"/>
  <c r="B46" i="25"/>
  <c r="G46" i="25" s="1"/>
  <c r="BY6" i="1"/>
  <c r="CD6" i="1"/>
  <c r="BV6" i="1"/>
  <c r="CE6" i="1"/>
  <c r="H7" i="21"/>
  <c r="I5" i="21"/>
  <c r="B27" i="21"/>
  <c r="C26" i="21"/>
  <c r="B83" i="23"/>
  <c r="E82" i="23"/>
  <c r="C28" i="23"/>
  <c r="H20" i="18"/>
  <c r="F15" i="13"/>
  <c r="L14" i="13"/>
  <c r="M17" i="1"/>
  <c r="A50" i="6"/>
  <c r="A54" i="6"/>
  <c r="K24" i="1"/>
  <c r="I24" i="1"/>
  <c r="F9" i="11"/>
  <c r="A10" i="11"/>
  <c r="B9" i="11"/>
  <c r="E9" i="11" s="1"/>
  <c r="BW6" i="1" l="1"/>
  <c r="CB6" i="1"/>
  <c r="BZ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39"/>
  <c r="O7" i="46"/>
  <c r="O7" i="42"/>
  <c r="O7" i="38"/>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2" i="1" l="1"/>
  <c r="Y8" i="1"/>
  <c r="Y11" i="1"/>
  <c r="Y14" i="1"/>
  <c r="Y10" i="1"/>
  <c r="Y16" i="1"/>
  <c r="Y13" i="1"/>
  <c r="C213" i="17"/>
  <c r="B213" i="17" s="1"/>
  <c r="Y7" i="1" s="1"/>
  <c r="A214" i="17"/>
  <c r="F211" i="11"/>
  <c r="A212" i="11"/>
  <c r="B211" i="11"/>
  <c r="E211" i="11" s="1"/>
  <c r="L35" i="48" l="1"/>
  <c r="L35" i="18"/>
  <c r="L38" i="48"/>
  <c r="L38" i="18"/>
  <c r="L41" i="48"/>
  <c r="L41" i="18"/>
  <c r="L39" i="48"/>
  <c r="L39" i="18"/>
  <c r="L33" i="48"/>
  <c r="L33" i="18"/>
  <c r="L32" i="48"/>
  <c r="L32" i="18"/>
  <c r="L36" i="48"/>
  <c r="L36"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AZ19" i="11" s="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<sst xmlns="http://schemas.openxmlformats.org/spreadsheetml/2006/main" count="7311" uniqueCount="2585">
  <si>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</si>
  <si>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</si>
  <si>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</si>
  <si>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</si>
  <si>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</si>
  <si>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</si>
  <si>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</si>
  <si>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</si>
  <si>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</si>
  <si>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</si>
  <si>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</si>
  <si>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</si>
  <si>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</si>
  <si>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</si>
  <si>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</si>
  <si>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</si>
  <si>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</si>
  <si>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</si>
  <si>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</si>
  <si>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</si>
  <si>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</si>
  <si>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</si>
  <si>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</si>
  <si>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</si>
  <si>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</si>
  <si>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</si>
  <si>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</si>
  <si>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</si>
  <si>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</si>
  <si>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</si>
  <si>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</si>
  <si>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</si>
  <si>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</si>
  <si>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</si>
  <si>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</si>
  <si>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</si>
  <si>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</si>
  <si>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</si>
  <si>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</si>
  <si>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</si>
  <si>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</si>
  <si>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</si>
  <si>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</si>
  <si>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</si>
  <si>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</si>
  <si>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</si>
  <si>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</si>
  <si>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</si>
  <si>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</si>
  <si>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</si>
  <si>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</si>
  <si>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</si>
  <si>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</si>
  <si>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</si>
  <si>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</si>
  <si>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</si>
  <si>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</si>
  <si>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</si>
  <si>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</si>
  <si>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</si>
  <si>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</si>
  <si>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</si>
  <si>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</si>
  <si>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</si>
  <si>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</si>
  <si>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</si>
  <si>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</si>
  <si>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</si>
  <si>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</si>
  <si>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</si>
  <si>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</si>
  <si>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</si>
  <si>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</si>
  <si>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</si>
  <si>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</si>
  <si>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</si>
  <si>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</si>
  <si>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</si>
  <si>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</si>
  <si>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</si>
  <si>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</si>
  <si>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</si>
  <si>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</si>
  <si>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</si>
  <si>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</si>
  <si>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</si>
  <si>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</si>
  <si>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</si>
  <si>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</si>
  <si>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</si>
  <si>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</si>
  <si>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</si>
  <si>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</si>
  <si>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</si>
  <si>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</si>
  <si>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</si>
  <si>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</si>
  <si>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</si>
  <si>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</si>
  <si>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</si>
  <si>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</si>
  <si>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</si>
  <si>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</si>
  <si>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</si>
  <si>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</si>
  <si>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</si>
  <si>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</si>
  <si>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</si>
  <si>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</si>
  <si>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</si>
  <si>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</si>
  <si>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</si>
  <si>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</si>
  <si>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</si>
  <si>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</si>
  <si>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</si>
  <si>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</si>
  <si>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</si>
  <si>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</si>
  <si>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</si>
  <si>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</si>
  <si>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</si>
  <si>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</si>
  <si>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</si>
  <si>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</si>
  <si>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</si>
  <si>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</si>
  <si>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</si>
  <si>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</si>
  <si>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</si>
  <si>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</si>
  <si>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</si>
  <si>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</si>
  <si>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</si>
  <si>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</si>
  <si>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</si>
  <si>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</si>
  <si>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</si>
  <si>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</si>
  <si>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</si>
  <si>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</si>
  <si>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</si>
  <si>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</si>
  <si>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</si>
  <si>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</si>
  <si>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</si>
  <si>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</si>
  <si>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</si>
  <si>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</si>
  <si>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</si>
  <si>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</si>
  <si>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</si>
  <si>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</si>
  <si>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</si>
  <si>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</si>
  <si>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</si>
  <si>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</si>
  <si>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</si>
  <si>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</si>
  <si>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</si>
  <si>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</si>
  <si>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</si>
  <si>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</si>
  <si>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</si>
  <si>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</si>
  <si>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</si>
  <si>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</si>
  <si>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</si>
  <si>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</si>
  <si>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</si>
  <si>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</si>
  <si>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</si>
  <si>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</si>
  <si>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</si>
  <si>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</si>
  <si>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</si>
  <si>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</si>
  <si>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</si>
  <si>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</si>
  <si>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</si>
  <si>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</si>
  <si>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</si>
  <si>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</si>
  <si>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</si>
  <si>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</si>
  <si>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</si>
  <si>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</si>
  <si>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</si>
  <si>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</si>
  <si>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</si>
  <si>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</si>
  <si>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</si>
  <si>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</si>
  <si>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</si>
  <si>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</si>
  <si>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</si>
  <si>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</si>
  <si>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</si>
  <si>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</si>
  <si>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</si>
  <si>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</si>
  <si>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</si>
  <si>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</si>
  <si>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</si>
  <si>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</si>
  <si>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</si>
  <si>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</si>
  <si>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</si>
  <si>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</si>
  <si>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</si>
  <si>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</si>
  <si>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</si>
  <si>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</si>
  <si>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</si>
  <si>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</si>
  <si>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</si>
  <si>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</si>
  <si>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</si>
  <si>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</si>
  <si>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</si>
  <si>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</si>
  <si>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</si>
  <si>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</si>
  <si>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</si>
  <si>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</si>
  <si>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</si>
  <si>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</si>
  <si>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</si>
  <si>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</si>
  <si>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</si>
  <si>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</si>
  <si>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</si>
  <si>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</si>
  <si>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</si>
  <si>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</si>
  <si>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</si>
  <si>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</si>
  <si>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</si>
  <si>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</si>
  <si>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</si>
  <si>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</si>
  <si>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</si>
  <si>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</si>
  <si>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</si>
  <si>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</si>
  <si>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</si>
  <si>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</si>
  <si>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</si>
  <si>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</si>
  <si>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</si>
  <si>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</si>
  <si>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</si>
  <si>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</si>
  <si>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</si>
  <si>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</si>
  <si>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</si>
  <si>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</si>
  <si>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</si>
  <si>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</si>
  <si>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</si>
  <si>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</si>
  <si>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</si>
  <si>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</si>
  <si>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</si>
  <si>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</si>
  <si>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</si>
  <si>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</si>
  <si>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</si>
  <si>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</si>
  <si>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</si>
  <si>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</si>
  <si>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</si>
  <si>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</si>
  <si>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</si>
  <si>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</si>
  <si>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</si>
  <si>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</si>
  <si>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</si>
  <si>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</si>
  <si>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</si>
  <si>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</si>
  <si>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</si>
  <si>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</si>
  <si>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</si>
  <si>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</si>
  <si>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</si>
  <si>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</si>
  <si>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</si>
  <si>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</si>
  <si>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</si>
  <si>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</si>
  <si>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</si>
  <si>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</si>
  <si>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</si>
  <si>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</si>
  <si>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</si>
  <si>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</si>
  <si>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</si>
  <si>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</si>
  <si>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</si>
  <si>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</si>
  <si>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</si>
  <si>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</si>
  <si>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</si>
  <si>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</si>
  <si>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</si>
  <si>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</si>
  <si>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</si>
  <si>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</si>
  <si>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</si>
  <si>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</si>
  <si>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</si>
  <si>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</si>
  <si>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</si>
  <si>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</si>
  <si>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</si>
  <si>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</si>
  <si>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</si>
  <si>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</si>
  <si>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</si>
  <si>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</si>
  <si>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</si>
  <si>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</si>
  <si>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</si>
  <si>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</si>
  <si>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</si>
  <si>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</si>
  <si>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</si>
  <si>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</si>
  <si>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</si>
  <si>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</si>
  <si>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</si>
  <si>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</si>
  <si>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</si>
  <si>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</si>
  <si>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</si>
  <si>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</si>
  <si>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</si>
  <si>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</si>
  <si>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</si>
  <si>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</si>
  <si>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</si>
  <si>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</si>
  <si>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</si>
  <si>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</si>
  <si>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</si>
  <si>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</si>
  <si>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</si>
  <si>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</si>
  <si>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</si>
  <si>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</si>
  <si>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</si>
  <si>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</si>
  <si>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</si>
  <si>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</si>
  <si>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</si>
  <si>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</si>
  <si>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</si>
  <si>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</si>
  <si>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</si>
  <si>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</si>
  <si>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</si>
  <si>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</si>
  <si>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</si>
  <si>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</si>
  <si>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</si>
  <si>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</si>
  <si>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</si>
  <si>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</si>
  <si>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</si>
  <si>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</si>
  <si>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</si>
  <si>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</si>
  <si>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</si>
  <si>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</si>
  <si>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</si>
  <si>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</si>
  <si>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</si>
  <si>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</si>
  <si>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</si>
  <si>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</si>
  <si>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</si>
  <si>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</si>
  <si>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</si>
  <si>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</si>
  <si>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</si>
  <si>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</si>
  <si>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</si>
  <si>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</si>
  <si>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</si>
  <si>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</si>
  <si>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</si>
  <si>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</si>
  <si>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</si>
  <si>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</si>
  <si>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</si>
  <si>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</si>
  <si>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</si>
  <si>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</si>
  <si>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</si>
  <si>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</si>
  <si>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</si>
  <si>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</si>
  <si>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</si>
  <si>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</si>
  <si>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</si>
  <si>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</si>
  <si>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</si>
  <si>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</si>
  <si>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</si>
  <si>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</si>
  <si>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</si>
  <si>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</si>
  <si>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</si>
  <si>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</si>
  <si>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</si>
  <si>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</si>
  <si>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</si>
  <si>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</si>
  <si>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</si>
  <si>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</si>
  <si>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</si>
  <si>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</si>
  <si>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</si>
  <si>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</si>
  <si>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</si>
  <si>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</si>
  <si>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</si>
  <si>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</si>
  <si>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</si>
  <si>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</si>
  <si>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</si>
  <si>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</si>
  <si>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</si>
  <si>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</si>
  <si>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</si>
  <si>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</si>
  <si>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</si>
  <si>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</si>
  <si>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</si>
  <si>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</si>
  <si>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</si>
  <si>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</si>
  <si>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</si>
  <si>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</si>
  <si>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</si>
  <si>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</si>
  <si>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</si>
  <si>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</si>
  <si>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</si>
  <si>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</si>
  <si>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</si>
  <si>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</si>
  <si>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</si>
  <si>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</si>
  <si>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</si>
  <si>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</si>
  <si>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</si>
  <si>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</si>
  <si>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</si>
  <si>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</si>
  <si>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</si>
  <si>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</si>
  <si>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</si>
  <si>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</si>
  <si>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</si>
  <si>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</si>
  <si>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</si>
  <si>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</si>
  <si>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</si>
  <si>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</si>
  <si>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</si>
  <si>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</si>
  <si>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</si>
  <si>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</si>
  <si>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</si>
  <si>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</si>
  <si>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</si>
  <si>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</si>
  <si>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</si>
  <si>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</si>
  <si>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</si>
  <si>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</si>
  <si>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</si>
  <si>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</si>
  <si>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</si>
  <si>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</si>
  <si>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</si>
  <si>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</si>
  <si>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</si>
  <si>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</si>
  <si>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</si>
  <si>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</si>
  <si>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</si>
  <si>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</si>
  <si>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</si>
  <si>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</si>
  <si>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</si>
  <si>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</si>
  <si>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</si>
  <si>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</si>
  <si>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</si>
  <si>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</si>
  <si>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</si>
  <si>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</si>
  <si>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</si>
  <si>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</si>
  <si>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</si>
  <si>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</si>
  <si>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</si>
  <si>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</si>
  <si>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</si>
  <si>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</si>
  <si>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</si>
  <si>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</si>
  <si>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</si>
  <si>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</si>
  <si>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</si>
  <si>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</si>
  <si>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</si>
  <si>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</si>
  <si>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</si>
  <si>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</si>
  <si>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</si>
  <si>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</si>
  <si>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</si>
  <si>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</si>
  <si>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</si>
  <si>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</si>
  <si>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</si>
  <si>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</si>
  <si>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</si>
  <si>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</si>
  <si>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</si>
  <si>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</si>
  <si>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</si>
  <si>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</si>
  <si>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</si>
  <si>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</si>
  <si>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</si>
  <si>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</si>
  <si>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</si>
  <si>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</si>
  <si>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</si>
  <si>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</si>
  <si>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</si>
  <si>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</si>
  <si>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</si>
  <si>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</si>
  <si>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</si>
  <si>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</si>
  <si>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</si>
  <si>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</si>
  <si>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</si>
  <si>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</si>
  <si>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</si>
  <si>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</si>
  <si>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</si>
  <si>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</si>
  <si>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</si>
  <si>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</si>
  <si>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</si>
  <si>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</si>
  <si>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</si>
  <si>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</si>
  <si>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</si>
  <si>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</si>
  <si>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</si>
  <si>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</si>
  <si>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</si>
  <si>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</si>
  <si>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</si>
  <si>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</si>
  <si>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</si>
  <si>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</si>
  <si>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</si>
  <si>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</si>
  <si>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</si>
  <si>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</si>
  <si>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</si>
  <si>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</si>
  <si>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</si>
  <si>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</si>
  <si>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</si>
  <si>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</si>
  <si>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</si>
  <si>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</si>
  <si>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</si>
  <si>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</si>
  <si>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</si>
  <si>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</si>
  <si>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</si>
  <si>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</si>
  <si>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</si>
  <si>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</si>
  <si>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</si>
  <si>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</si>
  <si>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</si>
  <si>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</si>
  <si>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</si>
  <si>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</si>
  <si>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</si>
  <si>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</si>
  <si>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</si>
  <si>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</si>
  <si>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</si>
  <si>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</si>
  <si>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</si>
  <si>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</si>
  <si>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</si>
  <si>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</si>
  <si>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</si>
  <si>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</si>
  <si>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</si>
  <si>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</si>
  <si>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</si>
  <si>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</si>
  <si>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</si>
  <si>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</si>
  <si>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</si>
  <si>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</si>
  <si>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</si>
  <si>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</si>
  <si>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</si>
  <si>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</si>
  <si>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</si>
  <si>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</si>
  <si>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</si>
  <si>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</si>
  <si>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</si>
  <si>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</si>
  <si>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</si>
  <si>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</si>
  <si>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</si>
  <si>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</si>
  <si>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</si>
  <si>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</si>
  <si>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</si>
  <si>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</si>
  <si>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</si>
  <si>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</si>
  <si>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</si>
  <si>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</si>
  <si>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</si>
  <si>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</si>
  <si>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</si>
  <si>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</si>
  <si>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</si>
  <si>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</si>
  <si>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</si>
  <si>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</si>
  <si>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</si>
  <si>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</si>
  <si>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</si>
  <si>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</si>
  <si>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</si>
  <si>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</si>
  <si>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</si>
  <si>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</si>
  <si>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</si>
  <si>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</si>
  <si>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</si>
  <si>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</si>
  <si>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</si>
  <si>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</si>
  <si>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</si>
  <si>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</si>
  <si>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</si>
  <si>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</si>
  <si>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</si>
  <si>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</si>
  <si>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</si>
  <si>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</si>
  <si>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</si>
  <si>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</si>
  <si>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</si>
  <si>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</si>
  <si>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</si>
  <si>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</si>
  <si>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</si>
  <si>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</si>
  <si>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</si>
  <si>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</si>
  <si>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</si>
  <si>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</si>
  <si>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</si>
  <si>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</si>
  <si>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</si>
  <si>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</si>
  <si>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</si>
  <si>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</si>
  <si>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</si>
  <si>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</si>
  <si>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</si>
  <si>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</si>
  <si>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</si>
  <si>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</si>
  <si>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</si>
  <si>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</si>
  <si>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</si>
  <si>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</si>
  <si>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</si>
  <si>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</si>
  <si>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</si>
  <si>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</si>
  <si>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</si>
  <si>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</si>
  <si>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</si>
  <si>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</si>
  <si>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</si>
  <si>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</si>
  <si>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</si>
  <si>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</si>
  <si>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</si>
  <si>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</si>
  <si>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</si>
  <si>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</si>
  <si>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</si>
  <si>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</si>
  <si>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</si>
  <si>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</si>
  <si>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</si>
  <si>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</si>
  <si>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</si>
  <si>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</si>
  <si>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</si>
  <si>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</si>
  <si>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</si>
  <si>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</si>
  <si>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</si>
  <si>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</si>
  <si>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</si>
  <si>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</si>
  <si>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</si>
  <si>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</si>
  <si>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</si>
  <si>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</si>
  <si>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</si>
  <si>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</si>
  <si>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</si>
  <si>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</si>
  <si>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</si>
  <si>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</si>
  <si>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</si>
  <si>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</si>
  <si>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</si>
  <si>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</si>
  <si>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</si>
  <si>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</si>
  <si>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</si>
  <si>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</si>
  <si>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</si>
  <si>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</si>
  <si>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</si>
  <si>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</si>
  <si>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</si>
  <si>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</si>
  <si>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</si>
  <si>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</si>
  <si>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</si>
  <si>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</si>
  <si>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</si>
  <si>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</si>
  <si>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</si>
  <si>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</si>
  <si>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</si>
  <si>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</si>
  <si>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</si>
  <si>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</si>
  <si>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</si>
  <si>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</si>
  <si>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</si>
  <si>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</si>
  <si>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</si>
  <si>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</si>
  <si>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</si>
  <si>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</si>
  <si>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</si>
  <si>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</si>
  <si>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</si>
  <si>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</si>
  <si>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</si>
  <si>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</si>
  <si>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</si>
  <si>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</si>
  <si>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</si>
  <si>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</si>
  <si>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</si>
  <si>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</si>
  <si>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</si>
  <si>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</si>
  <si>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</si>
  <si>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</si>
  <si>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</si>
  <si>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</si>
  <si>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</si>
  <si>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</si>
  <si>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</si>
  <si>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</si>
  <si>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</si>
  <si>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</si>
  <si>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</si>
  <si>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</si>
  <si>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</si>
  <si>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</si>
  <si>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</si>
  <si>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</si>
  <si>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</si>
  <si>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</si>
  <si>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</si>
  <si>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</si>
  <si>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</si>
  <si>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</si>
  <si>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</si>
  <si>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</si>
  <si>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</si>
  <si>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</si>
  <si>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</si>
  <si>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</si>
  <si>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</si>
  <si>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</si>
  <si>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</si>
  <si>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</si>
  <si>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</si>
  <si>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</si>
  <si>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</si>
  <si>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</si>
  <si>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</si>
  <si>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</si>
  <si>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</si>
  <si>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</si>
  <si>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</si>
  <si>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</si>
  <si>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</si>
  <si>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</si>
  <si>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</si>
  <si>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</si>
  <si>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</si>
  <si>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</si>
  <si>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</si>
  <si>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</si>
  <si>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</si>
  <si>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</si>
  <si>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</si>
  <si>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</si>
  <si>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</si>
  <si>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</si>
  <si>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</si>
  <si>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</si>
  <si>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</si>
  <si>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</si>
  <si>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</si>
  <si>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</si>
  <si>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</si>
  <si>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</si>
  <si>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</si>
  <si>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</si>
  <si>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</si>
  <si>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</si>
  <si>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</si>
  <si>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</si>
  <si>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</si>
  <si>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</si>
  <si>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</si>
  <si>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</si>
  <si>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</si>
  <si>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</si>
  <si>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</si>
  <si>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</si>
  <si>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</si>
  <si>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</si>
  <si>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</si>
  <si>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</si>
  <si>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</si>
  <si>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</si>
  <si>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</si>
  <si>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</si>
  <si>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</si>
  <si>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</si>
  <si>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</si>
  <si>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</si>
  <si>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</si>
  <si>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</si>
  <si>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</si>
  <si>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</si>
  <si>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</si>
  <si>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</si>
  <si>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</si>
  <si>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</si>
  <si>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</si>
  <si>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</si>
  <si>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</si>
  <si>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</si>
  <si>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</si>
  <si>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</si>
  <si>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</si>
  <si>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</si>
  <si>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</si>
  <si>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</si>
  <si>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</si>
  <si>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</si>
  <si>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</si>
  <si>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</si>
  <si>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</si>
  <si>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</si>
  <si>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</si>
  <si>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</si>
  <si>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</si>
  <si>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</si>
  <si>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</si>
  <si>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</si>
  <si>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</si>
  <si>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</si>
  <si>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</si>
  <si>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</si>
  <si>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</si>
  <si>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</si>
  <si>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</si>
  <si>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</si>
  <si>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</si>
  <si>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</si>
  <si>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</si>
  <si>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</si>
  <si>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</si>
  <si>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</si>
  <si>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</si>
  <si>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</si>
  <si>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</si>
  <si>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</si>
  <si>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</si>
  <si>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</si>
  <si>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</si>
  <si>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</si>
  <si>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</si>
  <si>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</si>
  <si>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</si>
  <si>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</si>
  <si>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</si>
  <si>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</si>
  <si>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</si>
  <si>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</si>
  <si>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</si>
  <si>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</si>
  <si>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</si>
  <si>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</si>
  <si>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</si>
  <si>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</si>
  <si>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</si>
  <si>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</si>
  <si>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</si>
  <si>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</si>
  <si>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</si>
  <si>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</si>
  <si>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</si>
  <si>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</si>
  <si>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</si>
  <si>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</si>
  <si>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</si>
  <si>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</si>
  <si>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</si>
  <si>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</si>
  <si>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</si>
  <si>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</si>
  <si>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</si>
  <si>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</si>
  <si>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</si>
  <si>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</si>
  <si>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</si>
  <si>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</si>
  <si>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</si>
  <si>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</si>
  <si>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</si>
  <si>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</si>
  <si>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</si>
  <si>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</si>
  <si>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</si>
  <si>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</si>
  <si>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</si>
  <si>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</si>
  <si>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</si>
  <si>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</si>
  <si>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</si>
  <si>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</si>
  <si>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</si>
  <si>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</si>
  <si>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</si>
  <si>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</si>
  <si>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</si>
  <si>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</si>
  <si>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</si>
  <si>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</si>
  <si>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</si>
  <si>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</si>
  <si>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</si>
  <si>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</si>
  <si>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</si>
  <si>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</si>
  <si>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</si>
  <si>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</si>
  <si>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</si>
  <si>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</si>
  <si>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</si>
  <si>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</si>
  <si>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</si>
  <si>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</si>
  <si>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</si>
  <si>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</si>
  <si>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</si>
  <si>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</si>
  <si>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</si>
  <si>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</si>
  <si>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</si>
  <si>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</si>
  <si>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</si>
  <si>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</si>
  <si>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</si>
  <si>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</si>
  <si>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</si>
  <si>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</si>
  <si>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</si>
  <si>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</si>
  <si>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</si>
  <si>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</si>
  <si>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</si>
  <si>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</si>
  <si>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</si>
  <si>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</si>
  <si>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</si>
  <si>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</si>
  <si>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</si>
  <si>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</si>
  <si>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</si>
  <si>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</si>
  <si>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</si>
  <si>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</si>
  <si>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</si>
  <si>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</si>
  <si>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</si>
  <si>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</si>
  <si>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</si>
  <si>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</si>
  <si>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</si>
  <si>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</si>
  <si>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</si>
  <si>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</si>
  <si>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</si>
  <si>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</si>
  <si>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</si>
  <si>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</si>
  <si>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</si>
  <si>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</si>
  <si>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</si>
  <si>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</si>
  <si>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</si>
  <si>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</si>
  <si>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</si>
  <si>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</si>
  <si>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</si>
  <si>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</si>
  <si>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</si>
  <si>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</si>
  <si>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</si>
  <si>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</si>
  <si>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</si>
  <si>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</si>
  <si>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</si>
  <si>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</si>
  <si>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</si>
  <si>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</si>
  <si>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</si>
  <si>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</si>
  <si>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</si>
  <si>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</si>
  <si>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</si>
  <si>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</si>
  <si>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</si>
  <si>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</si>
  <si>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</si>
  <si>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</si>
  <si>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</si>
  <si>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</si>
  <si>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</si>
  <si>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</si>
  <si>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</si>
  <si>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</si>
  <si>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</si>
  <si>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</si>
  <si>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</si>
  <si>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</si>
  <si>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</si>
  <si>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</si>
  <si>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</si>
  <si>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</si>
  <si>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</si>
  <si>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</si>
  <si>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</si>
  <si>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</si>
  <si>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</si>
  <si>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</si>
  <si>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</si>
  <si>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</si>
  <si>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</si>
  <si>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</si>
  <si>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</si>
  <si>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</si>
  <si>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</si>
  <si>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</si>
  <si>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</si>
  <si>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</si>
  <si>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</si>
  <si>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</si>
  <si>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</si>
  <si>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</si>
  <si>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</si>
  <si>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</si>
  <si>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</si>
  <si>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</si>
  <si>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</si>
  <si>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</si>
  <si>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</si>
  <si>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</si>
  <si>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</si>
  <si>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</si>
  <si>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</si>
  <si>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</si>
  <si>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</si>
  <si>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</si>
  <si>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</si>
  <si>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</si>
  <si>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</si>
  <si>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</si>
  <si>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</si>
  <si>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</si>
  <si>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</si>
  <si>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</si>
  <si>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</si>
  <si>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</si>
  <si>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</si>
  <si>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</si>
  <si>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</si>
  <si>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</si>
  <si>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</si>
  <si>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</si>
  <si>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</si>
  <si>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</si>
  <si>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</si>
  <si>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</si>
  <si>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</si>
  <si>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</si>
  <si>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</si>
  <si>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</si>
  <si>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</si>
  <si>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</si>
  <si>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</si>
  <si>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</si>
  <si>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</si>
  <si>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</si>
  <si>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</si>
  <si>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</si>
  <si>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</si>
  <si>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</si>
  <si>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</si>
  <si>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</si>
  <si>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</si>
  <si>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</si>
  <si>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</si>
  <si>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</si>
  <si>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</si>
  <si>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</si>
  <si>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</si>
  <si>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</si>
  <si>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</si>
  <si>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</si>
  <si>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</si>
  <si>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</si>
  <si>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</si>
  <si>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</si>
  <si>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</si>
  <si>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</si>
  <si>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</si>
  <si>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</si>
  <si>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</si>
  <si>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</si>
  <si>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</si>
  <si>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</si>
  <si>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</si>
  <si>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</si>
  <si>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</si>
  <si>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</si>
  <si>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</si>
  <si>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</si>
  <si>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</si>
  <si>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</si>
  <si>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</si>
  <si>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</si>
  <si>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</si>
  <si>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</si>
  <si>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</si>
  <si>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</si>
  <si>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</si>
  <si>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</si>
  <si>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</si>
  <si>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</si>
  <si>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</si>
  <si>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</si>
  <si>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</si>
  <si>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</si>
  <si>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</si>
  <si>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</si>
  <si>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</si>
  <si>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</si>
  <si>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</si>
  <si>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</si>
  <si>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</si>
  <si>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</si>
  <si>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</si>
  <si>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</si>
  <si>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</si>
  <si>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</si>
  <si>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</si>
  <si>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</si>
  <si>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</si>
  <si>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</si>
  <si>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</si>
  <si>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</si>
  <si>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</si>
  <si>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</si>
  <si>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</si>
  <si>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</si>
  <si>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</si>
  <si>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</si>
  <si>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</si>
  <si>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</si>
  <si>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</si>
  <si>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</si>
  <si>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</si>
  <si>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</si>
  <si>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</si>
  <si>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</si>
  <si>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</si>
  <si>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</si>
  <si>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</si>
  <si>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</si>
  <si>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</si>
  <si>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</si>
  <si>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</si>
  <si>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</si>
  <si>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</si>
  <si>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</si>
  <si>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</si>
  <si>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</si>
  <si>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</si>
  <si>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</si>
  <si>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</si>
  <si>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</si>
  <si>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</si>
  <si>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</si>
  <si>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</si>
  <si>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</si>
  <si>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</si>
  <si>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</si>
  <si>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</si>
  <si>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</si>
  <si>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</si>
  <si>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</si>
  <si>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</si>
  <si>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</si>
  <si>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</si>
  <si>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</si>
  <si>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</si>
  <si>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</si>
  <si>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</si>
  <si>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</si>
  <si>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</si>
  <si>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</si>
  <si>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</si>
  <si>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</si>
  <si>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</si>
  <si>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</si>
  <si>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</si>
  <si>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</si>
  <si>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</si>
  <si>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</si>
  <si>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</si>
  <si>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</si>
  <si>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</si>
  <si>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</si>
  <si>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</si>
  <si>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</si>
  <si>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</si>
  <si>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</si>
  <si>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</si>
  <si>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</si>
  <si>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</si>
  <si>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</si>
  <si>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</si>
  <si>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</si>
  <si>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</si>
  <si>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</si>
  <si>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</si>
  <si>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</si>
  <si>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</si>
  <si>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</si>
  <si>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</si>
  <si>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</si>
  <si>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</si>
  <si>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</si>
  <si>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</si>
  <si>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</si>
  <si>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</si>
  <si>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</si>
  <si>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</si>
  <si>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</si>
  <si>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</si>
  <si>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</si>
  <si>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</si>
  <si>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</si>
  <si>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</si>
  <si>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</si>
  <si>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</si>
  <si>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</si>
  <si>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</si>
  <si>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</si>
  <si>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</si>
  <si>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</si>
  <si>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</si>
  <si>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</si>
  <si>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</si>
  <si>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</si>
  <si>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</si>
  <si>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</si>
  <si>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</si>
  <si>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</si>
  <si>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</si>
  <si>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</si>
  <si>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</si>
  <si>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</si>
  <si>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</si>
  <si>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</si>
  <si>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</si>
  <si>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</si>
  <si>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</si>
  <si>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</si>
  <si>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</si>
  <si>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</si>
  <si>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</si>
  <si>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</si>
  <si>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</si>
  <si>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</si>
  <si>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</si>
  <si>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</si>
  <si>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</si>
  <si>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</si>
  <si>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</si>
  <si>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</si>
  <si>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</si>
  <si>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</si>
  <si>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</si>
  <si>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</si>
  <si>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</si>
  <si>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</si>
  <si>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</si>
  <si>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</si>
  <si>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</si>
  <si>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</si>
  <si>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</si>
  <si>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</si>
  <si>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</si>
  <si>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</si>
  <si>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</si>
  <si>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</si>
  <si>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</si>
  <si>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</si>
  <si>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</si>
  <si>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</si>
  <si>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</si>
  <si>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</si>
  <si>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</si>
  <si>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</si>
  <si>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</si>
  <si>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</si>
  <si>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</si>
  <si>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</si>
  <si>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</si>
  <si>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</si>
  <si>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</si>
  <si>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</si>
  <si>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</si>
  <si>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</si>
  <si>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</si>
  <si>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</si>
  <si>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</si>
  <si>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</si>
  <si>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</si>
  <si>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</si>
  <si>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</si>
  <si>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</si>
  <si>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</si>
  <si>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</si>
  <si>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</si>
  <si>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</si>
  <si>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</si>
  <si>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</si>
  <si>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</si>
  <si>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</si>
  <si>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</si>
  <si>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</si>
  <si>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</si>
  <si>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</si>
  <si>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</si>
  <si>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</si>
  <si>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</si>
  <si>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</si>
  <si>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</si>
  <si>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</si>
  <si>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</si>
  <si>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</si>
  <si>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</si>
  <si>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</si>
  <si>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</si>
  <si>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</si>
  <si>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</si>
  <si>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</si>
  <si>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</si>
  <si>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</si>
  <si>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</si>
  <si>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</si>
  <si>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</si>
  <si>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</si>
  <si>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</si>
  <si>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</si>
  <si>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</si>
  <si>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</si>
  <si>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</si>
  <si>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</si>
  <si>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</si>
  <si>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</si>
  <si>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</si>
  <si>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</si>
  <si>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</si>
  <si>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</si>
  <si>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</si>
  <si>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</si>
  <si>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</si>
  <si>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</si>
  <si>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</si>
  <si>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</si>
  <si>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</si>
  <si>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</si>
  <si>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</si>
  <si>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</si>
  <si>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</si>
  <si>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</si>
  <si>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</si>
  <si>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</si>
  <si>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</si>
  <si>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</si>
  <si>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</si>
  <si>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</si>
  <si>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</si>
  <si>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</si>
  <si>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</si>
  <si>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</si>
  <si>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</si>
  <si>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</si>
  <si>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</si>
  <si>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</si>
  <si>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</si>
  <si>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</si>
  <si>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</si>
  <si>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</si>
  <si>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</si>
  <si>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</si>
  <si>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</si>
  <si>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</si>
  <si>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</si>
  <si>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</si>
  <si>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</si>
  <si>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</si>
  <si>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</si>
  <si>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</si>
  <si>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</si>
  <si>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</si>
  <si>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</si>
  <si>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</si>
  <si>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</si>
  <si>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</si>
  <si>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</si>
  <si>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</si>
  <si>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</si>
  <si>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</si>
  <si>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</si>
  <si>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</si>
  <si>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</si>
  <si>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</si>
  <si>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</si>
  <si>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</si>
  <si>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</si>
  <si>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</si>
  <si>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</si>
  <si>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</si>
  <si>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</si>
  <si>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</si>
  <si>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</si>
  <si>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</si>
  <si>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</si>
  <si>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</si>
  <si>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</si>
  <si>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</si>
  <si>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</si>
  <si>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</si>
  <si>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</si>
  <si>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</si>
  <si>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</si>
  <si>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</si>
  <si>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</si>
  <si>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</si>
  <si>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</si>
  <si>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</si>
  <si>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</si>
  <si>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</si>
  <si>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</si>
  <si>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</si>
  <si>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</si>
  <si>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</si>
  <si>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</si>
  <si>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</si>
  <si>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</si>
  <si>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</si>
  <si>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</si>
  <si>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</si>
  <si>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</si>
  <si>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</si>
  <si>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</si>
  <si>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</si>
  <si>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</si>
  <si>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</si>
  <si>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</si>
  <si>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</si>
  <si>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</si>
  <si>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</si>
  <si>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</si>
  <si>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</si>
  <si>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</si>
  <si>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</si>
  <si>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</si>
  <si>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</si>
  <si>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</si>
  <si>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</si>
  <si>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</si>
  <si>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</si>
  <si>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</si>
  <si>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</si>
  <si>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</si>
  <si>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</si>
  <si>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</si>
  <si>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</si>
  <si>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</si>
  <si>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</si>
  <si>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</si>
  <si>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</si>
  <si>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</si>
  <si>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</si>
  <si>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</si>
  <si>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</si>
  <si>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</si>
  <si>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</si>
  <si>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</si>
  <si>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</si>
  <si>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</si>
  <si>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</si>
  <si>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</si>
  <si>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</si>
  <si>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</si>
  <si>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</si>
  <si>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</si>
  <si>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</si>
  <si>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</si>
  <si>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</si>
  <si>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</si>
  <si>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</si>
  <si>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</si>
  <si>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</si>
  <si>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</si>
  <si>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</si>
  <si>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</si>
  <si>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</si>
  <si>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</si>
  <si>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</si>
  <si>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</si>
  <si>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</si>
  <si>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</si>
  <si>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</si>
  <si>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</si>
  <si>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</si>
  <si>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</si>
  <si>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</si>
  <si>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</si>
  <si>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</si>
  <si>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</si>
  <si>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</si>
  <si>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</si>
  <si>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</si>
  <si>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</si>
  <si>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</si>
  <si>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</si>
  <si>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</si>
  <si>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</si>
  <si>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</si>
  <si>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</si>
  <si>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</si>
  <si>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</si>
  <si>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</si>
  <si>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</si>
  <si>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</si>
  <si>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</si>
  <si>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</si>
  <si>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</si>
  <si>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</si>
  <si>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</si>
  <si>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</si>
  <si>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</si>
  <si>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</si>
  <si>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</si>
  <si>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</si>
  <si>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</si>
  <si>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</si>
  <si>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</si>
  <si>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</si>
  <si>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</si>
  <si>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</si>
  <si>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</si>
  <si>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</si>
  <si>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</si>
  <si>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</si>
  <si>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</si>
  <si>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</si>
  <si>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</si>
  <si>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</si>
  <si>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</si>
  <si>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</si>
  <si>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</si>
  <si>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</si>
  <si>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</si>
  <si>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</si>
  <si>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</si>
  <si>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</si>
  <si>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</si>
  <si>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</si>
  <si>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</si>
  <si>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</si>
  <si>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</si>
  <si>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</si>
  <si>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</si>
  <si>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</si>
  <si>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</si>
  <si>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</si>
  <si>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</si>
  <si>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</si>
  <si>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</si>
  <si>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</si>
  <si>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</si>
  <si>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</si>
  <si>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</si>
  <si>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</si>
  <si>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</si>
  <si>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</si>
  <si>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</si>
  <si>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</si>
  <si>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</si>
  <si>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</si>
  <si>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</si>
  <si>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</si>
  <si>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</si>
  <si>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</si>
  <si>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</si>
  <si>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</si>
  <si>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</si>
  <si>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</si>
  <si>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</si>
  <si>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</si>
  <si>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</si>
  <si>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</si>
  <si>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</si>
  <si>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</si>
  <si>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</si>
  <si>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</si>
  <si>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</si>
  <si>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</si>
  <si>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</si>
  <si>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</si>
  <si>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</si>
  <si>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</si>
  <si>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</si>
  <si>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</si>
  <si>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</si>
  <si>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</si>
  <si>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</si>
  <si>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</si>
  <si>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</si>
  <si>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</si>
  <si>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</si>
  <si>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</si>
  <si>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</si>
  <si>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</si>
  <si>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</si>
  <si>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</si>
  <si>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</si>
  <si>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</si>
  <si>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</si>
  <si>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</si>
  <si>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</si>
  <si>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</si>
  <si>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</si>
  <si>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</si>
  <si>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</si>
  <si>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</si>
  <si>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</si>
  <si>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</si>
  <si>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</si>
  <si>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</si>
  <si>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</si>
  <si>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</si>
  <si>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</si>
  <si>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</si>
  <si>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</si>
  <si>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</si>
  <si>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</si>
  <si>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</si>
  <si>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</si>
  <si>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</si>
  <si>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</si>
  <si>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</si>
  <si>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</si>
  <si>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</si>
  <si>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</si>
  <si>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</si>
  <si>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</si>
  <si>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</si>
  <si>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</si>
  <si>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</si>
  <si>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</si>
  <si>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</si>
  <si>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</si>
  <si>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</si>
  <si>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</si>
  <si>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</si>
  <si>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</si>
  <si>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</si>
  <si>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</si>
  <si>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</si>
  <si>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</si>
  <si>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</si>
  <si>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</si>
  <si>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</si>
  <si>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</si>
  <si>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</si>
  <si>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</si>
  <si>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</si>
  <si>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</si>
  <si>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</si>
  <si>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</si>
  <si>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</si>
  <si>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</si>
  <si>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</si>
  <si>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</si>
  <si>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</si>
  <si>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</si>
  <si>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</si>
  <si>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</si>
  <si>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</si>
  <si>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</si>
  <si>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</si>
  <si>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</si>
  <si>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</si>
  <si>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</si>
  <si>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</si>
  <si>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</si>
  <si>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</si>
  <si>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</si>
  <si>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</si>
  <si>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</si>
  <si>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</si>
  <si>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</si>
  <si>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</si>
  <si>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</si>
  <si>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</si>
  <si>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</si>
  <si>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</si>
  <si>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</si>
  <si>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</si>
  <si>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</si>
  <si>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</si>
  <si>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</si>
  <si>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</si>
  <si>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</si>
  <si>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</si>
  <si>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</si>
  <si>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</si>
  <si>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</si>
  <si>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</si>
  <si>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</si>
  <si>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</si>
  <si>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</si>
  <si>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</si>
  <si>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</si>
  <si>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</si>
  <si>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</si>
  <si>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</si>
  <si>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</si>
  <si>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</si>
  <si>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</si>
  <si>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</si>
  <si>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</si>
  <si>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</si>
  <si>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</si>
  <si>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</si>
  <si>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</si>
  <si>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</si>
  <si>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</si>
  <si>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</si>
  <si>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</si>
  <si>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</si>
  <si>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</si>
  <si>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</si>
  <si>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</si>
  <si>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</si>
  <si>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</si>
  <si>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</si>
  <si>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</si>
  <si>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</si>
  <si>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</si>
  <si>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</si>
  <si>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</si>
  <si>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</si>
  <si>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</si>
  <si>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</si>
  <si>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</si>
  <si>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</si>
  <si>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</si>
  <si>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</si>
  <si>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</si>
  <si>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</si>
  <si>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</si>
  <si>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</si>
  <si>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</si>
  <si>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</si>
  <si>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</si>
  <si>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</si>
  <si>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</si>
  <si>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</si>
  <si>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</si>
  <si>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</si>
  <si>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</si>
  <si>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</si>
  <si>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</si>
  <si>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</si>
  <si>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</si>
  <si>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</si>
  <si>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</si>
  <si>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</si>
  <si>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</si>
  <si>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</si>
  <si>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</si>
  <si>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</si>
  <si>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</si>
  <si>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</si>
  <si>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</si>
  <si>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</si>
  <si>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</si>
  <si>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</si>
  <si>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</si>
  <si>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</si>
  <si>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</si>
  <si>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</si>
  <si>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</si>
  <si>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</si>
  <si>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</si>
  <si>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</si>
  <si>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</si>
  <si>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</si>
  <si>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</si>
  <si>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</si>
  <si>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</si>
  <si>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</si>
  <si>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</si>
  <si>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</si>
  <si>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</si>
  <si>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</si>
  <si>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</si>
  <si>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</si>
  <si>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</si>
  <si>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</si>
  <si>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</si>
  <si>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</si>
  <si>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</si>
  <si>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</si>
  <si>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</si>
  <si>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</si>
  <si>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</si>
  <si>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</si>
  <si>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</si>
  <si>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</si>
  <si>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</si>
  <si>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</si>
  <si>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</si>
  <si>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</si>
  <si>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</si>
  <si>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</si>
  <si>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</si>
  <si>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</si>
  <si>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</si>
  <si>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</si>
  <si>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</si>
  <si>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</si>
  <si>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</si>
  <si>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</si>
  <si>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</si>
  <si>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</si>
  <si>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</si>
  <si>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</si>
  <si>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</si>
  <si>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</si>
  <si>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</si>
  <si>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</si>
  <si>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</si>
  <si>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</si>
  <si>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</si>
  <si>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</si>
  <si>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</si>
  <si>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</si>
  <si>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</si>
  <si>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</si>
  <si>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</si>
  <si>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</si>
  <si>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</si>
  <si>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</si>
  <si>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</si>
  <si>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</si>
  <si>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</si>
  <si>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</si>
  <si>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</si>
  <si>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</si>
  <si>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</si>
  <si>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</si>
  <si>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</si>
  <si>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</si>
  <si>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</si>
  <si>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</si>
  <si>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</si>
  <si>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</si>
  <si>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</si>
  <si>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</si>
  <si>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</si>
  <si>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</si>
  <si>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</si>
  <si>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</si>
  <si>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</si>
  <si>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</si>
  <si>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</si>
  <si>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</si>
  <si>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</si>
  <si>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</si>
  <si>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</si>
  <si>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</si>
  <si>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</si>
  <si>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</si>
  <si>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</si>
  <si>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</si>
  <si>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</si>
  <si>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</si>
  <si>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</si>
  <si>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</si>
  <si>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</si>
  <si>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</si>
  <si>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</si>
  <si>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</si>
  <si>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</si>
  <si>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</si>
  <si>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</si>
  <si>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</si>
  <si>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</si>
  <si>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</si>
  <si>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</si>
  <si>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</si>
  <si>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</si>
  <si>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</si>
  <si>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</si>
  <si>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</si>
  <si>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</si>
  <si>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</si>
  <si>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</si>
  <si>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</si>
  <si>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</si>
  <si>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</si>
  <si>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</si>
  <si>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</si>
  <si>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</si>
  <si>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</si>
  <si>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</si>
  <si>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</si>
  <si>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</si>
  <si>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</si>
  <si>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</si>
  <si>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</si>
  <si>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</si>
  <si>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</si>
  <si>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</si>
  <si>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</si>
  <si>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</si>
  <si>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</si>
  <si>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</si>
  <si>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</si>
  <si>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</si>
  <si>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</si>
  <si>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</si>
  <si>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</si>
  <si>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</si>
  <si>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</si>
  <si>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</si>
  <si>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</si>
  <si>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</si>
  <si>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</si>
  <si>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</si>
  <si>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</si>
  <si>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</si>
  <si>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</si>
  <si>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</si>
  <si>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</si>
  <si>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</si>
  <si>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</si>
  <si>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</si>
  <si>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</si>
  <si>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</si>
  <si>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</si>
  <si>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</si>
  <si>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</si>
  <si>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</si>
  <si>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</si>
  <si>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</si>
  <si>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</si>
  <si>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</si>
  <si>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</si>
  <si>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</si>
  <si>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</si>
  <si>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</si>
  <si>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</si>
  <si>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</si>
  <si>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</si>
  <si>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</si>
  <si>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</si>
  <si>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</si>
  <si>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</si>
  <si>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</si>
  <si>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</si>
  <si>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</si>
  <si>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</si>
  <si>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</si>
  <si>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</si>
  <si>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</si>
  <si>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</si>
  <si>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</si>
  <si>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</si>
  <si>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</si>
  <si>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</si>
  <si>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</si>
  <si>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</si>
  <si>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</si>
  <si>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</si>
  <si>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</si>
  <si>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</si>
  <si>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</si>
  <si>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</si>
  <si>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</si>
  <si>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</si>
  <si>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</si>
  <si>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</si>
  <si>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</si>
  <si>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</si>
  <si>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</si>
  <si>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</si>
  <si>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</si>
  <si>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</si>
  <si>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</si>
  <si>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</si>
  <si>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</si>
  <si>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</si>
  <si>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</si>
  <si>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</si>
  <si>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</si>
  <si>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</si>
  <si>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</si>
  <si>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</si>
  <si>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</si>
  <si>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</si>
  <si>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</si>
  <si>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</si>
  <si>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</si>
  <si>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</si>
  <si>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</si>
  <si>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</si>
  <si>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</si>
  <si>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</si>
  <si>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</si>
  <si>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</si>
  <si>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</si>
  <si>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</si>
  <si>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</si>
  <si>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</si>
  <si>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</si>
  <si>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</si>
  <si>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</si>
  <si>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</si>
  <si>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</si>
  <si>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</si>
  <si>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</si>
  <si>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</si>
  <si>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</si>
  <si>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</si>
  <si>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</si>
  <si>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</si>
  <si>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</si>
  <si>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</si>
  <si>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</si>
  <si>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</si>
  <si>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</si>
  <si>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</si>
  <si>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</si>
  <si>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</si>
  <si>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</si>
  <si>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</si>
  <si>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</si>
  <si>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</si>
  <si>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</si>
  <si>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</si>
  <si>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</si>
  <si>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</si>
  <si>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</si>
  <si>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</si>
  <si>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</si>
  <si>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</si>
  <si>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</si>
  <si>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</si>
  <si>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</si>
  <si>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</si>
  <si>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</si>
  <si>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</si>
  <si>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</si>
  <si>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</si>
  <si>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</si>
  <si>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</si>
  <si>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</si>
  <si>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</si>
  <si>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</si>
  <si>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</si>
  <si>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</si>
  <si>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</si>
  <si>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</si>
  <si>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</si>
  <si>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</si>
  <si>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</si>
  <si>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</si>
  <si>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</si>
  <si>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</si>
  <si>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</si>
  <si>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</si>
  <si>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</si>
  <si>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</si>
  <si>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</si>
  <si>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</si>
  <si>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</si>
  <si>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</si>
  <si>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</si>
  <si>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</si>
  <si>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</si>
  <si>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</si>
  <si>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</si>
  <si>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</si>
  <si>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</si>
  <si>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</si>
  <si>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</si>
  <si>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</si>
  <si>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</si>
  <si>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</si>
  <si>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</si>
  <si>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</si>
  <si>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</si>
  <si>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</si>
  <si>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</si>
  <si>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</si>
  <si>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</si>
  <si>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</si>
  <si>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</si>
  <si>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</si>
  <si>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</si>
  <si>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</si>
  <si>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</si>
  <si>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</si>
  <si>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</si>
  <si>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</si>
  <si>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</si>
  <si>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</si>
  <si>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</si>
  <si>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</si>
  <si>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</si>
  <si>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</si>
  <si>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</si>
  <si>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</si>
  <si>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</si>
  <si>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</si>
  <si>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</si>
  <si>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</si>
  <si>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</si>
  <si>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</si>
  <si>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</si>
  <si>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</si>
  <si>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</si>
  <si>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</si>
  <si>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</si>
  <si>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</si>
  <si>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</si>
  <si>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</si>
  <si>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</si>
  <si>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</si>
  <si>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</si>
  <si>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</si>
  <si>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</si>
  <si>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</si>
  <si>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</si>
  <si>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</si>
  <si>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</si>
  <si>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</si>
  <si>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</si>
  <si>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</si>
  <si>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</si>
  <si>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</si>
  <si>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</si>
  <si>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</si>
  <si>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</si>
  <si>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</si>
  <si>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</si>
  <si>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</si>
  <si>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</si>
  <si>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</si>
  <si>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</si>
  <si>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</si>
  <si>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</si>
  <si>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</si>
  <si>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</si>
  <si>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</si>
  <si>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</si>
  <si>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</si>
  <si>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</si>
  <si>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</si>
  <si>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</si>
  <si>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</si>
  <si>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</si>
  <si>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</si>
  <si>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</si>
  <si>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</si>
  <si>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</si>
  <si>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</si>
  <si>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</si>
  <si>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</si>
  <si>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</si>
  <si>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</si>
  <si>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</si>
  <si>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</si>
  <si>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</si>
  <si>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</si>
  <si>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</si>
  <si>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</si>
  <si>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</si>
  <si>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</si>
  <si>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</si>
  <si>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</si>
  <si>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</si>
  <si>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</si>
  <si>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</si>
  <si>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</si>
  <si>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</si>
  <si>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</si>
  <si>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</si>
  <si>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</si>
  <si>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</si>
  <si>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</si>
  <si>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</si>
  <si>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</si>
  <si>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</si>
  <si>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</si>
  <si>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</si>
  <si>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</si>
  <si>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</si>
  <si>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</si>
  <si>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</si>
  <si>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</si>
  <si>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</si>
  <si>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</si>
  <si>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</si>
  <si>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</si>
  <si>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</si>
  <si>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</si>
  <si>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</si>
  <si>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</si>
  <si>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</si>
  <si>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</si>
  <si>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</si>
  <si>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</si>
  <si>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</si>
  <si>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</si>
  <si>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</si>
  <si>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</si>
  <si>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</si>
  <si>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</si>
  <si>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</si>
  <si>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</si>
  <si>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</si>
  <si>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</si>
  <si>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</si>
  <si>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</si>
  <si>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</si>
  <si>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</si>
  <si>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</si>
  <si>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</si>
  <si>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</si>
  <si>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</si>
  <si>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</si>
  <si>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</si>
  <si>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</si>
  <si>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</si>
  <si>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</si>
  <si>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</si>
  <si>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</si>
  <si>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</si>
  <si>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</si>
  <si>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</si>
  <si>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</si>
  <si>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</si>
  <si>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</si>
  <si>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</si>
  <si>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</si>
  <si>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</si>
  <si>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</si>
  <si>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</si>
  <si>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</si>
  <si>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</si>
  <si>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</si>
  <si>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</si>
  <si>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</si>
  <si>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</si>
  <si>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</si>
  <si>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</si>
  <si>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</si>
  <si>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</si>
  <si>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</si>
  <si>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</si>
  <si>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</si>
  <si>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</si>
  <si>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</si>
  <si>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</si>
  <si>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</si>
  <si>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</si>
  <si>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</si>
  <si>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</si>
  <si>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</si>
  <si>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</si>
  <si>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</si>
  <si>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</si>
  <si>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</si>
  <si>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</si>
  <si>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</si>
  <si>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</si>
  <si>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</si>
  <si>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</si>
  <si>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</si>
  <si>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</si>
  <si>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</si>
  <si>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</si>
  <si>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</si>
  <si>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</si>
  <si>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</si>
  <si>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</si>
  <si>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</si>
  <si>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</si>
  <si>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</si>
  <si>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</si>
  <si>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</si>
  <si>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</si>
  <si>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</si>
  <si>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</si>
  <si>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</si>
  <si>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</si>
  <si>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</si>
  <si>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</si>
  <si>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</si>
  <si>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</si>
  <si>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</si>
  <si>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</si>
  <si>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</si>
  <si>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</si>
  <si>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</si>
  <si>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</si>
  <si>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</si>
  <si>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</si>
  <si>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</si>
  <si>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</si>
  <si>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</si>
  <si>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</si>
  <si>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</si>
  <si>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</si>
  <si>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</si>
  <si>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</si>
  <si>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</si>
  <si>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</si>
  <si>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</si>
  <si>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</si>
  <si>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</si>
  <si>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</si>
  <si>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</si>
  <si>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</si>
  <si>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</si>
  <si>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</si>
  <si>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</si>
  <si>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</si>
  <si>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</si>
  <si>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</si>
  <si>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</si>
  <si>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</si>
  <si>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</si>
  <si>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</si>
  <si>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</si>
  <si>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</si>
  <si>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</si>
  <si>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</si>
  <si>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</si>
  <si>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</si>
  <si>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</si>
  <si>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</si>
  <si>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</si>
  <si>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</si>
  <si>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</si>
  <si>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</si>
  <si>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</si>
  <si>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</si>
  <si>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</si>
  <si>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</si>
  <si>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</si>
  <si>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</si>
  <si>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</si>
  <si>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</si>
  <si>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</si>
  <si>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</si>
  <si>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</si>
  <si>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</si>
  <si>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</si>
  <si>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</si>
  <si>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</si>
  <si>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</si>
  <si>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</si>
  <si>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</si>
  <si>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</si>
  <si>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</si>
  <si>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</si>
  <si>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</si>
  <si>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</si>
  <si>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</si>
  <si>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</si>
  <si>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</si>
  <si>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</si>
  <si>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</si>
  <si>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</si>
  <si>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</si>
  <si>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</si>
  <si>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</si>
  <si>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</si>
  <si>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</si>
  <si>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</si>
  <si>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</si>
  <si>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</si>
  <si>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</si>
  <si>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</si>
  <si>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</si>
  <si>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</si>
  <si>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</si>
  <si>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</si>
  <si>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</si>
  <si>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</si>
  <si>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</si>
  <si>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</si>
  <si>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</si>
  <si>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</si>
  <si>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</si>
  <si>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</si>
  <si>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</si>
  <si>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</si>
  <si>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</si>
  <si>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</si>
  <si>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</si>
  <si>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</si>
  <si>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</si>
  <si>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</si>
  <si>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</si>
  <si>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</si>
  <si>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</si>
  <si>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</si>
  <si>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</si>
  <si>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</si>
  <si>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</si>
  <si>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</si>
  <si>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</si>
  <si>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</si>
  <si>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</si>
  <si>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</si>
  <si>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</si>
  <si>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</si>
  <si>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</si>
  <si>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</si>
  <si>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</si>
  <si>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</si>
  <si>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</si>
  <si>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</si>
  <si>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</si>
  <si>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</si>
  <si>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</si>
  <si>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</si>
  <si>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</si>
  <si>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</si>
  <si>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</si>
  <si>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</si>
  <si>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</si>
  <si>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</si>
  <si>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</si>
  <si>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</si>
  <si>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</si>
  <si>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</si>
  <si>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</si>
  <si>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</si>
  <si>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</si>
  <si>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</si>
  <si>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</si>
  <si>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</si>
  <si>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</si>
  <si>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</si>
  <si>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</si>
  <si>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</si>
  <si>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</si>
  <si>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</si>
  <si>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</si>
  <si>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</si>
  <si>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</si>
  <si>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</si>
  <si>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</si>
  <si>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</si>
  <si>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</si>
  <si>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</si>
  <si>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</si>
  <si>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</si>
  <si>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</si>
  <si>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</si>
  <si>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</si>
  <si>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[0.378387]</t>
  </si>
  <si>
    <t>0 [0.780995]</t>
  </si>
  <si>
    <t>0 [1.191912]</t>
  </si>
  <si>
    <t>0 [1.607622]</t>
  </si>
  <si>
    <t>0 [2.000878]</t>
  </si>
  <si>
    <t>0 [2.406052]</t>
  </si>
  <si>
    <t>0 [2.814461]</t>
  </si>
  <si>
    <t>0 [3.216705]</t>
  </si>
  <si>
    <t>0 [3.633311]</t>
  </si>
  <si>
    <t>0 [4.028854]</t>
  </si>
  <si>
    <t>0 [4.434442]</t>
  </si>
  <si>
    <t>0 [4.851627]</t>
  </si>
  <si>
    <t>0 [5.258307]</t>
  </si>
  <si>
    <t>0 [5.662108]</t>
  </si>
  <si>
    <t>0 [6.060240]</t>
  </si>
  <si>
    <t>0 [6.469039]</t>
  </si>
  <si>
    <t>0 [6.875492]</t>
  </si>
  <si>
    <t>0 [7.282024]</t>
  </si>
  <si>
    <t>0 [7.688160]</t>
  </si>
  <si>
    <t>0 [8.108642]</t>
  </si>
  <si>
    <t>0 [8.514935]</t>
  </si>
  <si>
    <t>0 [8.918157]</t>
  </si>
  <si>
    <t>0 [9.325313]</t>
  </si>
  <si>
    <t>0 [9.718441]</t>
  </si>
  <si>
    <t>vision^3hqB^1^1^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</si>
</sst>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52.25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52.253599999999992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numCache>
            </c:numRef>
          </c:xVal>
          <c:yVal>
            <c:numRef>
              <c:f>[0]!FT_PH</c:f>
              <c:numCache>
                <c:formatCode>0.00</c:formatCode>
                <c:ptCount val="25"/>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5.1342800000000004</c:v>
                </c:pt>
                <c:pt idx="1">
                  <c:v>3.7919900000000002</c:v>
                </c:pt>
              </c:numCache>
            </c:numRef>
          </c:xVal>
          <c:yVal>
            <c:numRef>
              <c:f>info!$W$2:$W$3</c:f>
              <c:numCache>
                <c:formatCode>0.00</c:formatCode>
                <c:ptCount val="2"/>
                <c:pt idx="0">
                  <c:v>42.461599999999997</c:v>
                </c:pt>
                <c:pt idx="1">
                  <c:v>48.267099999999999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4.8938500000000005</c:v>
                </c:pt>
                <c:pt idx="1">
                  <c:v>3.6966199999999998</c:v>
                </c:pt>
              </c:numCache>
            </c:numRef>
          </c:xVal>
          <c:yVal>
            <c:numRef>
              <c:f>info!$W$15:$W$16</c:f>
              <c:numCache>
                <c:formatCode>0.00_ </c:formatCode>
                <c:ptCount val="2"/>
                <c:pt idx="0">
                  <c:v>41.677500000000002</c:v>
                </c:pt>
                <c:pt idx="1">
                  <c:v>48.8626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4.3120947999999997</c:v>
                </c:pt>
              </c:numCache>
            </c:numRef>
          </c:xVal>
          <c:yVal>
            <c:numRef>
              <c:f>info!$N$9</c:f>
              <c:numCache>
                <c:formatCode>0.0</c:formatCode>
                <c:ptCount val="1"/>
                <c:pt idx="0">
                  <c:v>45.784748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46.749400000000001</c:v>
                </c:pt>
                <c:pt idx="1">
                  <c:v>28.853200000000001</c:v>
                </c:pt>
                <c:pt idx="2">
                  <c:v>16.3035</c:v>
                </c:pt>
                <c:pt idx="3">
                  <c:v>30.338799999999999</c:v>
                </c:pt>
                <c:pt idx="4">
                  <c:v>69.594999999999999</c:v>
                </c:pt>
                <c:pt idx="5">
                  <c:v>74.682400000000001</c:v>
                </c:pt>
                <c:pt idx="6">
                  <c:v>33.508499999999998</c:v>
                </c:pt>
                <c:pt idx="7">
                  <c:v>72.459500000000006</c:v>
                </c:pt>
                <c:pt idx="8">
                  <c:v>17.825500000000002</c:v>
                </c:pt>
                <c:pt idx="9">
                  <c:v>33.011000000000003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52.25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52.253599999999992</c:v>
                </c:pt>
                <c:pt idx="1">
                  <c:v>52.253599999999992</c:v>
                </c:pt>
                <c:pt idx="2">
                  <c:v>0</c:v>
                </c:pt>
              </c:numCache>
            </c:numRef>
          </c:xVal>
          <c:yVal>
            <c:numRef>
              <c:f>'R2'!$I$5:$I$7</c:f>
              <c:numCache>
                <c:formatCode>0.0_ </c:formatCode>
                <c:ptCount val="3"/>
                <c:pt idx="0">
                  <c:v>0</c:v>
                </c:pt>
                <c:pt idx="1">
                  <c:v>54.042858462938391</c:v>
                </c:pt>
                <c:pt idx="2">
                  <c:v>54.042858462938391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69.086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69.085999999999999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2.0725799999999999</c:v>
                </c:pt>
                <c:pt idx="1">
                  <c:v>2.0725799999999999</c:v>
                </c:pt>
                <c:pt idx="2">
                  <c:v>0</c:v>
                </c:pt>
              </c:numCache>
            </c:numRef>
          </c:xVal>
          <c:yVal>
            <c:numRef>
              <c:f>'R3'!$I$6:$I$8</c:f>
              <c:numCache>
                <c:formatCode>0.0_ </c:formatCode>
                <c:ptCount val="3"/>
                <c:pt idx="0">
                  <c:v>0</c:v>
                </c:pt>
                <c:pt idx="1">
                  <c:v>59.564026191879037</c:v>
                </c:pt>
                <c:pt idx="2">
                  <c:v>59.564026191879037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0.63238131608554371</c:v>
                </c:pt>
                <c:pt idx="1">
                  <c:v>0.63238131608554371</c:v>
                </c:pt>
                <c:pt idx="2">
                  <c:v>-7</c:v>
                </c:pt>
              </c:numCache>
            </c:numRef>
          </c:xVal>
          <c:yVal>
            <c:numRef>
              <c:f>'R'!$I$5:$I$7</c:f>
              <c:numCache>
                <c:formatCode>0.0_ </c:formatCode>
                <c:ptCount val="3"/>
                <c:pt idx="0">
                  <c:v>0</c:v>
                </c:pt>
                <c:pt idx="1">
                  <c:v>73.218598260491447</c:v>
                </c:pt>
                <c:pt idx="2">
                  <c:v>73.218598260491447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0.63238131608554371</c:v>
                </c:pt>
              </c:numCache>
            </c:numRef>
          </c:xVal>
          <c:yVal>
            <c:numRef>
              <c:f>'R'!$I$4</c:f>
              <c:numCache>
                <c:formatCode>0.00_ </c:formatCode>
                <c:ptCount val="1"/>
                <c:pt idx="0">
                  <c:v>73.218598260491447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52.25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52.253599999999992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numCache>
            </c:numRef>
          </c:xVal>
          <c:yVal>
            <c:numRef>
              <c:f>[0]!FT_PH</c:f>
              <c:numCache>
                <c:formatCode>0.00</c:formatCode>
                <c:ptCount val="25"/>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5.1342800000000004</c:v>
                </c:pt>
                <c:pt idx="1">
                  <c:v>3.7919900000000002</c:v>
                </c:pt>
              </c:numCache>
            </c:numRef>
          </c:xVal>
          <c:yVal>
            <c:numRef>
              <c:f>info!$W$2:$W$3</c:f>
              <c:numCache>
                <c:formatCode>0.00</c:formatCode>
                <c:ptCount val="2"/>
                <c:pt idx="0">
                  <c:v>42.461599999999997</c:v>
                </c:pt>
                <c:pt idx="1">
                  <c:v>48.267099999999999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4.8938500000000005</c:v>
                </c:pt>
                <c:pt idx="1">
                  <c:v>3.6966199999999998</c:v>
                </c:pt>
              </c:numCache>
            </c:numRef>
          </c:xVal>
          <c:yVal>
            <c:numRef>
              <c:f>info!$W$15:$W$16</c:f>
              <c:numCache>
                <c:formatCode>0.00_ </c:formatCode>
                <c:ptCount val="2"/>
                <c:pt idx="0">
                  <c:v>41.677500000000002</c:v>
                </c:pt>
                <c:pt idx="1">
                  <c:v>48.8626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4.3120947999999997</c:v>
                </c:pt>
              </c:numCache>
            </c:numRef>
          </c:xVal>
          <c:yVal>
            <c:numRef>
              <c:f>info!$N$9</c:f>
              <c:numCache>
                <c:formatCode>0.0</c:formatCode>
                <c:ptCount val="1"/>
                <c:pt idx="0">
                  <c:v>45.784748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46.749400000000001</c:v>
                </c:pt>
                <c:pt idx="1">
                  <c:v>28.853200000000001</c:v>
                </c:pt>
                <c:pt idx="2">
                  <c:v>16.3035</c:v>
                </c:pt>
                <c:pt idx="3">
                  <c:v>30.338799999999999</c:v>
                </c:pt>
                <c:pt idx="4">
                  <c:v>69.594999999999999</c:v>
                </c:pt>
                <c:pt idx="5">
                  <c:v>74.682400000000001</c:v>
                </c:pt>
                <c:pt idx="6">
                  <c:v>33.508499999999998</c:v>
                </c:pt>
                <c:pt idx="7">
                  <c:v>72.459500000000006</c:v>
                </c:pt>
                <c:pt idx="8">
                  <c:v>17.825500000000002</c:v>
                </c:pt>
                <c:pt idx="9">
                  <c:v>33.011000000000003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52.25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52.253599999999992</c:v>
                </c:pt>
                <c:pt idx="1">
                  <c:v>52.253599999999992</c:v>
                </c:pt>
                <c:pt idx="2">
                  <c:v>0</c:v>
                </c:pt>
              </c:numCache>
            </c:numRef>
          </c:xVal>
          <c:yVal>
            <c:numRef>
              <c:f>'R2'!$I$5:$I$7</c:f>
              <c:numCache>
                <c:formatCode>0.0_ </c:formatCode>
                <c:ptCount val="3"/>
                <c:pt idx="0">
                  <c:v>0</c:v>
                </c:pt>
                <c:pt idx="1">
                  <c:v>54.042858462938391</c:v>
                </c:pt>
                <c:pt idx="2">
                  <c:v>54.042858462938391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69.086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69.085999999999999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2.0725799999999999</c:v>
                </c:pt>
                <c:pt idx="1">
                  <c:v>2.0725799999999999</c:v>
                </c:pt>
                <c:pt idx="2">
                  <c:v>0</c:v>
                </c:pt>
              </c:numCache>
            </c:numRef>
          </c:xVal>
          <c:yVal>
            <c:numRef>
              <c:f>'R3'!$I$6:$I$8</c:f>
              <c:numCache>
                <c:formatCode>0.0_ </c:formatCode>
                <c:ptCount val="3"/>
                <c:pt idx="0">
                  <c:v>0</c:v>
                </c:pt>
                <c:pt idx="1">
                  <c:v>59.564026191879037</c:v>
                </c:pt>
                <c:pt idx="2">
                  <c:v>59.564026191879037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0.63238131608554371</c:v>
                </c:pt>
                <c:pt idx="1">
                  <c:v>0.63238131608554371</c:v>
                </c:pt>
                <c:pt idx="2">
                  <c:v>-7</c:v>
                </c:pt>
              </c:numCache>
            </c:numRef>
          </c:xVal>
          <c:yVal>
            <c:numRef>
              <c:f>'R'!$I$5:$I$7</c:f>
              <c:numCache>
                <c:formatCode>0.0_ </c:formatCode>
                <c:ptCount val="3"/>
                <c:pt idx="0">
                  <c:v>0</c:v>
                </c:pt>
                <c:pt idx="1">
                  <c:v>73.218598260491447</c:v>
                </c:pt>
                <c:pt idx="2">
                  <c:v>73.218598260491447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0.63238131608554371</c:v>
                </c:pt>
              </c:numCache>
            </c:numRef>
          </c:xVal>
          <c:yVal>
            <c:numRef>
              <c:f>'R'!$I$4</c:f>
              <c:numCache>
                <c:formatCode>0.00_ </c:formatCode>
                <c:ptCount val="1"/>
                <c:pt idx="0">
                  <c:v>73.218598260491447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FT!$J$2:$J$2000</c:f>
              <c:numCache>
                <c:formatCode>General</c:formatCode>
                <c:ptCount val="1999"/>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5.2047799999999995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5.2047799999999995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5.2047799999999995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5.2047799999999995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5.2047799999999995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5.2047799999999995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5.2047799999999995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5.2047799999999995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5.2047799999999995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5.2047799999999995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5.2047799999999995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5.2047799999999995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5.2047799999999995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5.2047799999999995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5.2047799999999995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5.2047799999999995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5.2047799999999995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5.2047799999999995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5.2047799999999995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5.2047799999999995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5.2047799999999995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5.2047799999999995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5.2047799999999995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5.2047799999999995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FT!$K$2:$K$2000</c:f>
              <c:numCache>
                <c:formatCode>General</c:formatCode>
                <c:ptCount val="1999"/>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43.295299999999997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43.295299999999997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43.295299999999997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43.295299999999997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43.295299999999997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43.295299999999997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43.295299999999997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43.295299999999997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43.295299999999997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43.295299999999997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43.295299999999997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43.295299999999997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43.295299999999997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43.295299999999997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43.295299999999997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43.295299999999997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43.295299999999997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43.295299999999997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43.295299999999997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43.295299999999997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43.295299999999997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43.295299999999997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43.295299999999997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43.295299999999997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FT!$L$2:$L$2000</c:f>
              <c:numCache>
                <c:formatCode>General</c:formatCode>
                <c:ptCount val="1999"/>
                <c:pt idx="0">
                  <c:v>8.3183727266090024</c:v>
                </c:pt>
                <c:pt idx="1">
                  <c:v>8.270215103188761</c:v>
                </c:pt>
                <c:pt idx="2">
                  <c:v>8.2781207024643155</c:v>
                </c:pt>
                <c:pt idx="3">
                  <c:v>8.3708611931008168</c:v>
                </c:pt>
                <c:pt idx="4">
                  <c:v>8.5163010717533218</c:v>
                </c:pt>
                <c:pt idx="5">
                  <c:v>8.7948711001248476</c:v>
                </c:pt>
                <c:pt idx="6">
                  <c:v>9.0987927223261345</c:v>
                </c:pt>
                <c:pt idx="7">
                  <c:v>9.4187761999155111</c:v>
                </c:pt>
                <c:pt idx="8">
                  <c:v>9.768018932904754</c:v>
                </c:pt>
                <c:pt idx="9">
                  <c:v>10.128612950831473</c:v>
                </c:pt>
                <c:pt idx="10">
                  <c:v>10.458718119743926</c:v>
                </c:pt>
                <c:pt idx="11">
                  <c:v>10.787410765560292</c:v>
                </c:pt>
                <c:pt idx="12">
                  <c:v>11.096767601885645</c:v>
                </c:pt>
                <c:pt idx="13">
                  <c:v>11.404220465439927</c:v>
                </c:pt>
                <c:pt idx="14">
                  <c:v>11.692654545811772</c:v>
                </c:pt>
                <c:pt idx="15">
                  <c:v>11.959173698805035</c:v>
                </c:pt>
                <c:pt idx="16">
                  <c:v>12.155481230360072</c:v>
                </c:pt>
                <c:pt idx="17">
                  <c:v>12.34453404443533</c:v>
                </c:pt>
                <c:pt idx="18">
                  <c:v>12.507145096636945</c:v>
                </c:pt>
                <c:pt idx="19">
                  <c:v>12.593292678157534</c:v>
                </c:pt>
                <c:pt idx="20">
                  <c:v>12.652130256165565</c:v>
                </c:pt>
                <c:pt idx="21">
                  <c:v>12.728699179059015</c:v>
                </c:pt>
                <c:pt idx="22">
                  <c:v>12.7597055791011</c:v>
                </c:pt>
                <c:pt idx="23">
                  <c:v>12.91681513611411</c:v>
                </c:pt>
                <c:pt idx="24">
                  <c:v>13.218183096991307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5.0474934714121646E-3</c:v>
                </c:pt>
                <c:pt idx="7">
                  <c:v>3.0798252199187698E-3</c:v>
                </c:pt>
                <c:pt idx="8">
                  <c:v>0</c:v>
                </c:pt>
                <c:pt idx="9">
                  <c:v>5.1330420331979496E-3</c:v>
                </c:pt>
                <c:pt idx="10">
                  <c:v>2.0532168132791797E-3</c:v>
                </c:pt>
                <c:pt idx="11">
                  <c:v>1.2832605082994874E-3</c:v>
                </c:pt>
                <c:pt idx="12">
                  <c:v>2.994276658132984E-3</c:v>
                </c:pt>
                <c:pt idx="13">
                  <c:v>2.3098689149390768E-3</c:v>
                </c:pt>
                <c:pt idx="14">
                  <c:v>2.0532168132791797E-3</c:v>
                </c:pt>
                <c:pt idx="15">
                  <c:v>3.0798252199187698E-3</c:v>
                </c:pt>
                <c:pt idx="16">
                  <c:v>2.7376245564730869E-3</c:v>
                </c:pt>
                <c:pt idx="17">
                  <c:v>1.5228003310812111E-2</c:v>
                </c:pt>
                <c:pt idx="18">
                  <c:v>1.5912430302913644E-2</c:v>
                </c:pt>
                <c:pt idx="19">
                  <c:v>1.9077784835710574E-2</c:v>
                </c:pt>
                <c:pt idx="20">
                  <c:v>4.7052863916639404E-3</c:v>
                </c:pt>
                <c:pt idx="21">
                  <c:v>4.7908413697522667E-3</c:v>
                </c:pt>
                <c:pt idx="22">
                  <c:v>4.9619384933238366E-3</c:v>
                </c:pt>
                <c:pt idx="23">
                  <c:v>1.2832605082994874E-3</c:v>
                </c:pt>
                <c:pt idx="24">
                  <c:v>0</c:v>
                </c:pt>
                <c:pt idx="25">
                  <c:v>2.0532168132791797E-3</c:v>
                </c:pt>
                <c:pt idx="26">
                  <c:v>1.5399126099593849E-3</c:v>
                </c:pt>
                <c:pt idx="27">
                  <c:v>1.5399126099593849E-3</c:v>
                </c:pt>
                <c:pt idx="28">
                  <c:v>2.0532168132791797E-3</c:v>
                </c:pt>
                <c:pt idx="29">
                  <c:v>5.1330420331979494E-4</c:v>
                </c:pt>
                <c:pt idx="30">
                  <c:v>0</c:v>
                </c:pt>
                <c:pt idx="31">
                  <c:v>0</c:v>
                </c:pt>
                <c:pt idx="32">
                  <c:v>0</c:v>
                </c:pt>
                <c:pt idx="33">
                  <c:v>0</c:v>
                </c:pt>
                <c:pt idx="34">
                  <c:v>0</c:v>
                </c:pt>
                <c:pt idx="35">
                  <c:v>0</c:v>
                </c:pt>
                <c:pt idx="36">
                  <c:v>0</c:v>
                </c:pt>
                <c:pt idx="37">
                  <c:v>0</c:v>
                </c:pt>
                <c:pt idx="38">
                  <c:v>7.8706858385786602E-3</c:v>
                </c:pt>
                <c:pt idx="39">
                  <c:v>8.0417444643349819E-3</c:v>
                </c:pt>
                <c:pt idx="40">
                  <c:v>1.1207163160157328E-2</c:v>
                </c:pt>
                <c:pt idx="41">
                  <c:v>2.4724131072228317E-2</c:v>
                </c:pt>
                <c:pt idx="42">
                  <c:v>2.4809724548131892E-2</c:v>
                </c:pt>
                <c:pt idx="43">
                  <c:v>3.6102417021167385E-2</c:v>
                </c:pt>
                <c:pt idx="44">
                  <c:v>3.5161337927405958E-2</c:v>
                </c:pt>
                <c:pt idx="45">
                  <c:v>2.6691818572629335E-2</c:v>
                </c:pt>
                <c:pt idx="46">
                  <c:v>3.0798252199187696E-2</c:v>
                </c:pt>
                <c:pt idx="47">
                  <c:v>3.7129025427806973E-2</c:v>
                </c:pt>
                <c:pt idx="48">
                  <c:v>2.3098689149390773E-2</c:v>
                </c:pt>
                <c:pt idx="49">
                  <c:v>5.1501543120761231E-2</c:v>
                </c:pt>
                <c:pt idx="50">
                  <c:v>5.5094672543999794E-2</c:v>
                </c:pt>
                <c:pt idx="51">
                  <c:v>2.8231731182588721E-2</c:v>
                </c:pt>
                <c:pt idx="52">
                  <c:v>7.930549941290832E-2</c:v>
                </c:pt>
                <c:pt idx="53">
                  <c:v>8.1786683605705374E-2</c:v>
                </c:pt>
                <c:pt idx="54">
                  <c:v>7.6567663118451354E-2</c:v>
                </c:pt>
                <c:pt idx="55">
                  <c:v>9.5389244993679942E-2</c:v>
                </c:pt>
                <c:pt idx="56">
                  <c:v>8.9828235580964103E-2</c:v>
                </c:pt>
                <c:pt idx="57">
                  <c:v>0.1327744733819689</c:v>
                </c:pt>
                <c:pt idx="58">
                  <c:v>0.10206219963683728</c:v>
                </c:pt>
                <c:pt idx="59">
                  <c:v>0.10017965647116193</c:v>
                </c:pt>
                <c:pt idx="60">
                  <c:v>0.14740364317658305</c:v>
                </c:pt>
                <c:pt idx="61">
                  <c:v>0.1519380441826593</c:v>
                </c:pt>
                <c:pt idx="62">
                  <c:v>0.1319191802531873</c:v>
                </c:pt>
                <c:pt idx="63">
                  <c:v>0.16844911551269465</c:v>
                </c:pt>
                <c:pt idx="64">
                  <c:v>0.23107222831770963</c:v>
                </c:pt>
                <c:pt idx="65">
                  <c:v>0.22320199162030888</c:v>
                </c:pt>
                <c:pt idx="66">
                  <c:v>0.39781075757284107</c:v>
                </c:pt>
                <c:pt idx="67">
                  <c:v>0.26623356624511557</c:v>
                </c:pt>
                <c:pt idx="68">
                  <c:v>0.47694494170789137</c:v>
                </c:pt>
                <c:pt idx="69">
                  <c:v>0.44443610325114047</c:v>
                </c:pt>
                <c:pt idx="70">
                  <c:v>0.51989182113915033</c:v>
                </c:pt>
                <c:pt idx="71">
                  <c:v>0.58063239077848994</c:v>
                </c:pt>
                <c:pt idx="72">
                  <c:v>0.43399870390688661</c:v>
                </c:pt>
                <c:pt idx="73">
                  <c:v>0.77859906450308947</c:v>
                </c:pt>
                <c:pt idx="74">
                  <c:v>0.4821639621951454</c:v>
                </c:pt>
                <c:pt idx="75">
                  <c:v>0.59021449699396222</c:v>
                </c:pt>
                <c:pt idx="76">
                  <c:v>0.86140786510365541</c:v>
                </c:pt>
                <c:pt idx="77">
                  <c:v>0.49918833772850058</c:v>
                </c:pt>
                <c:pt idx="78">
                  <c:v>0.62392125913521079</c:v>
                </c:pt>
                <c:pt idx="79">
                  <c:v>0.78107575728410739</c:v>
                </c:pt>
                <c:pt idx="80">
                  <c:v>0.48524378741506419</c:v>
                </c:pt>
                <c:pt idx="81">
                  <c:v>0.59894066845039873</c:v>
                </c:pt>
                <c:pt idx="82">
                  <c:v>0.72059568952795261</c:v>
                </c:pt>
                <c:pt idx="83">
                  <c:v>0.4826772663984652</c:v>
                </c:pt>
                <c:pt idx="84">
                  <c:v>0.59269503955650515</c:v>
                </c:pt>
                <c:pt idx="85">
                  <c:v>0.48404586373056657</c:v>
                </c:pt>
                <c:pt idx="86">
                  <c:v>1</c:v>
                </c:pt>
                <c:pt idx="87">
                  <c:v>0.41851424098349083</c:v>
                </c:pt>
                <c:pt idx="88">
                  <c:v>0.56446330837391645</c:v>
                </c:pt>
                <c:pt idx="89">
                  <c:v>0.68885424085516489</c:v>
                </c:pt>
                <c:pt idx="90">
                  <c:v>0.40961675424919636</c:v>
                </c:pt>
                <c:pt idx="91">
                  <c:v>0.56839906835287102</c:v>
                </c:pt>
                <c:pt idx="92">
                  <c:v>0.65908259706261674</c:v>
                </c:pt>
                <c:pt idx="93">
                  <c:v>0.40807684163923696</c:v>
                </c:pt>
                <c:pt idx="94">
                  <c:v>0.61117399087601776</c:v>
                </c:pt>
                <c:pt idx="95">
                  <c:v>0.64445342726800259</c:v>
                </c:pt>
                <c:pt idx="96">
                  <c:v>0.44794325422032299</c:v>
                </c:pt>
                <c:pt idx="97">
                  <c:v>0.51167895388603357</c:v>
                </c:pt>
                <c:pt idx="98">
                  <c:v>0.63837911365196687</c:v>
                </c:pt>
                <c:pt idx="99">
                  <c:v>0.44238288643786128</c:v>
                </c:pt>
                <c:pt idx="100">
                  <c:v>0.64462666743662289</c:v>
                </c:pt>
                <c:pt idx="101">
                  <c:v>0.68115467780536787</c:v>
                </c:pt>
                <c:pt idx="102">
                  <c:v>0.34151861048552157</c:v>
                </c:pt>
                <c:pt idx="103">
                  <c:v>0.68970760909318396</c:v>
                </c:pt>
                <c:pt idx="104">
                  <c:v>0.6738850070258513</c:v>
                </c:pt>
                <c:pt idx="105">
                  <c:v>0.60492900361237834</c:v>
                </c:pt>
                <c:pt idx="106">
                  <c:v>0.65736944428403687</c:v>
                </c:pt>
                <c:pt idx="107">
                  <c:v>0.66447229119747453</c:v>
                </c:pt>
                <c:pt idx="108">
                  <c:v>0.66866213675707242</c:v>
                </c:pt>
                <c:pt idx="109">
                  <c:v>0.76413671857455423</c:v>
                </c:pt>
                <c:pt idx="110">
                  <c:v>0.48669772157096752</c:v>
                </c:pt>
                <c:pt idx="111">
                  <c:v>0.76593328328617349</c:v>
                </c:pt>
                <c:pt idx="112">
                  <c:v>0.64624999197962174</c:v>
                </c:pt>
                <c:pt idx="113">
                  <c:v>0.61254322983837339</c:v>
                </c:pt>
                <c:pt idx="114">
                  <c:v>0.7779959320641886</c:v>
                </c:pt>
                <c:pt idx="115">
                  <c:v>0.6235792702097489</c:v>
                </c:pt>
                <c:pt idx="116">
                  <c:v>0.91812797957049275</c:v>
                </c:pt>
                <c:pt idx="117">
                  <c:v>0.75224730996515943</c:v>
                </c:pt>
                <c:pt idx="118">
                  <c:v>0.67910146099208868</c:v>
                </c:pt>
                <c:pt idx="119">
                  <c:v>0.70143019383649985</c:v>
                </c:pt>
                <c:pt idx="120">
                  <c:v>0.72940527291742863</c:v>
                </c:pt>
                <c:pt idx="121">
                  <c:v>0.78697875562228503</c:v>
                </c:pt>
                <c:pt idx="122">
                  <c:v>0.83514593880130639</c:v>
                </c:pt>
                <c:pt idx="123">
                  <c:v>0.45170769892141954</c:v>
                </c:pt>
                <c:pt idx="124">
                  <c:v>0.73625146772920635</c:v>
                </c:pt>
                <c:pt idx="125">
                  <c:v>0.95286584153015985</c:v>
                </c:pt>
                <c:pt idx="126">
                  <c:v>0.30832451091733876</c:v>
                </c:pt>
                <c:pt idx="127">
                  <c:v>0.71297953841119521</c:v>
                </c:pt>
                <c:pt idx="128">
                  <c:v>0.80648431534843734</c:v>
                </c:pt>
                <c:pt idx="129">
                  <c:v>0.44563338530538393</c:v>
                </c:pt>
                <c:pt idx="130">
                  <c:v>0.39721211654571936</c:v>
                </c:pt>
                <c:pt idx="131">
                  <c:v>0.74189781396572407</c:v>
                </c:pt>
                <c:pt idx="132">
                  <c:v>0.41047204737797799</c:v>
                </c:pt>
                <c:pt idx="133">
                  <c:v>0.5141594964485765</c:v>
                </c:pt>
                <c:pt idx="134">
                  <c:v>0.67106183390759244</c:v>
                </c:pt>
                <c:pt idx="135">
                  <c:v>0.34468377252924226</c:v>
                </c:pt>
                <c:pt idx="136">
                  <c:v>0.55881696213739862</c:v>
                </c:pt>
                <c:pt idx="137">
                  <c:v>0.5010702392639218</c:v>
                </c:pt>
                <c:pt idx="138">
                  <c:v>0.27341982509159274</c:v>
                </c:pt>
                <c:pt idx="139">
                  <c:v>0.48515780896100813</c:v>
                </c:pt>
                <c:pt idx="140">
                  <c:v>0.49208741570582537</c:v>
                </c:pt>
                <c:pt idx="141">
                  <c:v>0.19248907624492309</c:v>
                </c:pt>
                <c:pt idx="142">
                  <c:v>0.54607033550845985</c:v>
                </c:pt>
                <c:pt idx="143">
                  <c:v>0.29797309002714095</c:v>
                </c:pt>
                <c:pt idx="144">
                  <c:v>0.24150962766196349</c:v>
                </c:pt>
                <c:pt idx="145">
                  <c:v>0.41295323157077501</c:v>
                </c:pt>
                <c:pt idx="146">
                  <c:v>0.19094916363496373</c:v>
                </c:pt>
                <c:pt idx="147">
                  <c:v>0.21173798386941539</c:v>
                </c:pt>
                <c:pt idx="148">
                  <c:v>0.28967488595022228</c:v>
                </c:pt>
                <c:pt idx="149">
                  <c:v>0.13833548279468474</c:v>
                </c:pt>
                <c:pt idx="150">
                  <c:v>0.13961874330298424</c:v>
                </c:pt>
                <c:pt idx="151">
                  <c:v>0.16913373499387244</c:v>
                </c:pt>
                <c:pt idx="152">
                  <c:v>0.19069251153330383</c:v>
                </c:pt>
                <c:pt idx="153">
                  <c:v>0.10069296067448172</c:v>
                </c:pt>
                <c:pt idx="154">
                  <c:v>0.16340205193355278</c:v>
                </c:pt>
                <c:pt idx="155">
                  <c:v>0.20677625711407543</c:v>
                </c:pt>
                <c:pt idx="156">
                  <c:v>9.5474581817481863E-2</c:v>
                </c:pt>
                <c:pt idx="157">
                  <c:v>0.1421852643195832</c:v>
                </c:pt>
                <c:pt idx="158">
                  <c:v>0.13748018966590311</c:v>
                </c:pt>
                <c:pt idx="159">
                  <c:v>9.8982374416918512E-2</c:v>
                </c:pt>
                <c:pt idx="160">
                  <c:v>9.9239026518578397E-2</c:v>
                </c:pt>
                <c:pt idx="161">
                  <c:v>0.10368744907059858</c:v>
                </c:pt>
                <c:pt idx="162">
                  <c:v>6.262311280501498E-2</c:v>
                </c:pt>
                <c:pt idx="163">
                  <c:v>6.1254322983837338E-2</c:v>
                </c:pt>
                <c:pt idx="164">
                  <c:v>0.11369688103533458</c:v>
                </c:pt>
                <c:pt idx="165">
                  <c:v>8.5978454056065662E-2</c:v>
                </c:pt>
                <c:pt idx="166">
                  <c:v>0.12533156243383187</c:v>
                </c:pt>
                <c:pt idx="167">
                  <c:v>0.13149121287366941</c:v>
                </c:pt>
                <c:pt idx="168">
                  <c:v>7.9476814690766298E-2</c:v>
                </c:pt>
                <c:pt idx="169">
                  <c:v>7.8450206284126703E-2</c:v>
                </c:pt>
                <c:pt idx="170">
                  <c:v>4.5085240579263795E-2</c:v>
                </c:pt>
                <c:pt idx="171">
                  <c:v>9.9666352267842137E-2</c:v>
                </c:pt>
                <c:pt idx="172">
                  <c:v>4.7480638807081033E-2</c:v>
                </c:pt>
                <c:pt idx="173">
                  <c:v>1.2233771566796918E-2</c:v>
                </c:pt>
                <c:pt idx="174">
                  <c:v>4.5341892680923694E-2</c:v>
                </c:pt>
                <c:pt idx="175">
                  <c:v>4.0465502749385637E-2</c:v>
                </c:pt>
                <c:pt idx="176">
                  <c:v>3.789898173278667E-2</c:v>
                </c:pt>
                <c:pt idx="177">
                  <c:v>4.1235459054365327E-2</c:v>
                </c:pt>
                <c:pt idx="178">
                  <c:v>3.7214554740685128E-2</c:v>
                </c:pt>
                <c:pt idx="179">
                  <c:v>1.5570248888375585E-2</c:v>
                </c:pt>
                <c:pt idx="180">
                  <c:v>1.8222299217852719E-2</c:v>
                </c:pt>
                <c:pt idx="181">
                  <c:v>7.100729533598968E-3</c:v>
                </c:pt>
                <c:pt idx="182">
                  <c:v>4.7052863916639404E-3</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0.52683372181091981</c:v>
                </c:pt>
                <c:pt idx="4">
                  <c:v>0</c:v>
                </c:pt>
                <c:pt idx="5">
                  <c:v>0</c:v>
                </c:pt>
                <c:pt idx="6">
                  <c:v>0.91372386349570323</c:v>
                </c:pt>
                <c:pt idx="7">
                  <c:v>0</c:v>
                </c:pt>
                <c:pt idx="8">
                  <c:v>0.72460154928374088</c:v>
                </c:pt>
                <c:pt idx="9">
                  <c:v>0</c:v>
                </c:pt>
                <c:pt idx="10">
                  <c:v>0</c:v>
                </c:pt>
                <c:pt idx="11">
                  <c:v>1</c:v>
                </c:pt>
                <c:pt idx="12">
                  <c:v>0</c:v>
                </c:pt>
                <c:pt idx="13">
                  <c:v>0.88189341076947192</c:v>
                </c:pt>
                <c:pt idx="14">
                  <c:v>0</c:v>
                </c:pt>
                <c:pt idx="15">
                  <c:v>0</c:v>
                </c:pt>
                <c:pt idx="16">
                  <c:v>0.80341834130317491</c:v>
                </c:pt>
                <c:pt idx="17">
                  <c:v>0</c:v>
                </c:pt>
                <c:pt idx="18">
                  <c:v>0</c:v>
                </c:pt>
                <c:pt idx="19">
                  <c:v>0.61488450489901758</c:v>
                </c:pt>
                <c:pt idx="20">
                  <c:v>0</c:v>
                </c:pt>
                <c:pt idx="21">
                  <c:v>0.44128838451985836</c:v>
                </c:pt>
                <c:pt idx="22">
                  <c:v>0</c:v>
                </c:pt>
                <c:pt idx="23">
                  <c:v>0</c:v>
                </c:pt>
                <c:pt idx="24">
                  <c:v>0.35723296985987324</c:v>
                </c:pt>
                <c:pt idx="25">
                  <c:v>0</c:v>
                </c:pt>
                <c:pt idx="26">
                  <c:v>0.30578618259943796</c:v>
                </c:pt>
                <c:pt idx="27">
                  <c:v>0</c:v>
                </c:pt>
                <c:pt idx="28">
                  <c:v>0</c:v>
                </c:pt>
                <c:pt idx="29">
                  <c:v>0.26353548176897562</c:v>
                </c:pt>
                <c:pt idx="30">
                  <c:v>0</c:v>
                </c:pt>
                <c:pt idx="31">
                  <c:v>0.23013921172179805</c:v>
                </c:pt>
                <c:pt idx="32">
                  <c:v>0</c:v>
                </c:pt>
                <c:pt idx="33">
                  <c:v>0</c:v>
                </c:pt>
                <c:pt idx="34">
                  <c:v>0.20050106695216038</c:v>
                </c:pt>
                <c:pt idx="35">
                  <c:v>0</c:v>
                </c:pt>
                <c:pt idx="36">
                  <c:v>0</c:v>
                </c:pt>
                <c:pt idx="37">
                  <c:v>0.18205198232783165</c:v>
                </c:pt>
                <c:pt idx="38">
                  <c:v>0</c:v>
                </c:pt>
                <c:pt idx="39">
                  <c:v>0.1644854749081463</c:v>
                </c:pt>
                <c:pt idx="40">
                  <c:v>0</c:v>
                </c:pt>
                <c:pt idx="41">
                  <c:v>0</c:v>
                </c:pt>
                <c:pt idx="42">
                  <c:v>0.15237588024846874</c:v>
                </c:pt>
                <c:pt idx="43">
                  <c:v>0</c:v>
                </c:pt>
                <c:pt idx="44">
                  <c:v>0.1421168823805794</c:v>
                </c:pt>
                <c:pt idx="45">
                  <c:v>0</c:v>
                </c:pt>
                <c:pt idx="46">
                  <c:v>0</c:v>
                </c:pt>
                <c:pt idx="47">
                  <c:v>0.13032047965592045</c:v>
                </c:pt>
                <c:pt idx="48">
                  <c:v>0</c:v>
                </c:pt>
                <c:pt idx="49">
                  <c:v>0.12681856906610878</c:v>
                </c:pt>
                <c:pt idx="50">
                  <c:v>0</c:v>
                </c:pt>
                <c:pt idx="51">
                  <c:v>0</c:v>
                </c:pt>
                <c:pt idx="52">
                  <c:v>0.12097255829288076</c:v>
                </c:pt>
                <c:pt idx="53">
                  <c:v>0</c:v>
                </c:pt>
                <c:pt idx="54">
                  <c:v>0</c:v>
                </c:pt>
                <c:pt idx="55">
                  <c:v>0.11699613008401091</c:v>
                </c:pt>
                <c:pt idx="56">
                  <c:v>0</c:v>
                </c:pt>
                <c:pt idx="57">
                  <c:v>0.11400668445819234</c:v>
                </c:pt>
                <c:pt idx="58">
                  <c:v>0</c:v>
                </c:pt>
                <c:pt idx="59">
                  <c:v>0</c:v>
                </c:pt>
                <c:pt idx="60">
                  <c:v>0.10615823341886052</c:v>
                </c:pt>
                <c:pt idx="61">
                  <c:v>0</c:v>
                </c:pt>
                <c:pt idx="62">
                  <c:v>9.9277779190010004E-2</c:v>
                </c:pt>
                <c:pt idx="63">
                  <c:v>0</c:v>
                </c:pt>
                <c:pt idx="64">
                  <c:v>0</c:v>
                </c:pt>
                <c:pt idx="65">
                  <c:v>9.0622649906529046E-2</c:v>
                </c:pt>
                <c:pt idx="66">
                  <c:v>0</c:v>
                </c:pt>
                <c:pt idx="67">
                  <c:v>8.6133745345334356E-2</c:v>
                </c:pt>
                <c:pt idx="68">
                  <c:v>0</c:v>
                </c:pt>
                <c:pt idx="69">
                  <c:v>0</c:v>
                </c:pt>
                <c:pt idx="70">
                  <c:v>8.0838175351863759E-2</c:v>
                </c:pt>
                <c:pt idx="71">
                  <c:v>0</c:v>
                </c:pt>
                <c:pt idx="72">
                  <c:v>0</c:v>
                </c:pt>
                <c:pt idx="73">
                  <c:v>7.4584082216386988E-2</c:v>
                </c:pt>
                <c:pt idx="74">
                  <c:v>0</c:v>
                </c:pt>
                <c:pt idx="75">
                  <c:v>6.8510300537519719E-2</c:v>
                </c:pt>
                <c:pt idx="76">
                  <c:v>0</c:v>
                </c:pt>
                <c:pt idx="77">
                  <c:v>0</c:v>
                </c:pt>
                <c:pt idx="78">
                  <c:v>6.4277646252589943E-2</c:v>
                </c:pt>
                <c:pt idx="79">
                  <c:v>0</c:v>
                </c:pt>
                <c:pt idx="80">
                  <c:v>6.079470862347499E-2</c:v>
                </c:pt>
                <c:pt idx="81">
                  <c:v>0</c:v>
                </c:pt>
                <c:pt idx="82">
                  <c:v>0</c:v>
                </c:pt>
                <c:pt idx="83">
                  <c:v>5.5204936738180124E-2</c:v>
                </c:pt>
                <c:pt idx="84">
                  <c:v>0</c:v>
                </c:pt>
                <c:pt idx="85">
                  <c:v>0</c:v>
                </c:pt>
                <c:pt idx="86">
                  <c:v>4.8799000128387775E-2</c:v>
                </c:pt>
                <c:pt idx="87">
                  <c:v>0</c:v>
                </c:pt>
                <c:pt idx="88">
                  <c:v>4.2203259887471693E-2</c:v>
                </c:pt>
                <c:pt idx="89">
                  <c:v>0</c:v>
                </c:pt>
                <c:pt idx="90">
                  <c:v>0</c:v>
                </c:pt>
                <c:pt idx="91">
                  <c:v>3.7012078189911334E-2</c:v>
                </c:pt>
                <c:pt idx="92">
                  <c:v>0</c:v>
                </c:pt>
                <c:pt idx="93">
                  <c:v>3.225744968397657E-2</c:v>
                </c:pt>
                <c:pt idx="94">
                  <c:v>0</c:v>
                </c:pt>
                <c:pt idx="95">
                  <c:v>0</c:v>
                </c:pt>
                <c:pt idx="96">
                  <c:v>2.8110197922387066E-2</c:v>
                </c:pt>
                <c:pt idx="97">
                  <c:v>0</c:v>
                </c:pt>
                <c:pt idx="98">
                  <c:v>2.4086321652819223E-2</c:v>
                </c:pt>
                <c:pt idx="99">
                  <c:v>0</c:v>
                </c:pt>
                <c:pt idx="100">
                  <c:v>0</c:v>
                </c:pt>
                <c:pt idx="101">
                  <c:v>1.9787226416914137E-2</c:v>
                </c:pt>
                <c:pt idx="102">
                  <c:v>0</c:v>
                </c:pt>
                <c:pt idx="103">
                  <c:v>0</c:v>
                </c:pt>
                <c:pt idx="104">
                  <c:v>1.7509560066765746E-2</c:v>
                </c:pt>
                <c:pt idx="105">
                  <c:v>0</c:v>
                </c:pt>
                <c:pt idx="106">
                  <c:v>1.4510632231223211E-2</c:v>
                </c:pt>
                <c:pt idx="107">
                  <c:v>0</c:v>
                </c:pt>
                <c:pt idx="108">
                  <c:v>0</c:v>
                </c:pt>
                <c:pt idx="109">
                  <c:v>1.1312410013584158E-2</c:v>
                </c:pt>
                <c:pt idx="110">
                  <c:v>0</c:v>
                </c:pt>
                <c:pt idx="111">
                  <c:v>9.3194519572043187E-3</c:v>
                </c:pt>
                <c:pt idx="112">
                  <c:v>0</c:v>
                </c:pt>
                <c:pt idx="113">
                  <c:v>0</c:v>
                </c:pt>
                <c:pt idx="114">
                  <c:v>8.6836029599407349E-3</c:v>
                </c:pt>
                <c:pt idx="115">
                  <c:v>0</c:v>
                </c:pt>
                <c:pt idx="116">
                  <c:v>7.5447697848665405E-3</c:v>
                </c:pt>
                <c:pt idx="117">
                  <c:v>0</c:v>
                </c:pt>
                <c:pt idx="118">
                  <c:v>0</c:v>
                </c:pt>
                <c:pt idx="119">
                  <c:v>6.0547973298387819E-3</c:v>
                </c:pt>
                <c:pt idx="120">
                  <c:v>0</c:v>
                </c:pt>
                <c:pt idx="121">
                  <c:v>0</c:v>
                </c:pt>
                <c:pt idx="122">
                  <c:v>5.0013752193536825E-3</c:v>
                </c:pt>
                <c:pt idx="123">
                  <c:v>0</c:v>
                </c:pt>
                <c:pt idx="124">
                  <c:v>4.2421535771513755E-3</c:v>
                </c:pt>
                <c:pt idx="125">
                  <c:v>0</c:v>
                </c:pt>
                <c:pt idx="126">
                  <c:v>0</c:v>
                </c:pt>
                <c:pt idx="127">
                  <c:v>3.8815221226835683E-3</c:v>
                </c:pt>
                <c:pt idx="128">
                  <c:v>0</c:v>
                </c:pt>
                <c:pt idx="129">
                  <c:v>3.6442661602374238E-3</c:v>
                </c:pt>
                <c:pt idx="130">
                  <c:v>0</c:v>
                </c:pt>
                <c:pt idx="131">
                  <c:v>0</c:v>
                </c:pt>
                <c:pt idx="132">
                  <c:v>2.7331996201780677E-3</c:v>
                </c:pt>
                <c:pt idx="133">
                  <c:v>0</c:v>
                </c:pt>
                <c:pt idx="134">
                  <c:v>1.9644872270029859E-3</c:v>
                </c:pt>
                <c:pt idx="135">
                  <c:v>0</c:v>
                </c:pt>
                <c:pt idx="136">
                  <c:v>0</c:v>
                </c:pt>
                <c:pt idx="137">
                  <c:v>1.8600946604683413E-3</c:v>
                </c:pt>
                <c:pt idx="138">
                  <c:v>0</c:v>
                </c:pt>
                <c:pt idx="139">
                  <c:v>0</c:v>
                </c:pt>
                <c:pt idx="140">
                  <c:v>1.1957748338279047E-3</c:v>
                </c:pt>
                <c:pt idx="141">
                  <c:v>0</c:v>
                </c:pt>
                <c:pt idx="142">
                  <c:v>1.1673040044510496E-3</c:v>
                </c:pt>
                <c:pt idx="143">
                  <c:v>0</c:v>
                </c:pt>
                <c:pt idx="144">
                  <c:v>0</c:v>
                </c:pt>
                <c:pt idx="145">
                  <c:v>8.8259571068250104E-4</c:v>
                </c:pt>
                <c:pt idx="146">
                  <c:v>0</c:v>
                </c:pt>
                <c:pt idx="147">
                  <c:v>5.9788741691395233E-4</c:v>
                </c:pt>
                <c:pt idx="148">
                  <c:v>0</c:v>
                </c:pt>
                <c:pt idx="149">
                  <c:v>0</c:v>
                </c:pt>
                <c:pt idx="150">
                  <c:v>5.0298417781061318E-4</c:v>
                </c:pt>
                <c:pt idx="151">
                  <c:v>0</c:v>
                </c:pt>
                <c:pt idx="152">
                  <c:v>3.4164995252225846E-4</c:v>
                </c:pt>
                <c:pt idx="153">
                  <c:v>0</c:v>
                </c:pt>
                <c:pt idx="154">
                  <c:v>0</c:v>
                </c:pt>
                <c:pt idx="155">
                  <c:v>3.2266987411817816E-4</c:v>
                </c:pt>
                <c:pt idx="156">
                  <c:v>0</c:v>
                </c:pt>
                <c:pt idx="157">
                  <c:v>0</c:v>
                </c:pt>
                <c:pt idx="158">
                  <c:v>2.2776663501483899E-4</c:v>
                </c:pt>
                <c:pt idx="159">
                  <c:v>0</c:v>
                </c:pt>
                <c:pt idx="160">
                  <c:v>1.1388331750741949E-4</c:v>
                </c:pt>
                <c:pt idx="161">
                  <c:v>0</c:v>
                </c:pt>
                <c:pt idx="162">
                  <c:v>0</c:v>
                </c:pt>
                <c:pt idx="163">
                  <c:v>5.6941658753709746E-5</c:v>
                </c:pt>
                <c:pt idx="164">
                  <c:v>0</c:v>
                </c:pt>
                <c:pt idx="165">
                  <c:v>2.8470829376854873E-5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(88.9 , 59.6)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88.922601962906072</c:v>
                </c:pt>
              </c:numCache>
            </c:numRef>
          </c:xVal>
          <c:yVal>
            <c:numRef>
              <c:f>info!$W$20:$W$21</c:f>
              <c:numCache>
                <c:formatCode>General</c:formatCode>
                <c:ptCount val="2"/>
                <c:pt idx="0">
                  <c:v>50</c:v>
                </c:pt>
                <c:pt idx="1">
                  <c:v>59.564026191879037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57.230899999999998</c:v>
                      </c:pt>
                    </c:numCache>
                  </c:numRef>
                </c:xVal>
                <c:yVal>
                  <c:numRef>
                    <c:extLst>
                      <c:ext uri="{02D57815-91ED-43cb-92C2-25804820EDAC}">
                        <c15:formulaRef>
                          <c15:sqref>info!$W$18</c15:sqref>
                        </c15:formulaRef>
                      </c:ext>
                    </c:extLst>
                    <c:numCache>
                      <c:formatCode>General</c:formatCode>
                      <c:ptCount val="1"/>
                      <c:pt idx="0">
                        <c:v>53.901199999999996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(88.9 , 59.6)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88.922601962906072</c:v>
                </c:pt>
              </c:numCache>
            </c:numRef>
          </c:xVal>
          <c:yVal>
            <c:numRef>
              <c:f>info!$W$20:$W$21</c:f>
              <c:numCache>
                <c:formatCode>General</c:formatCode>
                <c:ptCount val="2"/>
                <c:pt idx="0">
                  <c:v>50</c:v>
                </c:pt>
                <c:pt idx="1">
                  <c:v>59.564026191879037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46.749400000000001</c:v>
                </c:pt>
                <c:pt idx="1">
                  <c:v>28.853200000000001</c:v>
                </c:pt>
                <c:pt idx="2">
                  <c:v>16.3035</c:v>
                </c:pt>
                <c:pt idx="3">
                  <c:v>30.338799999999999</c:v>
                </c:pt>
                <c:pt idx="4">
                  <c:v>69.594999999999999</c:v>
                </c:pt>
                <c:pt idx="5">
                  <c:v>74.682400000000001</c:v>
                </c:pt>
                <c:pt idx="6">
                  <c:v>33.508499999999998</c:v>
                </c:pt>
                <c:pt idx="7">
                  <c:v>72.459500000000006</c:v>
                </c:pt>
                <c:pt idx="8">
                  <c:v>17.825500000000002</c:v>
                </c:pt>
                <c:pt idx="9">
                  <c:v>33.011000000000003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0.52776206003290427</c:v>
                </c:pt>
                <c:pt idx="1">
                  <c:v>0.25781181293448902</c:v>
                </c:pt>
                <c:pt idx="2">
                  <c:v>0.21442612703260669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5.0474934714121646E-3</c:v>
                </c:pt>
                <c:pt idx="7">
                  <c:v>3.0798252199187698E-3</c:v>
                </c:pt>
                <c:pt idx="8">
                  <c:v>0</c:v>
                </c:pt>
                <c:pt idx="9">
                  <c:v>5.1330420331979496E-3</c:v>
                </c:pt>
                <c:pt idx="10">
                  <c:v>2.0532168132791797E-3</c:v>
                </c:pt>
                <c:pt idx="11">
                  <c:v>1.2832605082994874E-3</c:v>
                </c:pt>
                <c:pt idx="12">
                  <c:v>2.994276658132984E-3</c:v>
                </c:pt>
                <c:pt idx="13">
                  <c:v>2.3098689149390768E-3</c:v>
                </c:pt>
                <c:pt idx="14">
                  <c:v>2.0532168132791797E-3</c:v>
                </c:pt>
                <c:pt idx="15">
                  <c:v>3.0798252199187698E-3</c:v>
                </c:pt>
                <c:pt idx="16">
                  <c:v>2.7376245564730869E-3</c:v>
                </c:pt>
                <c:pt idx="17">
                  <c:v>1.5228003310812111E-2</c:v>
                </c:pt>
                <c:pt idx="18">
                  <c:v>1.5912430302913644E-2</c:v>
                </c:pt>
                <c:pt idx="19">
                  <c:v>1.9077784835710574E-2</c:v>
                </c:pt>
                <c:pt idx="20">
                  <c:v>4.7052863916639404E-3</c:v>
                </c:pt>
                <c:pt idx="21">
                  <c:v>4.7908413697522667E-3</c:v>
                </c:pt>
                <c:pt idx="22">
                  <c:v>4.9619384933238366E-3</c:v>
                </c:pt>
                <c:pt idx="23">
                  <c:v>1.2832605082994874E-3</c:v>
                </c:pt>
                <c:pt idx="24">
                  <c:v>0</c:v>
                </c:pt>
                <c:pt idx="25">
                  <c:v>2.0532168132791797E-3</c:v>
                </c:pt>
                <c:pt idx="26">
                  <c:v>1.5399126099593849E-3</c:v>
                </c:pt>
                <c:pt idx="27">
                  <c:v>1.5399126099593849E-3</c:v>
                </c:pt>
                <c:pt idx="28">
                  <c:v>2.0532168132791797E-3</c:v>
                </c:pt>
                <c:pt idx="29">
                  <c:v>5.1330420331979494E-4</c:v>
                </c:pt>
                <c:pt idx="30">
                  <c:v>0</c:v>
                </c:pt>
                <c:pt idx="31">
                  <c:v>0</c:v>
                </c:pt>
                <c:pt idx="32">
                  <c:v>0</c:v>
                </c:pt>
                <c:pt idx="33">
                  <c:v>0</c:v>
                </c:pt>
                <c:pt idx="34">
                  <c:v>0</c:v>
                </c:pt>
                <c:pt idx="35">
                  <c:v>0</c:v>
                </c:pt>
                <c:pt idx="36">
                  <c:v>0</c:v>
                </c:pt>
                <c:pt idx="37">
                  <c:v>0</c:v>
                </c:pt>
                <c:pt idx="38">
                  <c:v>7.8706858385786602E-3</c:v>
                </c:pt>
                <c:pt idx="39">
                  <c:v>8.0417444643349819E-3</c:v>
                </c:pt>
                <c:pt idx="40">
                  <c:v>1.1207163160157328E-2</c:v>
                </c:pt>
                <c:pt idx="41">
                  <c:v>2.4724131072228317E-2</c:v>
                </c:pt>
                <c:pt idx="42">
                  <c:v>2.4809724548131892E-2</c:v>
                </c:pt>
                <c:pt idx="43">
                  <c:v>3.6102417021167385E-2</c:v>
                </c:pt>
                <c:pt idx="44">
                  <c:v>3.5161337927405958E-2</c:v>
                </c:pt>
                <c:pt idx="45">
                  <c:v>2.6691818572629335E-2</c:v>
                </c:pt>
                <c:pt idx="46">
                  <c:v>3.0798252199187696E-2</c:v>
                </c:pt>
                <c:pt idx="47">
                  <c:v>3.7129025427806973E-2</c:v>
                </c:pt>
                <c:pt idx="48">
                  <c:v>2.3098689149390773E-2</c:v>
                </c:pt>
                <c:pt idx="49">
                  <c:v>5.1501543120761231E-2</c:v>
                </c:pt>
                <c:pt idx="50">
                  <c:v>5.5094672543999794E-2</c:v>
                </c:pt>
                <c:pt idx="51">
                  <c:v>2.8231731182588721E-2</c:v>
                </c:pt>
                <c:pt idx="52">
                  <c:v>7.930549941290832E-2</c:v>
                </c:pt>
                <c:pt idx="53">
                  <c:v>8.1786683605705374E-2</c:v>
                </c:pt>
                <c:pt idx="54">
                  <c:v>7.6567663118451354E-2</c:v>
                </c:pt>
                <c:pt idx="55">
                  <c:v>9.5389244993679942E-2</c:v>
                </c:pt>
                <c:pt idx="56">
                  <c:v>8.9828235580964103E-2</c:v>
                </c:pt>
                <c:pt idx="57">
                  <c:v>0.1327744733819689</c:v>
                </c:pt>
                <c:pt idx="58">
                  <c:v>0.10206219963683728</c:v>
                </c:pt>
                <c:pt idx="59">
                  <c:v>0.10017965647116193</c:v>
                </c:pt>
                <c:pt idx="60">
                  <c:v>0.14740364317658305</c:v>
                </c:pt>
                <c:pt idx="61">
                  <c:v>0.1519380441826593</c:v>
                </c:pt>
                <c:pt idx="62">
                  <c:v>0.1319191802531873</c:v>
                </c:pt>
                <c:pt idx="63">
                  <c:v>0.16844911551269465</c:v>
                </c:pt>
                <c:pt idx="64">
                  <c:v>0.23107222831770963</c:v>
                </c:pt>
                <c:pt idx="65">
                  <c:v>0.22320199162030888</c:v>
                </c:pt>
                <c:pt idx="66">
                  <c:v>0.39781075757284107</c:v>
                </c:pt>
                <c:pt idx="67">
                  <c:v>0.26623356624511557</c:v>
                </c:pt>
                <c:pt idx="68">
                  <c:v>0.47694494170789137</c:v>
                </c:pt>
                <c:pt idx="69">
                  <c:v>0.44443610325114047</c:v>
                </c:pt>
                <c:pt idx="70">
                  <c:v>0.51989182113915033</c:v>
                </c:pt>
                <c:pt idx="71">
                  <c:v>0.58063239077848994</c:v>
                </c:pt>
                <c:pt idx="72">
                  <c:v>0.43399870390688661</c:v>
                </c:pt>
                <c:pt idx="73">
                  <c:v>0.77859906450308947</c:v>
                </c:pt>
                <c:pt idx="74">
                  <c:v>0.4821639621951454</c:v>
                </c:pt>
                <c:pt idx="75">
                  <c:v>0.59021449699396222</c:v>
                </c:pt>
                <c:pt idx="76">
                  <c:v>0.86140786510365541</c:v>
                </c:pt>
                <c:pt idx="77">
                  <c:v>0.49918833772850058</c:v>
                </c:pt>
                <c:pt idx="78">
                  <c:v>0.62392125913521079</c:v>
                </c:pt>
                <c:pt idx="79">
                  <c:v>0.78107575728410739</c:v>
                </c:pt>
                <c:pt idx="80">
                  <c:v>0.48524378741506419</c:v>
                </c:pt>
                <c:pt idx="81">
                  <c:v>0.59894066845039873</c:v>
                </c:pt>
                <c:pt idx="82">
                  <c:v>0.72059568952795261</c:v>
                </c:pt>
                <c:pt idx="83">
                  <c:v>0.4826772663984652</c:v>
                </c:pt>
                <c:pt idx="84">
                  <c:v>0.59269503955650515</c:v>
                </c:pt>
                <c:pt idx="85">
                  <c:v>0.48404586373056657</c:v>
                </c:pt>
                <c:pt idx="86">
                  <c:v>1</c:v>
                </c:pt>
                <c:pt idx="87">
                  <c:v>0.41851424098349083</c:v>
                </c:pt>
                <c:pt idx="88">
                  <c:v>0.56446330837391645</c:v>
                </c:pt>
                <c:pt idx="89">
                  <c:v>0.68885424085516489</c:v>
                </c:pt>
                <c:pt idx="90">
                  <c:v>0.40961675424919636</c:v>
                </c:pt>
                <c:pt idx="91">
                  <c:v>0.56839906835287102</c:v>
                </c:pt>
                <c:pt idx="92">
                  <c:v>0.65908259706261674</c:v>
                </c:pt>
                <c:pt idx="93">
                  <c:v>0.40807684163923696</c:v>
                </c:pt>
                <c:pt idx="94">
                  <c:v>0.61117399087601776</c:v>
                </c:pt>
                <c:pt idx="95">
                  <c:v>0.64445342726800259</c:v>
                </c:pt>
                <c:pt idx="96">
                  <c:v>0.44794325422032299</c:v>
                </c:pt>
                <c:pt idx="97">
                  <c:v>0.51167895388603357</c:v>
                </c:pt>
                <c:pt idx="98">
                  <c:v>0.63837911365196687</c:v>
                </c:pt>
                <c:pt idx="99">
                  <c:v>0.44238288643786128</c:v>
                </c:pt>
                <c:pt idx="100">
                  <c:v>0.64462666743662289</c:v>
                </c:pt>
                <c:pt idx="101">
                  <c:v>0.68115467780536787</c:v>
                </c:pt>
                <c:pt idx="102">
                  <c:v>0.34151861048552157</c:v>
                </c:pt>
                <c:pt idx="103">
                  <c:v>0.68970760909318396</c:v>
                </c:pt>
                <c:pt idx="104">
                  <c:v>0.6738850070258513</c:v>
                </c:pt>
                <c:pt idx="105">
                  <c:v>0.60492900361237834</c:v>
                </c:pt>
                <c:pt idx="106">
                  <c:v>0.65736944428403687</c:v>
                </c:pt>
                <c:pt idx="107">
                  <c:v>0.66447229119747453</c:v>
                </c:pt>
                <c:pt idx="108">
                  <c:v>0.66866213675707242</c:v>
                </c:pt>
                <c:pt idx="109">
                  <c:v>0.76413671857455423</c:v>
                </c:pt>
                <c:pt idx="110">
                  <c:v>0.48669772157096752</c:v>
                </c:pt>
                <c:pt idx="111">
                  <c:v>0.76593328328617349</c:v>
                </c:pt>
                <c:pt idx="112">
                  <c:v>0.64624999197962174</c:v>
                </c:pt>
                <c:pt idx="113">
                  <c:v>0.61254322983837339</c:v>
                </c:pt>
                <c:pt idx="114">
                  <c:v>0.7779959320641886</c:v>
                </c:pt>
                <c:pt idx="115">
                  <c:v>0.6235792702097489</c:v>
                </c:pt>
                <c:pt idx="116">
                  <c:v>0.91812797957049275</c:v>
                </c:pt>
                <c:pt idx="117">
                  <c:v>0.75224730996515943</c:v>
                </c:pt>
                <c:pt idx="118">
                  <c:v>0.67910146099208868</c:v>
                </c:pt>
                <c:pt idx="119">
                  <c:v>0.70143019383649985</c:v>
                </c:pt>
                <c:pt idx="120">
                  <c:v>0.72940527291742863</c:v>
                </c:pt>
                <c:pt idx="121">
                  <c:v>0.78697875562228503</c:v>
                </c:pt>
                <c:pt idx="122">
                  <c:v>0.83514593880130639</c:v>
                </c:pt>
                <c:pt idx="123">
                  <c:v>0.45170769892141954</c:v>
                </c:pt>
                <c:pt idx="124">
                  <c:v>0.73625146772920635</c:v>
                </c:pt>
                <c:pt idx="125">
                  <c:v>0.95286584153015985</c:v>
                </c:pt>
                <c:pt idx="126">
                  <c:v>0.30832451091733876</c:v>
                </c:pt>
                <c:pt idx="127">
                  <c:v>0.71297953841119521</c:v>
                </c:pt>
                <c:pt idx="128">
                  <c:v>0.80648431534843734</c:v>
                </c:pt>
                <c:pt idx="129">
                  <c:v>0.44563338530538393</c:v>
                </c:pt>
                <c:pt idx="130">
                  <c:v>0.39721211654571936</c:v>
                </c:pt>
                <c:pt idx="131">
                  <c:v>0.74189781396572407</c:v>
                </c:pt>
                <c:pt idx="132">
                  <c:v>0.41047204737797799</c:v>
                </c:pt>
                <c:pt idx="133">
                  <c:v>0.5141594964485765</c:v>
                </c:pt>
                <c:pt idx="134">
                  <c:v>0.67106183390759244</c:v>
                </c:pt>
                <c:pt idx="135">
                  <c:v>0.34468377252924226</c:v>
                </c:pt>
                <c:pt idx="136">
                  <c:v>0.55881696213739862</c:v>
                </c:pt>
                <c:pt idx="137">
                  <c:v>0.5010702392639218</c:v>
                </c:pt>
                <c:pt idx="138">
                  <c:v>0.27341982509159274</c:v>
                </c:pt>
                <c:pt idx="139">
                  <c:v>0.48515780896100813</c:v>
                </c:pt>
                <c:pt idx="140">
                  <c:v>0.49208741570582537</c:v>
                </c:pt>
                <c:pt idx="141">
                  <c:v>0.19248907624492309</c:v>
                </c:pt>
                <c:pt idx="142">
                  <c:v>0.54607033550845985</c:v>
                </c:pt>
                <c:pt idx="143">
                  <c:v>0.29797309002714095</c:v>
                </c:pt>
                <c:pt idx="144">
                  <c:v>0.24150962766196349</c:v>
                </c:pt>
                <c:pt idx="145">
                  <c:v>0.41295323157077501</c:v>
                </c:pt>
                <c:pt idx="146">
                  <c:v>0.19094916363496373</c:v>
                </c:pt>
                <c:pt idx="147">
                  <c:v>0.21173798386941539</c:v>
                </c:pt>
                <c:pt idx="148">
                  <c:v>0.28967488595022228</c:v>
                </c:pt>
                <c:pt idx="149">
                  <c:v>0.13833548279468474</c:v>
                </c:pt>
                <c:pt idx="150">
                  <c:v>0.13961874330298424</c:v>
                </c:pt>
                <c:pt idx="151">
                  <c:v>0.16913373499387244</c:v>
                </c:pt>
                <c:pt idx="152">
                  <c:v>0.19069251153330383</c:v>
                </c:pt>
                <c:pt idx="153">
                  <c:v>0.10069296067448172</c:v>
                </c:pt>
                <c:pt idx="154">
                  <c:v>0.16340205193355278</c:v>
                </c:pt>
                <c:pt idx="155">
                  <c:v>0.20677625711407543</c:v>
                </c:pt>
                <c:pt idx="156">
                  <c:v>9.5474581817481863E-2</c:v>
                </c:pt>
                <c:pt idx="157">
                  <c:v>0.1421852643195832</c:v>
                </c:pt>
                <c:pt idx="158">
                  <c:v>0.13748018966590311</c:v>
                </c:pt>
                <c:pt idx="159">
                  <c:v>9.8982374416918512E-2</c:v>
                </c:pt>
                <c:pt idx="160">
                  <c:v>9.9239026518578397E-2</c:v>
                </c:pt>
                <c:pt idx="161">
                  <c:v>0.10368744907059858</c:v>
                </c:pt>
                <c:pt idx="162">
                  <c:v>6.262311280501498E-2</c:v>
                </c:pt>
                <c:pt idx="163">
                  <c:v>6.1254322983837338E-2</c:v>
                </c:pt>
                <c:pt idx="164">
                  <c:v>0.11369688103533458</c:v>
                </c:pt>
                <c:pt idx="165">
                  <c:v>8.5978454056065662E-2</c:v>
                </c:pt>
                <c:pt idx="166">
                  <c:v>0.12533156243383187</c:v>
                </c:pt>
                <c:pt idx="167">
                  <c:v>0.13149121287366941</c:v>
                </c:pt>
                <c:pt idx="168">
                  <c:v>7.9476814690766298E-2</c:v>
                </c:pt>
                <c:pt idx="169">
                  <c:v>7.8450206284126703E-2</c:v>
                </c:pt>
                <c:pt idx="170">
                  <c:v>4.5085240579263795E-2</c:v>
                </c:pt>
                <c:pt idx="171">
                  <c:v>9.9666352267842137E-2</c:v>
                </c:pt>
                <c:pt idx="172">
                  <c:v>4.7480638807081033E-2</c:v>
                </c:pt>
                <c:pt idx="173">
                  <c:v>1.2233771566796918E-2</c:v>
                </c:pt>
                <c:pt idx="174">
                  <c:v>4.5341892680923694E-2</c:v>
                </c:pt>
                <c:pt idx="175">
                  <c:v>4.0465502749385637E-2</c:v>
                </c:pt>
                <c:pt idx="176">
                  <c:v>3.789898173278667E-2</c:v>
                </c:pt>
                <c:pt idx="177">
                  <c:v>4.1235459054365327E-2</c:v>
                </c:pt>
                <c:pt idx="178">
                  <c:v>3.7214554740685128E-2</c:v>
                </c:pt>
                <c:pt idx="179">
                  <c:v>1.5570248888375585E-2</c:v>
                </c:pt>
                <c:pt idx="180">
                  <c:v>1.8222299217852719E-2</c:v>
                </c:pt>
                <c:pt idx="181">
                  <c:v>7.100729533598968E-3</c:v>
                </c:pt>
                <c:pt idx="182">
                  <c:v>4.7052863916639404E-3</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numCache>
              <c:extLst xmlns:c15="http://schemas.microsoft.com/office/drawing/2012/chart"/>
            </c:numRef>
          </c:xVal>
          <c:yVal>
            <c:numRef>
              <c:f>[0]!FT_PH</c:f>
              <c:numCache>
                <c:formatCode>0.00</c:formatCode>
                <c:ptCount val="25"/>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5.2047799999999995</c:v>
                </c:pt>
              </c:numCache>
            </c:numRef>
          </c:xVal>
          <c:yVal>
            <c:numRef>
              <c:f>[0]!FT_PH01</c:f>
              <c:numCache>
                <c:formatCode>0.00</c:formatCode>
                <c:ptCount val="1"/>
                <c:pt idx="0">
                  <c:v>43.295299999999997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5.2047799999999995</c:v>
                </c:pt>
              </c:numCache>
            </c:numRef>
          </c:xVal>
          <c:yVal>
            <c:numRef>
              <c:f>[0]!FT_PH02</c:f>
              <c:numCache>
                <c:formatCode>0.00</c:formatCode>
                <c:ptCount val="1"/>
                <c:pt idx="0">
                  <c:v>43.295299999999997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5.2047799999999995</c:v>
                </c:pt>
              </c:numCache>
            </c:numRef>
          </c:xVal>
          <c:yVal>
            <c:numRef>
              <c:f>[0]!FT_PH03</c:f>
              <c:numCache>
                <c:formatCode>0.00</c:formatCode>
                <c:ptCount val="1"/>
                <c:pt idx="0">
                  <c:v>43.295299999999997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5.2047799999999995</c:v>
                </c:pt>
              </c:numCache>
            </c:numRef>
          </c:xVal>
          <c:yVal>
            <c:numRef>
              <c:f>[0]!FT_PH04</c:f>
              <c:numCache>
                <c:formatCode>0.00</c:formatCode>
                <c:ptCount val="1"/>
                <c:pt idx="0">
                  <c:v>43.295299999999997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5.2047799999999995</c:v>
                </c:pt>
              </c:numCache>
            </c:numRef>
          </c:xVal>
          <c:yVal>
            <c:numRef>
              <c:f>[0]!FT_PH05</c:f>
              <c:numCache>
                <c:formatCode>0.00</c:formatCode>
                <c:ptCount val="1"/>
                <c:pt idx="0">
                  <c:v>43.295299999999997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5.2047799999999995</c:v>
                </c:pt>
              </c:numCache>
            </c:numRef>
          </c:xVal>
          <c:yVal>
            <c:numRef>
              <c:f>[0]!FT_PH06</c:f>
              <c:numCache>
                <c:formatCode>0.00</c:formatCode>
                <c:ptCount val="1"/>
                <c:pt idx="0">
                  <c:v>43.295299999999997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5.2047799999999995</c:v>
                </c:pt>
              </c:numCache>
            </c:numRef>
          </c:xVal>
          <c:yVal>
            <c:numRef>
              <c:f>[0]!FT_PH07</c:f>
              <c:numCache>
                <c:formatCode>0.00</c:formatCode>
                <c:ptCount val="1"/>
                <c:pt idx="0">
                  <c:v>43.295299999999997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5.2047799999999995</c:v>
                </c:pt>
              </c:numCache>
            </c:numRef>
          </c:xVal>
          <c:yVal>
            <c:numRef>
              <c:f>[0]!FT_PH08</c:f>
              <c:numCache>
                <c:formatCode>0.00</c:formatCode>
                <c:ptCount val="1"/>
                <c:pt idx="0">
                  <c:v>43.295299999999997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5.2047799999999995</c:v>
                </c:pt>
              </c:numCache>
            </c:numRef>
          </c:xVal>
          <c:yVal>
            <c:numRef>
              <c:f>[0]!FT_PH09</c:f>
              <c:numCache>
                <c:formatCode>0.00</c:formatCode>
                <c:ptCount val="1"/>
                <c:pt idx="0">
                  <c:v>43.295299999999997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5.2047799999999995</c:v>
                </c:pt>
              </c:numCache>
            </c:numRef>
          </c:xVal>
          <c:yVal>
            <c:numRef>
              <c:f>[0]!FT_PH10</c:f>
              <c:numCache>
                <c:formatCode>0.00</c:formatCode>
                <c:ptCount val="1"/>
                <c:pt idx="0">
                  <c:v>43.295299999999997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5.2047799999999995</c:v>
                </c:pt>
              </c:numCache>
            </c:numRef>
          </c:xVal>
          <c:yVal>
            <c:numRef>
              <c:f>[0]!FT_PH11</c:f>
              <c:numCache>
                <c:formatCode>0.00</c:formatCode>
                <c:ptCount val="1"/>
                <c:pt idx="0">
                  <c:v>43.295299999999997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5.2047799999999995</c:v>
                </c:pt>
              </c:numCache>
            </c:numRef>
          </c:xVal>
          <c:yVal>
            <c:numRef>
              <c:f>[0]!FT_PH12</c:f>
              <c:numCache>
                <c:formatCode>0.00</c:formatCode>
                <c:ptCount val="1"/>
                <c:pt idx="0">
                  <c:v>43.295299999999997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5.2047799999999995</c:v>
                </c:pt>
              </c:numCache>
            </c:numRef>
          </c:xVal>
          <c:yVal>
            <c:numRef>
              <c:f>[0]!FT_PH13</c:f>
              <c:numCache>
                <c:formatCode>0.00</c:formatCode>
                <c:ptCount val="1"/>
                <c:pt idx="0">
                  <c:v>43.295299999999997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5.2047799999999995</c:v>
                </c:pt>
              </c:numCache>
            </c:numRef>
          </c:xVal>
          <c:yVal>
            <c:numRef>
              <c:f>[0]!FT_PH14</c:f>
              <c:numCache>
                <c:formatCode>0.00</c:formatCode>
                <c:ptCount val="1"/>
                <c:pt idx="0">
                  <c:v>43.295299999999997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5.2047799999999995</c:v>
                </c:pt>
              </c:numCache>
            </c:numRef>
          </c:xVal>
          <c:yVal>
            <c:numRef>
              <c:f>[0]!FT_PH15</c:f>
              <c:numCache>
                <c:formatCode>0.00</c:formatCode>
                <c:ptCount val="1"/>
                <c:pt idx="0">
                  <c:v>43.295299999999997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5.2047799999999995</c:v>
                </c:pt>
              </c:numCache>
            </c:numRef>
          </c:xVal>
          <c:yVal>
            <c:numRef>
              <c:f>[0]!FT_PH16</c:f>
              <c:numCache>
                <c:formatCode>0.00</c:formatCode>
                <c:ptCount val="1"/>
                <c:pt idx="0">
                  <c:v>43.295299999999997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5.2047799999999995</c:v>
                </c:pt>
              </c:numCache>
            </c:numRef>
          </c:xVal>
          <c:yVal>
            <c:numRef>
              <c:f>[0]!FT_PH17</c:f>
              <c:numCache>
                <c:formatCode>0.00</c:formatCode>
                <c:ptCount val="1"/>
                <c:pt idx="0">
                  <c:v>43.295299999999997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5.2047799999999995</c:v>
                </c:pt>
              </c:numCache>
            </c:numRef>
          </c:xVal>
          <c:yVal>
            <c:numRef>
              <c:f>[0]!FT_PH18</c:f>
              <c:numCache>
                <c:formatCode>0.00</c:formatCode>
                <c:ptCount val="1"/>
                <c:pt idx="0">
                  <c:v>43.295299999999997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5.2047799999999995</c:v>
                </c:pt>
              </c:numCache>
            </c:numRef>
          </c:xVal>
          <c:yVal>
            <c:numRef>
              <c:f>[0]!FT_PH19</c:f>
              <c:numCache>
                <c:formatCode>0.00</c:formatCode>
                <c:ptCount val="1"/>
                <c:pt idx="0">
                  <c:v>43.295299999999997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5.2047799999999995</c:v>
                </c:pt>
              </c:numCache>
            </c:numRef>
          </c:xVal>
          <c:yVal>
            <c:numRef>
              <c:f>[0]!FT_PH20</c:f>
              <c:numCache>
                <c:formatCode>0.00</c:formatCode>
                <c:ptCount val="1"/>
                <c:pt idx="0">
                  <c:v>43.295299999999997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5.2047799999999995</c:v>
                </c:pt>
              </c:numCache>
            </c:numRef>
          </c:xVal>
          <c:yVal>
            <c:numRef>
              <c:f>[0]!FT_PH21</c:f>
              <c:numCache>
                <c:formatCode>0.00</c:formatCode>
                <c:ptCount val="1"/>
                <c:pt idx="0">
                  <c:v>43.295299999999997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5.2047799999999995</c:v>
                </c:pt>
              </c:numCache>
            </c:numRef>
          </c:xVal>
          <c:yVal>
            <c:numRef>
              <c:f>[0]!FT_PH22</c:f>
              <c:numCache>
                <c:formatCode>0.00</c:formatCode>
                <c:ptCount val="1"/>
                <c:pt idx="0">
                  <c:v>43.295299999999997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5.2047799999999995</c:v>
                </c:pt>
              </c:numCache>
            </c:numRef>
          </c:xVal>
          <c:yVal>
            <c:numRef>
              <c:f>[0]!FT_PH23</c:f>
              <c:numCache>
                <c:formatCode>0.00</c:formatCode>
                <c:ptCount val="1"/>
                <c:pt idx="0">
                  <c:v>43.295299999999997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5.2047799999999995</c:v>
                </c:pt>
              </c:numCache>
            </c:numRef>
          </c:xVal>
          <c:yVal>
            <c:numRef>
              <c:f>[0]!FT_PH24</c:f>
              <c:numCache>
                <c:formatCode>0.00</c:formatCode>
                <c:ptCount val="1"/>
                <c:pt idx="0">
                  <c:v>43.295299999999997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5.2047799999999995</c:v>
                </c:pt>
              </c:numCache>
            </c:numRef>
          </c:xVal>
          <c:yVal>
            <c:numRef>
              <c:f>info!$H$2</c:f>
              <c:numCache>
                <c:formatCode>0.00</c:formatCode>
                <c:ptCount val="1"/>
                <c:pt idx="0">
                  <c:v>43.295299999999997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0.14042572228982114</c:v>
                </c:pt>
                <c:pt idx="1">
                  <c:v>0.39092153410438235</c:v>
                </c:pt>
                <c:pt idx="2">
                  <c:v>0.46865274360579656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[0]!FT_E</c:f>
              <c:numCache>
                <c:formatCode>0.00</c:formatCode>
                <c:ptCount val="25"/>
                <c:pt idx="0">
                  <c:v>5.2047799999999995</c:v>
                </c:pt>
                <c:pt idx="1">
                  <c:v>5.1342800000000004</c:v>
                </c:pt>
                <c:pt idx="2">
                  <c:v>5.0610400000000002</c:v>
                </c:pt>
                <c:pt idx="3">
                  <c:v>4.9802999999999997</c:v>
                </c:pt>
                <c:pt idx="4">
                  <c:v>4.8938500000000005</c:v>
                </c:pt>
                <c:pt idx="5">
                  <c:v>4.7979099999999999</c:v>
                </c:pt>
                <c:pt idx="6">
                  <c:v>4.7048000000000005</c:v>
                </c:pt>
                <c:pt idx="7">
                  <c:v>4.6159499999999998</c:v>
                </c:pt>
                <c:pt idx="8">
                  <c:v>4.5296799999999999</c:v>
                </c:pt>
                <c:pt idx="9">
                  <c:v>4.4451200000000002</c:v>
                </c:pt>
                <c:pt idx="10">
                  <c:v>4.3628099999999996</c:v>
                </c:pt>
                <c:pt idx="11">
                  <c:v>4.2836600000000002</c:v>
                </c:pt>
                <c:pt idx="12">
                  <c:v>4.2086399999999999</c:v>
                </c:pt>
                <c:pt idx="13">
                  <c:v>4.1388799999999994</c:v>
                </c:pt>
                <c:pt idx="14">
                  <c:v>4.0717699999999999</c:v>
                </c:pt>
                <c:pt idx="15">
                  <c:v>4.0101599999999999</c:v>
                </c:pt>
                <c:pt idx="16">
                  <c:v>3.9555899999999999</c:v>
                </c:pt>
                <c:pt idx="17">
                  <c:v>3.9000499999999998</c:v>
                </c:pt>
                <c:pt idx="18">
                  <c:v>3.8592900000000001</c:v>
                </c:pt>
                <c:pt idx="19">
                  <c:v>3.8355099999999998</c:v>
                </c:pt>
                <c:pt idx="20">
                  <c:v>3.81433</c:v>
                </c:pt>
                <c:pt idx="21">
                  <c:v>3.7919900000000002</c:v>
                </c:pt>
                <c:pt idx="22">
                  <c:v>3.7728299999999999</c:v>
                </c:pt>
                <c:pt idx="23">
                  <c:v>3.7325300000000001</c:v>
                </c:pt>
                <c:pt idx="24">
                  <c:v>3.6966199999999998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5.2047799999999995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5.2047799999999995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5.2047799999999995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5.2047799999999995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5.2047799999999995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5.2047799999999995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5.2047799999999995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5.2047799999999995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5.2047799999999995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5.2047799999999995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5.2047799999999995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5.2047799999999995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5.2047799999999995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5.2047799999999995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5.2047799999999995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5.2047799999999995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5.2047799999999995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5.2047799999999995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5.2047799999999995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5.2047799999999995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5.2047799999999995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5.2047799999999995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5.2047799999999995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5.2047799999999995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0.37838699999999997</c:v>
                </c:pt>
                <c:pt idx="2">
                  <c:v>0.78099499999999999</c:v>
                </c:pt>
                <c:pt idx="3">
                  <c:v>1.19191</c:v>
                </c:pt>
                <c:pt idx="4">
                  <c:v>1.60762</c:v>
                </c:pt>
                <c:pt idx="5">
                  <c:v>2.00088</c:v>
                </c:pt>
                <c:pt idx="6">
                  <c:v>2.40605</c:v>
                </c:pt>
                <c:pt idx="7">
                  <c:v>2.81446</c:v>
                </c:pt>
                <c:pt idx="8">
                  <c:v>3.2166999999999999</c:v>
                </c:pt>
                <c:pt idx="9">
                  <c:v>3.6333099999999998</c:v>
                </c:pt>
                <c:pt idx="10">
                  <c:v>4.0288500000000003</c:v>
                </c:pt>
                <c:pt idx="11">
                  <c:v>4.4344400000000004</c:v>
                </c:pt>
                <c:pt idx="12">
                  <c:v>4.8516300000000001</c:v>
                </c:pt>
                <c:pt idx="13">
                  <c:v>5.2583099999999998</c:v>
                </c:pt>
                <c:pt idx="14">
                  <c:v>5.6621100000000002</c:v>
                </c:pt>
                <c:pt idx="15">
                  <c:v>6.0602400000000003</c:v>
                </c:pt>
                <c:pt idx="16">
                  <c:v>6.4690399999999997</c:v>
                </c:pt>
                <c:pt idx="17">
                  <c:v>6.8754900000000001</c:v>
                </c:pt>
                <c:pt idx="18">
                  <c:v>7.2820200000000002</c:v>
                </c:pt>
                <c:pt idx="19">
                  <c:v>7.6881599999999999</c:v>
                </c:pt>
                <c:pt idx="20">
                  <c:v>8.1086399999999994</c:v>
                </c:pt>
                <c:pt idx="21">
                  <c:v>8.5149299999999997</c:v>
                </c:pt>
                <c:pt idx="22">
                  <c:v>8.9181600000000003</c:v>
                </c:pt>
                <c:pt idx="23">
                  <c:v>9.32531</c:v>
                </c:pt>
                <c:pt idx="24">
                  <c:v>9.7184399999999993</c:v>
                </c:pt>
              </c:numCache>
            </c:numRef>
          </c:xVal>
          <c:yVal>
            <c:numRef>
              <c:f>[0]!FT_PH</c:f>
              <c:numCache>
                <c:formatCode>0.00</c:formatCode>
                <c:ptCount val="25"/>
                <c:pt idx="0">
                  <c:v>43.295299999999997</c:v>
                </c:pt>
                <c:pt idx="1">
                  <c:v>42.461599999999997</c:v>
                </c:pt>
                <c:pt idx="2">
                  <c:v>41.895900000000005</c:v>
                </c:pt>
                <c:pt idx="3">
                  <c:v>41.689399999999999</c:v>
                </c:pt>
                <c:pt idx="4">
                  <c:v>41.677500000000002</c:v>
                </c:pt>
                <c:pt idx="5">
                  <c:v>42.197000000000003</c:v>
                </c:pt>
                <c:pt idx="6">
                  <c:v>42.808</c:v>
                </c:pt>
                <c:pt idx="7">
                  <c:v>43.476599999999998</c:v>
                </c:pt>
                <c:pt idx="8">
                  <c:v>44.246000000000002</c:v>
                </c:pt>
                <c:pt idx="9">
                  <c:v>45.0229</c:v>
                </c:pt>
                <c:pt idx="10">
                  <c:v>45.629399999999997</c:v>
                </c:pt>
                <c:pt idx="11">
                  <c:v>46.209600000000002</c:v>
                </c:pt>
                <c:pt idx="12">
                  <c:v>46.702300000000001</c:v>
                </c:pt>
                <c:pt idx="13">
                  <c:v>47.200699999999998</c:v>
                </c:pt>
                <c:pt idx="14">
                  <c:v>47.6098</c:v>
                </c:pt>
                <c:pt idx="15">
                  <c:v>47.958199999999998</c:v>
                </c:pt>
                <c:pt idx="16">
                  <c:v>48.082099999999997</c:v>
                </c:pt>
                <c:pt idx="17">
                  <c:v>48.144300000000001</c:v>
                </c:pt>
                <c:pt idx="18">
                  <c:v>48.268699999999995</c:v>
                </c:pt>
                <c:pt idx="19">
                  <c:v>48.301699999999997</c:v>
                </c:pt>
                <c:pt idx="20">
                  <c:v>48.259399999999999</c:v>
                </c:pt>
                <c:pt idx="21">
                  <c:v>48.267099999999999</c:v>
                </c:pt>
                <c:pt idx="22">
                  <c:v>48.1402</c:v>
                </c:pt>
                <c:pt idx="23">
                  <c:v>48.212400000000002</c:v>
                </c:pt>
                <c:pt idx="24">
                  <c:v>48.8626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43.295299999999997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43.295299999999997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43.295299999999997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43.295299999999997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43.295299999999997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43.295299999999997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43.295299999999997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43.295299999999997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43.295299999999997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43.295299999999997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43.295299999999997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43.295299999999997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43.295299999999997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43.295299999999997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43.295299999999997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43.295299999999997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43.295299999999997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43.295299999999997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43.295299999999997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43.295299999999997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43.295299999999997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43.295299999999997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43.295299999999997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43.295299999999997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73.22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0.63238131608554371</c:v>
                </c:pt>
                <c:pt idx="1">
                  <c:v>0.63238131608554371</c:v>
                </c:pt>
                <c:pt idx="2">
                  <c:v>-7</c:v>
                </c:pt>
              </c:numCache>
            </c:numRef>
          </c:xVal>
          <c:yVal>
            <c:numRef>
              <c:f>'R'!$I$5:$I$7</c:f>
              <c:numCache>
                <c:formatCode>0.0_ </c:formatCode>
                <c:ptCount val="3"/>
                <c:pt idx="0">
                  <c:v>0</c:v>
                </c:pt>
                <c:pt idx="1">
                  <c:v>73.218598260491447</c:v>
                </c:pt>
                <c:pt idx="2">
                  <c:v>73.218598260491447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0.63238131608554371</c:v>
                </c:pt>
                <c:pt idx="1">
                  <c:v>0.63238131608554371</c:v>
                </c:pt>
                <c:pt idx="2">
                  <c:v>-7</c:v>
                </c:pt>
              </c:numCache>
            </c:numRef>
          </c:xVal>
          <c:yVal>
            <c:numRef>
              <c:f>'R'!$I$5:$I$7</c:f>
              <c:numCache>
                <c:formatCode>0.0_ </c:formatCode>
                <c:ptCount val="3"/>
                <c:pt idx="0">
                  <c:v>0</c:v>
                </c:pt>
                <c:pt idx="1">
                  <c:v>73.218598260491447</c:v>
                </c:pt>
                <c:pt idx="2">
                  <c:v>73.218598260491447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0.63238131608554371</c:v>
                </c:pt>
              </c:numCache>
            </c:numRef>
          </c:xVal>
          <c:yVal>
            <c:numRef>
              <c:f>'R'!$I$4</c:f>
              <c:numCache>
                <c:formatCode>0.00_ </c:formatCode>
                <c:ptCount val="1"/>
                <c:pt idx="0">
                  <c:v>73.218598260491447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52.25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52.253599999999992</c:v>
                </c:pt>
                <c:pt idx="1">
                  <c:v>52.253599999999992</c:v>
                </c:pt>
                <c:pt idx="2">
                  <c:v>0</c:v>
                </c:pt>
              </c:numCache>
            </c:numRef>
          </c:xVal>
          <c:yVal>
            <c:numRef>
              <c:f>'R2'!$I$5:$I$7</c:f>
              <c:numCache>
                <c:formatCode>0.0_ </c:formatCode>
                <c:ptCount val="3"/>
                <c:pt idx="0">
                  <c:v>0</c:v>
                </c:pt>
                <c:pt idx="1">
                  <c:v>54.042858462938391</c:v>
                </c:pt>
                <c:pt idx="2">
                  <c:v>54.042858462938391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2.0725799999999999</c:v>
                </c:pt>
                <c:pt idx="1">
                  <c:v>2.0725799999999999</c:v>
                </c:pt>
                <c:pt idx="2">
                  <c:v>0</c:v>
                </c:pt>
              </c:numCache>
            </c:numRef>
          </c:xVal>
          <c:yVal>
            <c:numRef>
              <c:f>'R3'!$I$6:$I$8</c:f>
              <c:numCache>
                <c:formatCode>0.0_ </c:formatCode>
                <c:ptCount val="3"/>
                <c:pt idx="0">
                  <c:v>0</c:v>
                </c:pt>
                <c:pt idx="1">
                  <c:v>59.564026191879037</c:v>
                </c:pt>
                <c:pt idx="2">
                  <c:v>59.564026191879037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2.0725799999999999</c:v>
                </c:pt>
                <c:pt idx="1">
                  <c:v>2.0725799999999999</c:v>
                </c:pt>
                <c:pt idx="2">
                  <c:v>0</c:v>
                </c:pt>
              </c:numCache>
            </c:numRef>
          </c:xVal>
          <c:yVal>
            <c:numRef>
              <c:f>'R4'!$I$5:$I$7</c:f>
              <c:numCache>
                <c:formatCode>0.0_ </c:formatCode>
                <c:ptCount val="3"/>
                <c:pt idx="0">
                  <c:v>0</c:v>
                </c:pt>
                <c:pt idx="1">
                  <c:v>7.2256047333167289E-2</c:v>
                </c:pt>
                <c:pt idx="2">
                  <c:v>7.2256047333167289E-2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0.59113998924707811</c:v>
                </c:pt>
                <c:pt idx="1">
                  <c:v>0.28877193695272774</c:v>
                </c:pt>
                <c:pt idx="2">
                  <c:v>0.12008807380019407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0.18340153966184711</c:v>
                </c:pt>
                <c:pt idx="1">
                  <c:v>0.51055896364730258</c:v>
                </c:pt>
                <c:pt idx="2">
                  <c:v>0.30603949669085029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(88.9 , 59.6)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88.922601962906072</c:v>
                      </c:pt>
                    </c:numCache>
                  </c:numRef>
                </c:xVal>
                <c:yVal>
                  <c:numRef>
                    <c:extLst>
                      <c:ext uri="{02D57815-91ED-43cb-92C2-25804820EDAC}">
                        <c15:formulaRef>
                          <c15:sqref>info!$W$20:$W$21</c15:sqref>
                        </c15:formulaRef>
                      </c:ext>
                    </c:extLst>
                    <c:numCache>
                      <c:formatCode>General</c:formatCode>
                      <c:ptCount val="2"/>
                      <c:pt idx="0">
                        <c:v>50</c:v>
                      </c:pt>
                      <c:pt idx="1">
                        <c:v>59.564026191879037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57.230899999999998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53.901199999999996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9\vision%5e3hqB%5e1%5e1%5e\2025-05-09%2014_58_5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9\vision%5e3hqB%5e1%5e1%5e\2025-05-09%2014_58_5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E0BF4C9-CA81-CD14-A36D-993D9C763ED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4AE4098-F33D-088C-C576-BC8EC8403EF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45786.624409722222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3hqB</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45786.624409722222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3hqB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0.63238131608554371</v>
      </c>
      <c r="I20" s="862"/>
      <c r="J20" s="311" t="str">
        <f>lang!B174</f>
        <v>정보량</v>
      </c>
      <c r="K20" s="236">
        <f ca="1">info!N9</f>
        <v>45.784748</v>
      </c>
      <c r="L20" s="312" t="str">
        <f>lang!B175</f>
        <v>에너지</v>
      </c>
      <c r="M20" s="863">
        <f ca="1">info!M9</f>
        <v>4.3120947999999997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32.394399999999997</v>
      </c>
      <c r="N32" s="816"/>
      <c r="O32" s="817">
        <f>Measurement!N7</f>
        <v>46.749400000000001</v>
      </c>
      <c r="P32" s="818"/>
      <c r="Q32" s="819">
        <f>Measurement!T7</f>
        <v>53.019199999999998</v>
      </c>
      <c r="R32" s="820"/>
    </row>
    <row r="33" spans="3:18" ht="12.75" customHeight="1">
      <c r="C33" s="77"/>
      <c r="I33" s="502">
        <f>Measurement!L8</f>
        <v>3</v>
      </c>
      <c r="J33" s="139" t="str">
        <f>lang!B15</f>
        <v>스트레스</v>
      </c>
      <c r="K33" s="90" t="s">
        <v>226</v>
      </c>
      <c r="L33" s="504" t="str">
        <f>Measurement!Y8</f>
        <v>보통</v>
      </c>
      <c r="M33" s="792">
        <f>Measurement!R8</f>
        <v>25.062000000000001</v>
      </c>
      <c r="N33" s="793"/>
      <c r="O33" s="806">
        <f>Measurement!N8</f>
        <v>28.853200000000001</v>
      </c>
      <c r="P33" s="807"/>
      <c r="Q33" s="792">
        <f>Measurement!T8</f>
        <v>29.807400000000001</v>
      </c>
      <c r="R33" s="808"/>
    </row>
    <row r="34" spans="3:18" ht="12.75" customHeight="1">
      <c r="C34" s="77"/>
      <c r="I34" s="502">
        <f>Measurement!L9</f>
        <v>2</v>
      </c>
      <c r="J34" s="139" t="str">
        <f>lang!B16</f>
        <v>불안</v>
      </c>
      <c r="K34" s="90" t="s">
        <v>227</v>
      </c>
      <c r="L34" s="504" t="str">
        <f>Measurement!Y9</f>
        <v>낮음</v>
      </c>
      <c r="M34" s="792">
        <f>Measurement!R9</f>
        <v>5.96692</v>
      </c>
      <c r="N34" s="793"/>
      <c r="O34" s="806">
        <f>Measurement!N9</f>
        <v>16.3035</v>
      </c>
      <c r="P34" s="807"/>
      <c r="Q34" s="792">
        <f>Measurement!T9</f>
        <v>31.4832</v>
      </c>
      <c r="R34" s="808"/>
    </row>
    <row r="35" spans="3:18" ht="12.75" customHeight="1">
      <c r="C35" s="77"/>
      <c r="I35" s="502">
        <f>Measurement!L10</f>
        <v>3</v>
      </c>
      <c r="J35" s="139" t="str">
        <f>lang!B17</f>
        <v>의심</v>
      </c>
      <c r="K35" s="90" t="s">
        <v>225</v>
      </c>
      <c r="L35" s="504" t="str">
        <f>Measurement!Y10</f>
        <v>보통</v>
      </c>
      <c r="M35" s="792">
        <f>Measurement!R10</f>
        <v>29.0929</v>
      </c>
      <c r="N35" s="793"/>
      <c r="O35" s="806">
        <f>Measurement!N10</f>
        <v>30.338799999999999</v>
      </c>
      <c r="P35" s="807"/>
      <c r="Q35" s="792">
        <f>Measurement!T10</f>
        <v>34.138300000000001</v>
      </c>
      <c r="R35" s="808"/>
    </row>
    <row r="36" spans="3:18" ht="12.75" customHeight="1">
      <c r="C36" s="77"/>
      <c r="I36" s="502">
        <f>Measurement!L11</f>
        <v>3</v>
      </c>
      <c r="J36" s="139" t="str">
        <f>lang!B18</f>
        <v>밸런스</v>
      </c>
      <c r="K36" s="90" t="s">
        <v>2171</v>
      </c>
      <c r="L36" s="504" t="str">
        <f>Measurement!Y11</f>
        <v>보통</v>
      </c>
      <c r="M36" s="792">
        <f>Measurement!R11</f>
        <v>58.836199999999998</v>
      </c>
      <c r="N36" s="793"/>
      <c r="O36" s="806">
        <f>Measurement!N11</f>
        <v>69.594999999999999</v>
      </c>
      <c r="P36" s="807"/>
      <c r="Q36" s="792">
        <f>Measurement!T11</f>
        <v>73.584999999999994</v>
      </c>
      <c r="R36" s="808"/>
    </row>
    <row r="37" spans="3:18" ht="12.75" customHeight="1">
      <c r="C37" s="77"/>
      <c r="I37" s="502">
        <f>Measurement!L12</f>
        <v>3</v>
      </c>
      <c r="J37" s="139" t="str">
        <f>lang!B19</f>
        <v>카리스마</v>
      </c>
      <c r="K37" s="90" t="s">
        <v>229</v>
      </c>
      <c r="L37" s="504" t="str">
        <f>Measurement!Y12</f>
        <v>보통</v>
      </c>
      <c r="M37" s="792">
        <f>Measurement!R12</f>
        <v>71.874899999999997</v>
      </c>
      <c r="N37" s="793"/>
      <c r="O37" s="806">
        <f>Measurement!N12</f>
        <v>74.682400000000001</v>
      </c>
      <c r="P37" s="807"/>
      <c r="Q37" s="792">
        <f>Measurement!T12</f>
        <v>77.934799999999996</v>
      </c>
      <c r="R37" s="808"/>
    </row>
    <row r="38" spans="3:18" ht="12.75" customHeight="1">
      <c r="C38" s="77"/>
      <c r="I38" s="502">
        <f>Measurement!L13</f>
        <v>3</v>
      </c>
      <c r="J38" s="139" t="str">
        <f>lang!B20</f>
        <v>에너지</v>
      </c>
      <c r="K38" s="90" t="s">
        <v>2170</v>
      </c>
      <c r="L38" s="504" t="str">
        <f>Measurement!Y13</f>
        <v>보통</v>
      </c>
      <c r="M38" s="792">
        <f>Measurement!R13</f>
        <v>26.456800000000001</v>
      </c>
      <c r="N38" s="793"/>
      <c r="O38" s="806">
        <f>Measurement!N13</f>
        <v>33.508499999999998</v>
      </c>
      <c r="P38" s="807"/>
      <c r="Q38" s="792">
        <f>Measurement!T13</f>
        <v>43.304000000000002</v>
      </c>
      <c r="R38" s="808"/>
    </row>
    <row r="39" spans="3:18" ht="12.75" customHeight="1">
      <c r="C39" s="77"/>
      <c r="I39" s="502">
        <f>Measurement!L14</f>
        <v>3</v>
      </c>
      <c r="J39" s="139" t="str">
        <f>lang!B21</f>
        <v>자기조절</v>
      </c>
      <c r="K39" s="90" t="s">
        <v>230</v>
      </c>
      <c r="L39" s="504" t="str">
        <f>Measurement!Y14</f>
        <v>보통</v>
      </c>
      <c r="M39" s="792">
        <f>Measurement!R14</f>
        <v>66.318200000000004</v>
      </c>
      <c r="N39" s="793"/>
      <c r="O39" s="806">
        <f>Measurement!N14</f>
        <v>72.459500000000006</v>
      </c>
      <c r="P39" s="807"/>
      <c r="Q39" s="792">
        <f>Measurement!T14</f>
        <v>74.5976</v>
      </c>
      <c r="R39" s="808"/>
    </row>
    <row r="40" spans="3:18" ht="12.75" customHeight="1">
      <c r="C40" s="77"/>
      <c r="I40" s="502">
        <f>Measurement!L15</f>
        <v>3</v>
      </c>
      <c r="J40" s="139" t="str">
        <f>lang!B22</f>
        <v>억제</v>
      </c>
      <c r="K40" s="91" t="s">
        <v>248</v>
      </c>
      <c r="L40" s="504" t="str">
        <f>Measurement!Y15</f>
        <v>보통</v>
      </c>
      <c r="M40" s="792">
        <f>Measurement!R15</f>
        <v>12.8642</v>
      </c>
      <c r="N40" s="793"/>
      <c r="O40" s="806">
        <f>Measurement!N15</f>
        <v>17.825500000000002</v>
      </c>
      <c r="P40" s="807"/>
      <c r="Q40" s="792">
        <f>Measurement!T15</f>
        <v>24.359000000000002</v>
      </c>
      <c r="R40" s="808"/>
    </row>
    <row r="41" spans="3:18" ht="12.75" customHeight="1" thickBot="1">
      <c r="C41" s="77"/>
      <c r="I41" s="502">
        <f>Measurement!L16</f>
        <v>3</v>
      </c>
      <c r="J41" s="140" t="str">
        <f>lang!B23</f>
        <v>신경성</v>
      </c>
      <c r="K41" s="92" t="s">
        <v>231</v>
      </c>
      <c r="L41" s="504" t="str">
        <f>Measurement!Y16</f>
        <v>보통</v>
      </c>
      <c r="M41" s="794">
        <f>Measurement!R16</f>
        <v>1.11568</v>
      </c>
      <c r="N41" s="795"/>
      <c r="O41" s="796">
        <f>Measurement!N16</f>
        <v>33.011000000000003</v>
      </c>
      <c r="P41" s="797"/>
      <c r="Q41" s="794">
        <f>Measurement!T16</f>
        <v>33.389099999999999</v>
      </c>
      <c r="R41" s="798"/>
    </row>
    <row r="42" spans="3:18" ht="29.25" customHeight="1" thickBot="1">
      <c r="C42" s="77"/>
      <c r="I42" s="84"/>
      <c r="J42" s="780" t="str">
        <f>lang!B215</f>
        <v>감정변이도</v>
      </c>
      <c r="K42" s="781"/>
      <c r="L42" s="319" t="str">
        <f>info!V43</f>
        <v>보통</v>
      </c>
      <c r="M42" s="782">
        <f>info!W43</f>
        <v>14.3591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2.0725799999999999</v>
      </c>
      <c r="E44" s="249" t="s">
        <v>1072</v>
      </c>
      <c r="G44" s="289"/>
      <c r="H44" s="289"/>
      <c r="I44" s="290"/>
      <c r="J44" s="802">
        <f>info!$W$36</f>
        <v>52.253599999999992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45786.624409722222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3hqB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0.63238131608554371</v>
      </c>
      <c r="I20" s="862"/>
      <c r="J20" s="311" t="str">
        <f>lang!B174</f>
        <v>정보량</v>
      </c>
      <c r="K20" s="236">
        <f ca="1">info!N9</f>
        <v>45.784748</v>
      </c>
      <c r="L20" s="312" t="str">
        <f>lang!B175</f>
        <v>에너지</v>
      </c>
      <c r="M20" s="863">
        <f ca="1">info!M9</f>
        <v>4.3120947999999997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32.394399999999997</v>
      </c>
      <c r="N32" s="816"/>
      <c r="O32" s="817">
        <f>Measurement!N7</f>
        <v>46.749400000000001</v>
      </c>
      <c r="P32" s="818"/>
      <c r="Q32" s="819">
        <f>Measurement!T7</f>
        <v>53.019199999999998</v>
      </c>
      <c r="R32" s="820"/>
    </row>
    <row r="33" spans="3:18" ht="12.75" customHeight="1">
      <c r="C33" s="77"/>
      <c r="I33" s="502">
        <f>Measurement!L8</f>
        <v>3</v>
      </c>
      <c r="J33" s="139" t="str">
        <f>lang!B15</f>
        <v>스트레스</v>
      </c>
      <c r="K33" s="90" t="s">
        <v>226</v>
      </c>
      <c r="L33" s="504" t="str">
        <f>Measurement!Y8</f>
        <v>보통</v>
      </c>
      <c r="M33" s="792">
        <f>Measurement!R8</f>
        <v>25.062000000000001</v>
      </c>
      <c r="N33" s="793"/>
      <c r="O33" s="806">
        <f>Measurement!N8</f>
        <v>28.853200000000001</v>
      </c>
      <c r="P33" s="807"/>
      <c r="Q33" s="792">
        <f>Measurement!T8</f>
        <v>29.807400000000001</v>
      </c>
      <c r="R33" s="808"/>
    </row>
    <row r="34" spans="3:18" ht="12.75" customHeight="1">
      <c r="C34" s="77"/>
      <c r="I34" s="502">
        <f>Measurement!L9</f>
        <v>2</v>
      </c>
      <c r="J34" s="139" t="str">
        <f>lang!B16</f>
        <v>불안</v>
      </c>
      <c r="K34" s="90" t="s">
        <v>227</v>
      </c>
      <c r="L34" s="504" t="str">
        <f>Measurement!Y9</f>
        <v>낮음</v>
      </c>
      <c r="M34" s="792">
        <f>Measurement!R9</f>
        <v>5.96692</v>
      </c>
      <c r="N34" s="793"/>
      <c r="O34" s="806">
        <f>Measurement!N9</f>
        <v>16.3035</v>
      </c>
      <c r="P34" s="807"/>
      <c r="Q34" s="792">
        <f>Measurement!T9</f>
        <v>31.4832</v>
      </c>
      <c r="R34" s="808"/>
    </row>
    <row r="35" spans="3:18" ht="12.75" customHeight="1">
      <c r="C35" s="77"/>
      <c r="I35" s="502">
        <f>Measurement!L10</f>
        <v>3</v>
      </c>
      <c r="J35" s="139" t="str">
        <f>lang!B17</f>
        <v>의심</v>
      </c>
      <c r="K35" s="90" t="s">
        <v>225</v>
      </c>
      <c r="L35" s="504" t="str">
        <f>Measurement!Y10</f>
        <v>보통</v>
      </c>
      <c r="M35" s="792">
        <f>Measurement!R10</f>
        <v>29.0929</v>
      </c>
      <c r="N35" s="793"/>
      <c r="O35" s="806">
        <f>Measurement!N10</f>
        <v>30.338799999999999</v>
      </c>
      <c r="P35" s="807"/>
      <c r="Q35" s="792">
        <f>Measurement!T10</f>
        <v>34.138300000000001</v>
      </c>
      <c r="R35" s="808"/>
    </row>
    <row r="36" spans="3:18" ht="12.75" customHeight="1">
      <c r="C36" s="77"/>
      <c r="I36" s="502">
        <f>Measurement!L11</f>
        <v>3</v>
      </c>
      <c r="J36" s="139" t="str">
        <f>lang!B18</f>
        <v>밸런스</v>
      </c>
      <c r="K36" s="90" t="s">
        <v>2171</v>
      </c>
      <c r="L36" s="504" t="str">
        <f>Measurement!Y11</f>
        <v>보통</v>
      </c>
      <c r="M36" s="792">
        <f>Measurement!R11</f>
        <v>58.836199999999998</v>
      </c>
      <c r="N36" s="793"/>
      <c r="O36" s="806">
        <f>Measurement!N11</f>
        <v>69.594999999999999</v>
      </c>
      <c r="P36" s="807"/>
      <c r="Q36" s="792">
        <f>Measurement!T11</f>
        <v>73.584999999999994</v>
      </c>
      <c r="R36" s="808"/>
    </row>
    <row r="37" spans="3:18" ht="12.75" customHeight="1">
      <c r="C37" s="77"/>
      <c r="I37" s="502">
        <f>Measurement!L12</f>
        <v>3</v>
      </c>
      <c r="J37" s="139" t="str">
        <f>lang!B19</f>
        <v>카리스마</v>
      </c>
      <c r="K37" s="90" t="s">
        <v>229</v>
      </c>
      <c r="L37" s="504" t="str">
        <f>Measurement!Y12</f>
        <v>보통</v>
      </c>
      <c r="M37" s="792">
        <f>Measurement!R12</f>
        <v>71.874899999999997</v>
      </c>
      <c r="N37" s="793"/>
      <c r="O37" s="806">
        <f>Measurement!N12</f>
        <v>74.682400000000001</v>
      </c>
      <c r="P37" s="807"/>
      <c r="Q37" s="792">
        <f>Measurement!T12</f>
        <v>77.934799999999996</v>
      </c>
      <c r="R37" s="808"/>
    </row>
    <row r="38" spans="3:18" ht="12.75" customHeight="1">
      <c r="C38" s="77"/>
      <c r="I38" s="502">
        <f>Measurement!L13</f>
        <v>3</v>
      </c>
      <c r="J38" s="139" t="str">
        <f>lang!B20</f>
        <v>에너지</v>
      </c>
      <c r="K38" s="90" t="s">
        <v>2170</v>
      </c>
      <c r="L38" s="504" t="str">
        <f>Measurement!Y13</f>
        <v>보통</v>
      </c>
      <c r="M38" s="792">
        <f>Measurement!R13</f>
        <v>26.456800000000001</v>
      </c>
      <c r="N38" s="793"/>
      <c r="O38" s="806">
        <f>Measurement!N13</f>
        <v>33.508499999999998</v>
      </c>
      <c r="P38" s="807"/>
      <c r="Q38" s="792">
        <f>Measurement!T13</f>
        <v>43.304000000000002</v>
      </c>
      <c r="R38" s="808"/>
    </row>
    <row r="39" spans="3:18" ht="12.75" customHeight="1">
      <c r="C39" s="77"/>
      <c r="I39" s="502">
        <f>Measurement!L14</f>
        <v>3</v>
      </c>
      <c r="J39" s="139" t="str">
        <f>lang!B21</f>
        <v>자기조절</v>
      </c>
      <c r="K39" s="90" t="s">
        <v>230</v>
      </c>
      <c r="L39" s="504" t="str">
        <f>Measurement!Y14</f>
        <v>보통</v>
      </c>
      <c r="M39" s="792">
        <f>Measurement!R14</f>
        <v>66.318200000000004</v>
      </c>
      <c r="N39" s="793"/>
      <c r="O39" s="806">
        <f>Measurement!N14</f>
        <v>72.459500000000006</v>
      </c>
      <c r="P39" s="807"/>
      <c r="Q39" s="792">
        <f>Measurement!T14</f>
        <v>74.5976</v>
      </c>
      <c r="R39" s="808"/>
    </row>
    <row r="40" spans="3:18" ht="12.75" customHeight="1">
      <c r="C40" s="77"/>
      <c r="I40" s="502">
        <f>Measurement!L15</f>
        <v>3</v>
      </c>
      <c r="J40" s="139" t="str">
        <f>lang!B22</f>
        <v>억제</v>
      </c>
      <c r="K40" s="91" t="s">
        <v>248</v>
      </c>
      <c r="L40" s="504" t="str">
        <f>Measurement!Y15</f>
        <v>보통</v>
      </c>
      <c r="M40" s="792">
        <f>Measurement!R15</f>
        <v>12.8642</v>
      </c>
      <c r="N40" s="793"/>
      <c r="O40" s="806">
        <f>Measurement!N15</f>
        <v>17.825500000000002</v>
      </c>
      <c r="P40" s="807"/>
      <c r="Q40" s="792">
        <f>Measurement!T15</f>
        <v>24.359000000000002</v>
      </c>
      <c r="R40" s="808"/>
    </row>
    <row r="41" spans="3:18" ht="12.75" customHeight="1" thickBot="1">
      <c r="C41" s="77"/>
      <c r="I41" s="502">
        <f>Measurement!L16</f>
        <v>3</v>
      </c>
      <c r="J41" s="140" t="str">
        <f>lang!B23</f>
        <v>신경성</v>
      </c>
      <c r="K41" s="92" t="s">
        <v>231</v>
      </c>
      <c r="L41" s="504" t="str">
        <f>Measurement!Y16</f>
        <v>보통</v>
      </c>
      <c r="M41" s="794">
        <f>Measurement!R16</f>
        <v>1.11568</v>
      </c>
      <c r="N41" s="795"/>
      <c r="O41" s="796">
        <f>Measurement!N16</f>
        <v>33.011000000000003</v>
      </c>
      <c r="P41" s="797"/>
      <c r="Q41" s="794">
        <f>Measurement!T16</f>
        <v>33.389099999999999</v>
      </c>
      <c r="R41" s="798"/>
    </row>
    <row r="42" spans="3:18" ht="29.25" customHeight="1" thickBot="1">
      <c r="C42" s="77"/>
      <c r="I42" s="84"/>
      <c r="J42" s="780" t="str">
        <f>lang!B215</f>
        <v>감정변이도</v>
      </c>
      <c r="K42" s="781"/>
      <c r="L42" s="319" t="str">
        <f>info!V43</f>
        <v>보통</v>
      </c>
      <c r="M42" s="782">
        <f>info!W43</f>
        <v>14.3591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2.0725799999999999</v>
      </c>
      <c r="E44" s="249" t="s">
        <v>1195</v>
      </c>
      <c r="G44" s="289"/>
      <c r="H44" s="289"/>
      <c r="I44" s="290"/>
      <c r="J44" s="802">
        <f>info!$W$36</f>
        <v>52.253599999999992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45786.624409722222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3hqB</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(-0.07,-0.12)</v>
      </c>
      <c r="S18" s="966"/>
      <c r="T18" s="967"/>
    </row>
    <row r="19" spans="2:22" ht="16.5" customHeight="1">
      <c r="C19" s="136" t="str">
        <f>lang!B328</f>
        <v>최소값</v>
      </c>
      <c r="D19" s="105">
        <f ca="1">info!M7</f>
        <v>41.677500000000002</v>
      </c>
      <c r="E19" s="94" t="str">
        <f>lang!B330</f>
        <v>평균값</v>
      </c>
      <c r="F19" s="971">
        <f ca="1">info!N9</f>
        <v>45.784748</v>
      </c>
      <c r="G19" s="972"/>
      <c r="H19" s="912" t="str">
        <f>lang!B329</f>
        <v>최대값</v>
      </c>
      <c r="I19" s="913"/>
      <c r="J19" s="105">
        <f ca="1">info!M8</f>
        <v>48.8626</v>
      </c>
      <c r="K19" s="137" t="str">
        <f>lang!B328</f>
        <v>최소값</v>
      </c>
      <c r="L19" s="105">
        <f ca="1">info!M5</f>
        <v>3.6966199999999998</v>
      </c>
      <c r="M19" s="94" t="str">
        <f>lang!B330</f>
        <v>평균값</v>
      </c>
      <c r="N19" s="971">
        <f ca="1">info!M9</f>
        <v>4.3120947999999997</v>
      </c>
      <c r="O19" s="972">
        <f>info!T9</f>
        <v>1</v>
      </c>
      <c r="P19" s="94" t="str">
        <f>lang!B329</f>
        <v>최대값</v>
      </c>
      <c r="Q19" s="105">
        <f ca="1">info!M6</f>
        <v>5.2047799999999995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10.809514967899464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2.0725820000000001</v>
      </c>
      <c r="N47" s="986"/>
      <c r="O47" s="451"/>
      <c r="P47" s="491" t="s">
        <v>1101</v>
      </c>
      <c r="Q47" s="987">
        <f>hist!M3</f>
        <v>0.51102999999999998</v>
      </c>
      <c r="R47" s="986"/>
      <c r="S47" s="451"/>
      <c r="T47" s="452"/>
    </row>
    <row r="48" spans="3:20" ht="18" customHeight="1">
      <c r="C48" s="931"/>
      <c r="D48" s="910"/>
      <c r="E48" s="910"/>
      <c r="F48" s="355"/>
      <c r="G48" s="355"/>
      <c r="H48" s="356"/>
      <c r="I48" s="356"/>
      <c r="J48" s="951"/>
      <c r="K48" s="951"/>
      <c r="L48" s="936"/>
      <c r="M48" s="988">
        <f>hist!N2</f>
        <v>0.52676000000000001</v>
      </c>
      <c r="N48" s="989"/>
      <c r="O48" s="451"/>
      <c r="P48" s="491" t="s">
        <v>1102</v>
      </c>
      <c r="Q48" s="986">
        <f>hist!N3</f>
        <v>0.45913799999999999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0.27747699999999997</v>
      </c>
      <c r="N49" s="991"/>
      <c r="O49" s="453"/>
      <c r="P49" s="454" t="s">
        <v>1588</v>
      </c>
      <c r="Q49" s="992">
        <f>hist!O3</f>
        <v>0.210808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vision^3hqB^1^1^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88.922601962906072</v>
      </c>
      <c r="CK4" s="422">
        <f>info!W21</f>
        <v>59.564026191879037</v>
      </c>
      <c r="CL4">
        <f>100-M!B19*100</f>
        <v>53.901199999999996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45786.624409722222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14.3591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46.749400000000001</v>
      </c>
      <c r="O7" s="48">
        <f>M!C5*1</f>
        <v>4.73766</v>
      </c>
      <c r="P7" s="48">
        <f>M!D5*1</f>
        <v>10.1342</v>
      </c>
      <c r="Q7" s="48">
        <f>M!E5*1</f>
        <v>20</v>
      </c>
      <c r="R7" s="48">
        <f>IF(M!B5="","",M!F5*1)</f>
        <v>32.394399999999997</v>
      </c>
      <c r="S7" s="48">
        <f>M!G5*1</f>
        <v>50</v>
      </c>
      <c r="T7" s="48">
        <f>IF(M!B5="","",M!H5*1)</f>
        <v>53.019199999999998</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1.2921431089092634</v>
      </c>
      <c r="AI7" s="98">
        <v>2.5024862326905418E-2</v>
      </c>
      <c r="AJ7" s="98">
        <v>-7.7313821231156016E-2</v>
      </c>
      <c r="AK7" s="98">
        <v>0.50012525104428274</v>
      </c>
      <c r="AL7" s="98">
        <v>-8.545985269705475E-2</v>
      </c>
      <c r="AM7" s="98">
        <f>$AH7*AI7+$AH8*AI8+$AH9*AI9+$AH10*AI10+$AH11*AI11+$AH12*AI12+$AH13*AI13+$AH14*AI14+$AH15*AI15+$AH16*AI16</f>
        <v>0.4419377313932154</v>
      </c>
      <c r="AN7" s="98">
        <f t="shared" ref="AN7:AP7" si="2">$AH7*AJ7+$AH8*AJ8+$AH9*AJ9+$AH10*AJ10+$AH11*AJ11+$AH12*AJ12+$AH13*AJ13+$AH14*AJ14+$AH15*AJ15+$AH16*AJ16</f>
        <v>-0.14052940286076426</v>
      </c>
      <c r="AO7" s="98">
        <f t="shared" si="2"/>
        <v>1.3785782620345399</v>
      </c>
      <c r="AP7" s="98">
        <f t="shared" si="2"/>
        <v>0.13763106182755203</v>
      </c>
      <c r="AQ7" s="335">
        <f>IF(SUM(N7:N16)&gt;0, 0.8608*AM7+0.333*AN7+0.104*AO7+1.129*AP7,"")</f>
        <v>0.63238131608554371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46.749400000000001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325.3225411410001</v>
      </c>
      <c r="BL7" s="56">
        <f t="shared" ref="BL7:BT7" si="3">BB7*$AY7+BB8*$AY8+BB9*$AY9+BB10*$AY10+BB11*$AY11+BB12*$AY12+BB13*$AY13+BB14</f>
        <v>320.64682157500005</v>
      </c>
      <c r="BM7" s="56">
        <f t="shared" si="3"/>
        <v>308.20067987200002</v>
      </c>
      <c r="BN7" s="56">
        <f t="shared" si="3"/>
        <v>328.04878010499993</v>
      </c>
      <c r="BO7" s="56">
        <f t="shared" si="3"/>
        <v>332.10486625900012</v>
      </c>
      <c r="BP7" s="56">
        <f t="shared" si="3"/>
        <v>295.78978411999992</v>
      </c>
      <c r="BQ7" s="56">
        <f t="shared" si="3"/>
        <v>310.17146481599991</v>
      </c>
      <c r="BR7" s="56">
        <f t="shared" si="3"/>
        <v>311.91435385799991</v>
      </c>
      <c r="BS7" s="56">
        <f t="shared" si="3"/>
        <v>317.71048339700002</v>
      </c>
      <c r="BT7" s="56">
        <f t="shared" si="3"/>
        <v>290.00513298100003</v>
      </c>
      <c r="BU7" s="56">
        <f>EXP(BK7)+EXP(BL7)+EXP(BM7)+EXP(BN7)+EXP(BO7)+EXP(BP7)+EXP(BQ7)+EXP(BR7)+EXP(BS7)+EXP(BT7)</f>
        <v>1.7348239675645196E+144</v>
      </c>
      <c r="BV7" s="56">
        <f>IF(SUM($AY$7:$AY$13)&gt;0,EXP(BK7)/$BU$7,"")</f>
        <v>1.1130868261923505E-3</v>
      </c>
      <c r="BW7" s="56">
        <f t="shared" ref="BW7:CE7" si="4">IF(SUM($AY$7:$AY$13)&gt;0,EXP(BL7)/$BU$7,"")</f>
        <v>1.0372652683933748E-5</v>
      </c>
      <c r="BX7" s="56">
        <f t="shared" si="4"/>
        <v>4.079427072534976E-11</v>
      </c>
      <c r="BY7" s="56">
        <f t="shared" si="4"/>
        <v>1.7002766127548544E-2</v>
      </c>
      <c r="BZ7" s="56">
        <f t="shared" si="4"/>
        <v>0.98187322201778016</v>
      </c>
      <c r="CA7" s="56">
        <f t="shared" si="4"/>
        <v>1.6619411191990597E-16</v>
      </c>
      <c r="CB7" s="56">
        <f t="shared" si="4"/>
        <v>2.9275222188537769E-10</v>
      </c>
      <c r="CC7" s="56">
        <f t="shared" si="4"/>
        <v>1.6727355750833364E-9</v>
      </c>
      <c r="CD7" s="56">
        <f t="shared" si="4"/>
        <v>5.5036951284005096E-7</v>
      </c>
      <c r="CE7" s="56">
        <f t="shared" si="4"/>
        <v>5.10944306025231E-19</v>
      </c>
      <c r="CF7" s="418" t="s">
        <v>1870</v>
      </c>
      <c r="CG7" s="221">
        <f>IF(SUM($AY$7:$AY$13)&gt;0,HLOOKUP(1,$BV$6:$CE$7,2,FALSE),"")</f>
        <v>0.98187322201778016</v>
      </c>
      <c r="CH7" s="221">
        <f>IF(SUM($AY$7:$AY$13)&gt;0,HLOOKUP(2,$BV$6:$CE$7,2,FALSE),"")</f>
        <v>1.7002766127548544E-2</v>
      </c>
      <c r="CI7" s="425" t="str">
        <f>"( "&amp;IF(CG7&lt;&gt;"",ROUND(CG7*100,0),"")&amp;" , "&amp;IF(CH7&lt;&gt;"",ROUND(CH7*100,0),"")&amp;" )"</f>
        <v>( 98 , 2 )</v>
      </c>
      <c r="CJ7" s="420">
        <f>CG7</f>
        <v>0.98187322201778016</v>
      </c>
      <c r="CK7" s="420">
        <f>CH7</f>
        <v>1.7002766127548544E-2</v>
      </c>
      <c r="CL7" s="425" t="str">
        <f>CI7</f>
        <v>( 98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46.749400000000001</v>
      </c>
      <c r="DJ7" s="265">
        <f>(DI7-$DB7)/$DC7</f>
        <v>1.5235877288270347</v>
      </c>
      <c r="DK7" s="266">
        <f>IF(DH7=1,(DJ7-DF7)^2,0)</f>
        <v>0.14229035456982936</v>
      </c>
      <c r="DL7" s="267">
        <f>IF(DH7=1,(DJ7-DG7)^2,0)</f>
        <v>0.25882195151814308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28.853200000000001</v>
      </c>
      <c r="O8" s="48">
        <f>M!C6*1</f>
        <v>1.28932</v>
      </c>
      <c r="P8" s="48">
        <f>M!D6*1</f>
        <v>4.4685600000000001</v>
      </c>
      <c r="Q8" s="48">
        <f>M!E6*1</f>
        <v>20</v>
      </c>
      <c r="R8" s="48">
        <f>IF(M!B6="","",M!F6*1)</f>
        <v>25.062000000000001</v>
      </c>
      <c r="S8" s="48">
        <f>M!G6*1</f>
        <v>40</v>
      </c>
      <c r="T8" s="48">
        <f>IF(M!B6="","",M!H6*1)</f>
        <v>29.807400000000001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0.63264685944038013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28.853200000000001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28.853200000000001</v>
      </c>
      <c r="DJ8" s="265">
        <f t="shared" ref="DJ8:DJ14" si="8">(DI8-$DB8)/$DC8</f>
        <v>-0.45233968904453198</v>
      </c>
      <c r="DK8" s="273">
        <f t="shared" ref="DK8:DK14" si="9">IF(DH8=1,(DJ8-DF8)^2,0)</f>
        <v>1.061517889919289</v>
      </c>
      <c r="DL8" s="274">
        <f t="shared" ref="DL8:DL14" si="10">IF(DH8=1,(DJ8-DG8)^2,0)</f>
        <v>0.52394561591896927</v>
      </c>
    </row>
    <row r="9" spans="2:119" s="5" customFormat="1" ht="24.75" customHeight="1" thickBot="1">
      <c r="B9" s="62" t="str">
        <f>CONCATENATE(M7,"
(20 ~ 50)")</f>
        <v>적극/공격성
(20 ~ 50)</v>
      </c>
      <c r="C9" s="63">
        <f>R7</f>
        <v>32.394399999999997</v>
      </c>
      <c r="D9" s="64">
        <f>N7</f>
        <v>46.749400000000001</v>
      </c>
      <c r="E9" s="65">
        <f>T7</f>
        <v>53.019199999999998</v>
      </c>
      <c r="F9" s="65">
        <f>P7</f>
        <v>10.1342</v>
      </c>
      <c r="G9" s="66" t="str">
        <f>CONCATENATE(M8,"
(20 ~ 40)")</f>
        <v>스트레스
(20 ~ 40)</v>
      </c>
      <c r="H9" s="63">
        <f>R8</f>
        <v>25.062000000000001</v>
      </c>
      <c r="I9" s="67">
        <f>N8</f>
        <v>28.853200000000001</v>
      </c>
      <c r="J9" s="63">
        <f>T8</f>
        <v>29.807400000000001</v>
      </c>
      <c r="K9" s="68">
        <f>P8</f>
        <v>4.4685600000000001</v>
      </c>
      <c r="L9" s="1">
        <f>IF(M!B7="","",IF(N9&lt;U9,1,IF(N9&lt;V9,2,IF(N9&lt;W9,3,IF(N9&lt;X9,4,5)))))</f>
        <v>2</v>
      </c>
      <c r="M9" s="162" t="str">
        <f>lang!B16</f>
        <v>불안</v>
      </c>
      <c r="N9" s="48">
        <f>IF(M!B7="","",M!B7*1)</f>
        <v>16.3035</v>
      </c>
      <c r="O9" s="48">
        <f>M!C7*1</f>
        <v>8.7113600000000009</v>
      </c>
      <c r="P9" s="48">
        <f>M!D7*1</f>
        <v>53.432400000000001</v>
      </c>
      <c r="Q9" s="48">
        <f>M!E7*1</f>
        <v>15</v>
      </c>
      <c r="R9" s="48">
        <f>IF(M!B7="","",M!F7*1)</f>
        <v>5.96692</v>
      </c>
      <c r="S9" s="48">
        <f>M!G7*1</f>
        <v>40</v>
      </c>
      <c r="T9" s="48">
        <f>IF(M!B7="","",M!H7*1)</f>
        <v>31.4832</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-0.96076968518927686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16.3035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16.3035</v>
      </c>
      <c r="DJ9" s="265">
        <f t="shared" si="8"/>
        <v>-1.6580930491410859</v>
      </c>
      <c r="DK9" s="273">
        <f t="shared" si="9"/>
        <v>0.1935186150168573</v>
      </c>
      <c r="DL9" s="274">
        <f t="shared" si="10"/>
        <v>3.2992279434608962</v>
      </c>
      <c r="DM9"/>
      <c r="DN9"/>
    </row>
    <row r="10" spans="2:119" s="4" customFormat="1" ht="30.3" thickBot="1">
      <c r="B10" s="57" t="str">
        <f>CONCATENATE(M9,"
(15 ~ 40)")</f>
        <v>불안
(15 ~ 40)</v>
      </c>
      <c r="C10" s="17">
        <f>R9</f>
        <v>5.96692</v>
      </c>
      <c r="D10" s="41">
        <f>N9</f>
        <v>16.3035</v>
      </c>
      <c r="E10" s="43">
        <f>T9</f>
        <v>31.4832</v>
      </c>
      <c r="F10" s="43">
        <f>P9</f>
        <v>53.432400000000001</v>
      </c>
      <c r="G10" s="59" t="str">
        <f>CONCATENATE(M10,"
(20 ~ 50)")</f>
        <v>의심
(20 ~ 50)</v>
      </c>
      <c r="H10" s="17">
        <f>R10</f>
        <v>29.0929</v>
      </c>
      <c r="I10" s="42">
        <f>N10</f>
        <v>30.338799999999999</v>
      </c>
      <c r="J10" s="17">
        <f>T10</f>
        <v>34.138300000000001</v>
      </c>
      <c r="K10" s="18">
        <f>P10</f>
        <v>5.2766500000000001</v>
      </c>
      <c r="L10" s="1">
        <f>IF(M!B8="","",IF(N10&lt;U10,1,IF(N10&lt;V10,2,IF(N10&lt;W10,3,IF(N10&lt;X10,4,5)))))</f>
        <v>3</v>
      </c>
      <c r="M10" s="162" t="str">
        <f>lang!B17</f>
        <v>의심</v>
      </c>
      <c r="N10" s="48">
        <f>IF(M!B8="","",M!B8*1)</f>
        <v>30.338799999999999</v>
      </c>
      <c r="O10" s="48">
        <f>M!C8*1</f>
        <v>1.6008800000000001</v>
      </c>
      <c r="P10" s="48">
        <f>M!D8*1</f>
        <v>5.2766500000000001</v>
      </c>
      <c r="Q10" s="48">
        <f>M!E8*1</f>
        <v>20</v>
      </c>
      <c r="R10" s="48">
        <f>IF(M!B8="","",M!F8*1)</f>
        <v>29.0929</v>
      </c>
      <c r="S10" s="48">
        <f>M!G8*1</f>
        <v>50</v>
      </c>
      <c r="T10" s="48">
        <f>IF(M!B8="","",M!H8*1)</f>
        <v>34.138300000000001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7.7039763228546027E-2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69.594999999999999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69.594999999999999</v>
      </c>
      <c r="DJ10" s="265">
        <f t="shared" si="8"/>
        <v>0.39640534586001747</v>
      </c>
      <c r="DK10" s="273">
        <f t="shared" si="9"/>
        <v>0.42755776380571342</v>
      </c>
      <c r="DL10" s="274">
        <f t="shared" si="10"/>
        <v>3.844101504959728</v>
      </c>
      <c r="DM10"/>
      <c r="DN10"/>
    </row>
    <row r="11" spans="2:119" s="4" customFormat="1" ht="24.75" customHeight="1" thickBot="1">
      <c r="B11" s="57" t="str">
        <f>CONCATENATE(M11,"
(50 ~ 100)")</f>
        <v>밸런스
(50 ~ 100)</v>
      </c>
      <c r="C11" s="17">
        <f>R11</f>
        <v>58.836199999999998</v>
      </c>
      <c r="D11" s="42">
        <f>N11</f>
        <v>69.594999999999999</v>
      </c>
      <c r="E11" s="17">
        <f>T11</f>
        <v>73.584999999999994</v>
      </c>
      <c r="F11" s="17">
        <f>P11</f>
        <v>6.01389</v>
      </c>
      <c r="G11" s="59" t="str">
        <f>CONCATENATE(M12,"
(40 ~ 100)")</f>
        <v>카리스마
(40 ~ 100)</v>
      </c>
      <c r="H11" s="17">
        <f>R12</f>
        <v>71.874899999999997</v>
      </c>
      <c r="I11" s="42">
        <f>N12</f>
        <v>74.682400000000001</v>
      </c>
      <c r="J11" s="17">
        <f>T12</f>
        <v>77.934799999999996</v>
      </c>
      <c r="K11" s="18">
        <f>P12</f>
        <v>1.7035899999999999</v>
      </c>
      <c r="L11" s="1">
        <f>IF(M!B9="","",IF(N11&lt;U11,1,IF(N11&lt;V11,2,IF(N11&lt;W11,3,IF(N11&lt;X11,4,5)))))</f>
        <v>3</v>
      </c>
      <c r="M11" s="162" t="str">
        <f>lang!B18</f>
        <v>밸런스</v>
      </c>
      <c r="N11" s="48">
        <f>IF(M!B9="","",M!B9*1)</f>
        <v>69.594999999999999</v>
      </c>
      <c r="O11" s="48">
        <f>M!C9*1</f>
        <v>4.1853699999999998</v>
      </c>
      <c r="P11" s="48">
        <f>M!D9*1</f>
        <v>6.01389</v>
      </c>
      <c r="Q11" s="48">
        <f>M!E9*1</f>
        <v>50</v>
      </c>
      <c r="R11" s="48">
        <f>IF(M!B9="","",M!F9*1)</f>
        <v>58.836199999999998</v>
      </c>
      <c r="S11" s="48">
        <f>M!G9*1</f>
        <v>100</v>
      </c>
      <c r="T11" s="48">
        <f>IF(M!B9="","",M!H9*1)</f>
        <v>73.584999999999994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-0.23189050571017339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74.682400000000001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74.682400000000001</v>
      </c>
      <c r="DJ11" s="265">
        <f t="shared" si="8"/>
        <v>0.59989962812807385</v>
      </c>
      <c r="DK11" s="273">
        <f t="shared" si="9"/>
        <v>0.16852791278475537</v>
      </c>
      <c r="DL11" s="274">
        <f t="shared" si="10"/>
        <v>0.95310543309640139</v>
      </c>
      <c r="DM11"/>
      <c r="DN11"/>
    </row>
    <row r="12" spans="2:119" s="4" customFormat="1" ht="24.75" customHeight="1" thickBot="1">
      <c r="B12" s="57" t="str">
        <f>CONCATENATE(M13,"
(10 ~ 50)")</f>
        <v>에너지
(10 ~ 50)</v>
      </c>
      <c r="C12" s="17">
        <f>R13</f>
        <v>26.456800000000001</v>
      </c>
      <c r="D12" s="41">
        <f>N13</f>
        <v>33.508499999999998</v>
      </c>
      <c r="E12" s="43">
        <f>T13</f>
        <v>43.304000000000002</v>
      </c>
      <c r="F12" s="43">
        <f>P13</f>
        <v>15.164099999999999</v>
      </c>
      <c r="G12" s="59" t="str">
        <f>CONCATENATE(M14,"
(50 ~ 100)")</f>
        <v>자기조절
(50 ~ 100)</v>
      </c>
      <c r="H12" s="17">
        <f>R14</f>
        <v>66.318200000000004</v>
      </c>
      <c r="I12" s="42">
        <f>N14</f>
        <v>72.459500000000006</v>
      </c>
      <c r="J12" s="17">
        <f>T14</f>
        <v>74.5976</v>
      </c>
      <c r="K12" s="18">
        <f>P14</f>
        <v>3.4532799999999999</v>
      </c>
      <c r="L12" s="1">
        <f>IF(M!B10="","",IF(N12&lt;U12,1,IF(N12&lt;V12,2,IF(N12&lt;W12,3,IF(N12&lt;X12,4,5)))))</f>
        <v>3</v>
      </c>
      <c r="M12" s="162" t="str">
        <f>lang!B19</f>
        <v>카리스마</v>
      </c>
      <c r="N12" s="48">
        <f>IF(M!B10="","",M!B10*1)</f>
        <v>74.682400000000001</v>
      </c>
      <c r="O12" s="48">
        <f>M!C10*1</f>
        <v>1.2722800000000001</v>
      </c>
      <c r="P12" s="48">
        <f>M!D10*1</f>
        <v>1.7035899999999999</v>
      </c>
      <c r="Q12" s="48">
        <f>M!E10*1</f>
        <v>40</v>
      </c>
      <c r="R12" s="48">
        <f>IF(M!B10="","",M!F10*1)</f>
        <v>71.874899999999997</v>
      </c>
      <c r="S12" s="48">
        <f>M!G10*1</f>
        <v>100</v>
      </c>
      <c r="T12" s="48">
        <f>IF(M!B10="","",M!H10*1)</f>
        <v>77.934799999999996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0.30381579496888639</v>
      </c>
      <c r="AI12" s="98">
        <v>0.31913434649697919</v>
      </c>
      <c r="AJ12" s="98">
        <v>3.8587997439955973E-2</v>
      </c>
      <c r="AK12" s="98">
        <v>1.0272327081707585E-2</v>
      </c>
      <c r="AL12" s="98">
        <v>1.9404033844491575E-2</v>
      </c>
      <c r="AM12" s="101"/>
      <c r="AN12" s="101"/>
      <c r="AO12" s="101"/>
      <c r="AP12" s="101"/>
      <c r="AX12" s="171"/>
      <c r="AY12" s="219">
        <f>N13</f>
        <v>33.508499999999998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33.508499999999998</v>
      </c>
      <c r="DJ12" s="265">
        <f t="shared" si="8"/>
        <v>2.4340874858502231</v>
      </c>
      <c r="DK12" s="273">
        <f t="shared" si="9"/>
        <v>0.29843311534462802</v>
      </c>
      <c r="DL12" s="274">
        <f t="shared" si="10"/>
        <v>4.3794202909184872</v>
      </c>
      <c r="DM12"/>
      <c r="DN12"/>
    </row>
    <row r="13" spans="2:119" ht="24.75" customHeight="1" thickBot="1">
      <c r="B13" s="58" t="str">
        <f>CONCATENATE(M15,"
(10 ~ 25)")</f>
        <v>억제
(10 ~ 25)</v>
      </c>
      <c r="C13" s="44">
        <f>R15</f>
        <v>12.8642</v>
      </c>
      <c r="D13" s="45">
        <f>N15</f>
        <v>17.825500000000002</v>
      </c>
      <c r="E13" s="46">
        <f>T15</f>
        <v>24.359000000000002</v>
      </c>
      <c r="F13" s="46">
        <f>P15</f>
        <v>18.518899999999999</v>
      </c>
      <c r="G13" s="60" t="str">
        <f>CONCATENATE(M16,"
(10 ~ 50)")</f>
        <v>신경성
(10 ~ 50)</v>
      </c>
      <c r="H13" s="44">
        <f>R16</f>
        <v>1.11568</v>
      </c>
      <c r="I13" s="45">
        <f>N16</f>
        <v>33.011000000000003</v>
      </c>
      <c r="J13" s="46">
        <f>T16</f>
        <v>33.389099999999999</v>
      </c>
      <c r="K13" s="47">
        <f>P16</f>
        <v>25.425699999999999</v>
      </c>
      <c r="L13" s="1">
        <f>IF(M!B11="","",IF(N13&lt;U13,1,IF(N13&lt;V13,2,IF(N13&lt;W13,3,IF(N13&lt;X13,4,5)))))</f>
        <v>3</v>
      </c>
      <c r="M13" s="162" t="str">
        <f>lang!B20</f>
        <v>에너지</v>
      </c>
      <c r="N13" s="48">
        <f>IF(M!B11="","",M!B11*1)</f>
        <v>33.508499999999998</v>
      </c>
      <c r="O13" s="48">
        <f>M!C11*1</f>
        <v>5.0812799999999996</v>
      </c>
      <c r="P13" s="48">
        <f>M!D11*1</f>
        <v>15.164099999999999</v>
      </c>
      <c r="Q13" s="48">
        <f>M!E11*1</f>
        <v>10</v>
      </c>
      <c r="R13" s="48">
        <f>IF(M!B11="","",M!F11*1)</f>
        <v>26.456800000000001</v>
      </c>
      <c r="S13" s="48">
        <f>M!G11*1</f>
        <v>50</v>
      </c>
      <c r="T13" s="48">
        <f>IF(M!B11="","",M!H11*1)</f>
        <v>43.304000000000002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2.3960242248860966</v>
      </c>
      <c r="AI13" s="98">
        <v>0.16093442074971984</v>
      </c>
      <c r="AJ13" s="98">
        <v>-1.0988594420247608E-2</v>
      </c>
      <c r="AK13" s="98">
        <v>0.37151940745754808</v>
      </c>
      <c r="AL13" s="98">
        <v>8.9062029657998948E-2</v>
      </c>
      <c r="AM13" s="96"/>
      <c r="AN13" s="96"/>
      <c r="AO13" s="96"/>
      <c r="AP13" s="96"/>
      <c r="AX13" s="171"/>
      <c r="AY13" s="219">
        <f>info!W36</f>
        <v>52.253599999999992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33.011000000000003</v>
      </c>
      <c r="DJ13" s="265">
        <f t="shared" si="8"/>
        <v>0.30470481321250714</v>
      </c>
      <c r="DK13" s="273">
        <f>IF(DH13=1,(DJ13-DF13)^2,0)</f>
        <v>1.825993348878497E-2</v>
      </c>
      <c r="DL13" s="274">
        <f t="shared" si="10"/>
        <v>0.45242307869768594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72.459500000000006</v>
      </c>
      <c r="O14" s="48">
        <f>M!C12*1</f>
        <v>2.50223</v>
      </c>
      <c r="P14" s="48">
        <f>M!D12*1</f>
        <v>3.4532799999999999</v>
      </c>
      <c r="Q14" s="48">
        <f>M!E12*1</f>
        <v>50</v>
      </c>
      <c r="R14" s="48">
        <f>IF(M!B12="","",M!F12*1)</f>
        <v>66.318200000000004</v>
      </c>
      <c r="S14" s="48">
        <f>M!G12*1</f>
        <v>100</v>
      </c>
      <c r="T14" s="48">
        <f>IF(M!B12="","",M!H12*1)</f>
        <v>74.5976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0.30088050982592557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57.230899999999998</v>
      </c>
      <c r="DJ14" s="265">
        <f t="shared" si="8"/>
        <v>0.13163196549823675</v>
      </c>
      <c r="DK14" s="279">
        <f t="shared" si="9"/>
        <v>4.0517873967268629E-2</v>
      </c>
      <c r="DL14" s="280">
        <f t="shared" si="10"/>
        <v>5.158327070283117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17.825500000000002</v>
      </c>
      <c r="O15" s="48">
        <f>M!C13*1</f>
        <v>3.3010999999999999</v>
      </c>
      <c r="P15" s="48">
        <f>M!D13*1</f>
        <v>18.518899999999999</v>
      </c>
      <c r="Q15" s="48">
        <f>M!E13*1</f>
        <v>10</v>
      </c>
      <c r="R15" s="48">
        <f>IF(M!B13="","",M!F13*1)</f>
        <v>12.8642</v>
      </c>
      <c r="S15" s="48">
        <f>M!G13*1</f>
        <v>25</v>
      </c>
      <c r="T15" s="48">
        <f>IF(M!B13="","",M!H13*1)</f>
        <v>24.359000000000002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-0.64950922838491432</v>
      </c>
      <c r="AI15" s="98">
        <v>-8.3250321124619289E-2</v>
      </c>
      <c r="AJ15" s="98">
        <v>-0.44690513063775733</v>
      </c>
      <c r="AK15" s="98">
        <v>0.12052818186953573</v>
      </c>
      <c r="AL15" s="98">
        <v>-2.4174505446491225E-2</v>
      </c>
      <c r="AM15" s="96"/>
      <c r="AN15" s="96"/>
      <c r="AO15" s="96"/>
      <c r="AP15" s="96"/>
      <c r="AX15" s="171"/>
      <c r="AY15" s="50">
        <f>SUM(AY7:AY14)</f>
        <v>321.94560000000001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2.3506234588971258</v>
      </c>
      <c r="DL15" s="281">
        <f>IF(SUM($DI$7:$DI$14)&gt;0,SUM(DL7:DL14),0)</f>
        <v>18.86937288885343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33.011000000000003</v>
      </c>
      <c r="O16" s="48">
        <f>M!C14*1</f>
        <v>8.3932900000000004</v>
      </c>
      <c r="P16" s="48">
        <f>M!D14*1</f>
        <v>25.425699999999999</v>
      </c>
      <c r="Q16" s="48">
        <f>M!E14*1</f>
        <v>10</v>
      </c>
      <c r="R16" s="48">
        <f>IF(M!B14="","",M!F14*1)</f>
        <v>1.11568</v>
      </c>
      <c r="S16" s="48">
        <f>M!G14*1</f>
        <v>50</v>
      </c>
      <c r="T16" s="48">
        <f>IF(M!B14="","",M!H14*1)</f>
        <v>33.389099999999999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-3.5097232332536074E-2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0.4254190505140214</v>
      </c>
      <c r="DL16" s="281">
        <f>IF(DL15&gt;0,1/DL15,0)</f>
        <v>5.2995931867493212E-2</v>
      </c>
      <c r="DM16" t="s">
        <v>1207</v>
      </c>
    </row>
    <row r="17" spans="2:117" ht="21" customHeight="1" thickBot="1">
      <c r="B17" s="20"/>
      <c r="C17"/>
      <c r="D17"/>
      <c r="E17"/>
      <c r="F17"/>
      <c r="G17" s="1071"/>
      <c r="H17" s="827"/>
      <c r="I17" s="827"/>
      <c r="J17" s="827"/>
      <c r="K17" s="828"/>
      <c r="M17" s="163" t="str">
        <f>lang!B7</f>
        <v>긍정감정</v>
      </c>
      <c r="N17" s="54">
        <f>SUM(N11:N14)/4</f>
        <v>62.561350000000004</v>
      </c>
      <c r="O17" s="16">
        <f>N17/(N17+N18+N19)</f>
        <v>0.52776206003290427</v>
      </c>
      <c r="P17" s="54">
        <f>SUM(P11:P14)/4</f>
        <v>6.5837149999999998</v>
      </c>
      <c r="Q17" s="16">
        <f>P17/(P17+P18+P19)</f>
        <v>0.14042572228982114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0.88922601962906067</v>
      </c>
      <c r="DL17" s="283"/>
      <c r="DM17" s="284" t="s">
        <v>1208</v>
      </c>
    </row>
    <row r="18" spans="2:117" ht="21" customHeight="1">
      <c r="B18" s="20"/>
      <c r="C18"/>
      <c r="D18"/>
      <c r="E18"/>
      <c r="F18"/>
      <c r="G18" s="1071"/>
      <c r="H18" s="827"/>
      <c r="I18" s="827"/>
      <c r="J18" s="827"/>
      <c r="K18" s="828"/>
      <c r="M18" s="163" t="str">
        <f>lang!B8</f>
        <v>부정감정</v>
      </c>
      <c r="N18" s="14">
        <f>SUM(N7:N10)/4</f>
        <v>30.561225</v>
      </c>
      <c r="O18" s="16">
        <f>N18/(N17+N18+N19)</f>
        <v>0.25781181293448902</v>
      </c>
      <c r="P18" s="14">
        <f>SUM(P7:P10)/4</f>
        <v>18.327952500000002</v>
      </c>
      <c r="Q18" s="16">
        <f>P18/(P17+P18+P19)</f>
        <v>0.39092153410438235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25.41825</v>
      </c>
      <c r="O19" s="16">
        <f>N19/(N17+N18+N19)</f>
        <v>0.21442612703260669</v>
      </c>
      <c r="P19" s="14">
        <f>(P15+P16)/2</f>
        <v>21.972299999999997</v>
      </c>
      <c r="Q19" s="16">
        <f>P19/(P17+P18+P19)</f>
        <v>0.46865274360579656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2.0725799999999999</v>
      </c>
      <c r="D24" s="34" t="str">
        <f>lang!B11</f>
        <v>편차</v>
      </c>
      <c r="E24" s="1077">
        <f>FH_info!G2*1</f>
        <v>0.52676000000000001</v>
      </c>
      <c r="F24" s="1078"/>
      <c r="G24" s="1075" t="str">
        <f>lang!B12</f>
        <v>정보(I)변화량</v>
      </c>
      <c r="H24" s="1076"/>
      <c r="I24" s="51" t="str">
        <f ca="1">CONCATENATE(info!N7,"-",info!N8)</f>
        <v>41.7-48.9</v>
      </c>
      <c r="J24" s="32" t="str">
        <f>lang!B13</f>
        <v>Kcal/분</v>
      </c>
      <c r="K24" s="31" t="str">
        <f ca="1">CONCATENATE(info!N5,"-",info!N6)</f>
        <v>3.7-5.2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57.230899999999998</v>
      </c>
      <c r="F27" s="1043"/>
      <c r="G27" s="1055" t="str">
        <f>lang!B33</f>
        <v>정서안정성</v>
      </c>
      <c r="H27" s="1056"/>
      <c r="I27" s="1057"/>
      <c r="J27" s="993">
        <f>M!B19*100</f>
        <v>46.098800000000004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5.2047799999999995</v>
      </c>
      <c r="H2" s="50">
        <f>IF(FT!B2&lt;&gt;"",FT!B2*100,"")</f>
        <v>43.295299999999997</v>
      </c>
      <c r="I2" s="50">
        <f>(IF(G2&lt;&gt;"",1,""))</f>
        <v>1</v>
      </c>
      <c r="J2" t="str">
        <f>IF(FT!B2&lt;&gt;"",FT!E2,"")</f>
        <v>0 [0.000000]</v>
      </c>
      <c r="K2">
        <f>IF(FT!B2&lt;&gt;"",IF(FT!C2&lt;&gt;"",FT!C2,F2/$M$3*$M$4),"")</f>
        <v>0</v>
      </c>
      <c r="L2" t="s">
        <v>52</v>
      </c>
      <c r="M2">
        <f>FH_info!E2</f>
        <v>4.9668900000000002</v>
      </c>
      <c r="N2" s="75">
        <f>LOOKUP(O3,A2:A1000,B2:B1000)</f>
        <v>1.6751080000000003</v>
      </c>
      <c r="O2" s="50">
        <f>MAX(C2:C1000)</f>
        <v>1</v>
      </c>
      <c r="P2" t="s">
        <v>60</v>
      </c>
      <c r="Q2" t="s">
        <v>61</v>
      </c>
      <c r="R2" t="s">
        <v>62</v>
      </c>
      <c r="S2" t="s">
        <v>63</v>
      </c>
      <c r="T2" t="s">
        <v>64</v>
      </c>
      <c r="V2" s="50">
        <f>FT!G2*10</f>
        <v>5.1342800000000004</v>
      </c>
      <c r="W2" s="50">
        <f>FT!H2*100</f>
        <v>42.461599999999997</v>
      </c>
      <c r="Y2">
        <f>IF(I2=1,H2/G2,"")</f>
        <v>8.3183727266090024</v>
      </c>
      <c r="Z2">
        <f>AVERAGE(Y2:Y2000)</f>
        <v>10.809514967899464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5.1342800000000004</v>
      </c>
      <c r="H3" s="50">
        <f>IF(FT!B3&lt;&gt;"",FT!B3*100,"")</f>
        <v>42.461599999999997</v>
      </c>
      <c r="I3" s="50">
        <f t="shared" ref="I3:I66" si="2">(IF(G3&lt;&gt;"",1,""))</f>
        <v>1</v>
      </c>
      <c r="J3" t="str">
        <f>IF(FT!B3&lt;&gt;"",FT!E3,"")</f>
        <v>0 [0.378387]</v>
      </c>
      <c r="K3">
        <f>IF(FT!B3&lt;&gt;"",IF(FT!C3&lt;&gt;"",FT!C3,F3/$M$3*$M$4),"")</f>
        <v>0.37838699999999997</v>
      </c>
      <c r="L3" t="s">
        <v>53</v>
      </c>
      <c r="M3">
        <f>SUM(I2:I2005)</f>
        <v>25</v>
      </c>
      <c r="O3" s="104">
        <f>MATCH(O2,C2:C1000,0)-1</f>
        <v>86</v>
      </c>
      <c r="P3">
        <v>0</v>
      </c>
      <c r="Q3">
        <v>0</v>
      </c>
      <c r="R3">
        <f>IF(S4=0,M3,0)</f>
        <v>25</v>
      </c>
      <c r="S3">
        <f t="array" ref="S3">MAX(IF(ft_nq=0,row_n))</f>
        <v>1998</v>
      </c>
      <c r="T3">
        <f>R3-Q3</f>
        <v>25</v>
      </c>
      <c r="V3" s="50">
        <f>FT!G3*10</f>
        <v>3.7919900000000002</v>
      </c>
      <c r="W3" s="50">
        <f>FT!H3*100</f>
        <v>48.267099999999999</v>
      </c>
      <c r="Y3" s="75">
        <f t="shared" ref="Y3:Y66" si="3">IF(I3=1,H3/G3,"")</f>
        <v>8.270215103188761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5.0610400000000002</v>
      </c>
      <c r="H4" s="50">
        <f>IF(FT!B4&lt;&gt;"",FT!B4*100,"")</f>
        <v>41.895900000000005</v>
      </c>
      <c r="I4" s="50">
        <f t="shared" si="2"/>
        <v>1</v>
      </c>
      <c r="J4" t="str">
        <f>IF(FT!B4&lt;&gt;"",FT!E4,"")</f>
        <v>0 [0.780995]</v>
      </c>
      <c r="K4">
        <f>IF(FT!B4&lt;&gt;"",IF(FT!C4&lt;&gt;"",FT!C4,F4/$M$3*$M$4),"")</f>
        <v>0.78099499999999999</v>
      </c>
      <c r="L4" t="s">
        <v>246</v>
      </c>
      <c r="M4">
        <f>IF(M2&lt;&gt;0,M3/M2*2,0)</f>
        <v>10.066661432002721</v>
      </c>
      <c r="P4">
        <f>P3+1</f>
        <v>1</v>
      </c>
      <c r="Q4">
        <v>0</v>
      </c>
      <c r="R4">
        <f>IF(S4=1998,0,S4)</f>
        <v>0</v>
      </c>
      <c r="S4">
        <f t="array" ref="S4">MAX(IF(ft_nq=P4,row_n))</f>
        <v>0</v>
      </c>
      <c r="T4">
        <f>R4-Q4+1</f>
        <v>1</v>
      </c>
      <c r="V4" t="s">
        <v>209</v>
      </c>
      <c r="W4" s="23">
        <f>IF(ISERROR(V3-V2)=FALSE,(V3-V2)*10,0)</f>
        <v>-13.422900000000002</v>
      </c>
      <c r="Y4" s="75">
        <f t="shared" si="3"/>
        <v>8.2781207024643155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0.52683372181091981</v>
      </c>
      <c r="E5" s="50">
        <f t="shared" si="1"/>
        <v>2.2813776089770628E-5</v>
      </c>
      <c r="F5">
        <f t="shared" si="6"/>
        <v>3</v>
      </c>
      <c r="G5" s="50">
        <f>IF(FT!A5&lt;&gt;"",FT!A5*10,"")</f>
        <v>4.9802999999999997</v>
      </c>
      <c r="H5" s="50">
        <f>IF(FT!B5&lt;&gt;"",FT!B5*100,"")</f>
        <v>41.689399999999999</v>
      </c>
      <c r="I5" s="50">
        <f t="shared" si="2"/>
        <v>1</v>
      </c>
      <c r="J5" t="str">
        <f>IF(FT!B5&lt;&gt;"",FT!E5,"")</f>
        <v>0 [1.191912]</v>
      </c>
      <c r="K5">
        <f>IF(FT!B5&lt;&gt;"",IF(FT!C5&lt;&gt;"",FT!C5,F5/$M$3*$M$4),"")</f>
        <v>1.19191</v>
      </c>
      <c r="L5" t="s">
        <v>54</v>
      </c>
      <c r="M5" s="52">
        <f ca="1">IF(M3&gt;0,MIN(FT_E),0)</f>
        <v>3.6966199999999998</v>
      </c>
      <c r="N5" s="52">
        <f ca="1">IF(M3&gt;0,ROUND(M5,1),0)</f>
        <v>3.7</v>
      </c>
      <c r="P5">
        <f t="shared" ref="P5:P27" si="10">P4+1</f>
        <v>2</v>
      </c>
      <c r="Q5">
        <f>IF(S5=1998,0,R4)</f>
        <v>0</v>
      </c>
      <c r="R5">
        <f>IF(S5=1998,0,S5)</f>
        <v>0</v>
      </c>
      <c r="S5">
        <f t="array" ref="S5">MAX(IF(ft_nq=P5,row_n))</f>
        <v>0</v>
      </c>
      <c r="T5">
        <f t="shared" ref="T5:T27" si="11">R5-Q5+1</f>
        <v>1</v>
      </c>
      <c r="V5" t="s">
        <v>210</v>
      </c>
      <c r="W5" s="23">
        <f>IF(ISERROR(W3-W2)=FALSE,W3-W2,0)</f>
        <v>5.8055000000000021</v>
      </c>
      <c r="Y5" s="75">
        <f t="shared" si="3"/>
        <v>8.3708611931008168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4.8938500000000005</v>
      </c>
      <c r="H6" s="50">
        <f>IF(FT!B6&lt;&gt;"",FT!B6*100,"")</f>
        <v>41.677500000000002</v>
      </c>
      <c r="I6" s="50">
        <f t="shared" si="2"/>
        <v>1</v>
      </c>
      <c r="J6" t="str">
        <f>IF(FT!B6&lt;&gt;"",FT!E6,"")</f>
        <v>0 [1.607622]</v>
      </c>
      <c r="K6">
        <f>IF(FT!B6&lt;&gt;"",IF(FT!C6&lt;&gt;"",FT!C6,F6/$M$3*$M$4),"")</f>
        <v>1.60762</v>
      </c>
      <c r="L6" t="s">
        <v>55</v>
      </c>
      <c r="M6" s="52">
        <f ca="1">IF(M3&gt;0,MAX(FT_E),0)</f>
        <v>5.2047799999999995</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-0.43250713333184343</v>
      </c>
      <c r="Y6" s="75">
        <f t="shared" si="3"/>
        <v>8.5163010717533218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4.7979099999999999</v>
      </c>
      <c r="H7" s="50">
        <f>IF(FT!B7&lt;&gt;"",FT!B7*100,"")</f>
        <v>42.197000000000003</v>
      </c>
      <c r="I7" s="50">
        <f t="shared" si="2"/>
        <v>1</v>
      </c>
      <c r="J7" t="str">
        <f>IF(FT!B7&lt;&gt;"",FT!E7,"")</f>
        <v>0 [2.000878]</v>
      </c>
      <c r="K7">
        <f>IF(FT!B7&lt;&gt;"",IF(FT!C7&lt;&gt;"",FT!C7,F7/$M$3*$M$4),"")</f>
        <v>2.00088</v>
      </c>
      <c r="L7" t="s">
        <v>56</v>
      </c>
      <c r="M7" s="366">
        <f ca="1">IF(M3&gt;0,MIN(FT_PH),0)</f>
        <v>41.677500000000002</v>
      </c>
      <c r="N7" s="52">
        <f ca="1">IF(M3&gt;0,ROUND(M7,1),0)</f>
        <v>41.7</v>
      </c>
      <c r="P7">
        <f t="shared" si="10"/>
        <v>4</v>
      </c>
      <c r="Q7">
        <f t="shared" si="12"/>
        <v>0</v>
      </c>
      <c r="R7">
        <f t="shared" si="13"/>
        <v>0</v>
      </c>
      <c r="S7">
        <f t="array" ref="S7">MAX(IF(ft_nq=P7,row_n))</f>
        <v>0</v>
      </c>
      <c r="T7">
        <f t="shared" si="11"/>
        <v>1</v>
      </c>
      <c r="V7" t="s">
        <v>212</v>
      </c>
      <c r="W7" s="23">
        <f>DEGREES(ATAN(W6))</f>
        <v>-23.388826733442357</v>
      </c>
      <c r="X7" s="106">
        <v>0.05</v>
      </c>
      <c r="Y7" s="75">
        <f t="shared" si="3"/>
        <v>8.7948711001248476</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1</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5.0474934714121646E-3</v>
      </c>
      <c r="D8" s="50">
        <f>IF(hist!$D$2&gt;0,hist!B8/hist!$D$2,0)</f>
        <v>0.91372386349570323</v>
      </c>
      <c r="E8" s="50">
        <f t="shared" si="1"/>
        <v>4.2855782985520911E-5</v>
      </c>
      <c r="F8">
        <f t="shared" si="6"/>
        <v>6</v>
      </c>
      <c r="G8" s="50">
        <f>IF(FT!A8&lt;&gt;"",FT!A8*10,"")</f>
        <v>4.7048000000000005</v>
      </c>
      <c r="H8" s="50">
        <f>IF(FT!B8&lt;&gt;"",FT!B8*100,"")</f>
        <v>42.808</v>
      </c>
      <c r="I8" s="50">
        <f t="shared" si="2"/>
        <v>1</v>
      </c>
      <c r="J8" t="str">
        <f>IF(FT!B8&lt;&gt;"",FT!E8,"")</f>
        <v>0 [2.406052]</v>
      </c>
      <c r="K8">
        <f>IF(FT!B8&lt;&gt;"",IF(FT!C8&lt;&gt;"",FT!C8,F8/$M$3*$M$4),"")</f>
        <v>2.40605</v>
      </c>
      <c r="L8" t="s">
        <v>57</v>
      </c>
      <c r="M8" s="52">
        <f ca="1">IF(M3&gt;0,MAX(FT_PH),0)</f>
        <v>48.8626</v>
      </c>
      <c r="N8" s="52">
        <f ca="1">IF(M3&gt;0,ROUND(M8,1),0)</f>
        <v>48.9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9.0987927223261345</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3.0798252199187698E-3</v>
      </c>
      <c r="D9" s="50">
        <f>IF(hist!$D$2&gt;0,hist!B9/hist!$D$2,0)</f>
        <v>0</v>
      </c>
      <c r="E9" s="50">
        <f t="shared" si="1"/>
        <v>5.265273471798961E-5</v>
      </c>
      <c r="F9">
        <f t="shared" si="6"/>
        <v>7</v>
      </c>
      <c r="G9" s="50">
        <f>IF(FT!A9&lt;&gt;"",FT!A9*10,"")</f>
        <v>4.6159499999999998</v>
      </c>
      <c r="H9" s="50">
        <f>IF(FT!B9&lt;&gt;"",FT!B9*100,"")</f>
        <v>43.476599999999998</v>
      </c>
      <c r="I9" s="50">
        <f t="shared" si="2"/>
        <v>1</v>
      </c>
      <c r="J9" t="str">
        <f>IF(FT!B9&lt;&gt;"",FT!E9,"")</f>
        <v>0 [2.814461]</v>
      </c>
      <c r="K9">
        <f>IF(FT!B9&lt;&gt;"",IF(FT!C9&lt;&gt;"",FT!C9,F9/$M$3*$M$4),"")</f>
        <v>2.81446</v>
      </c>
      <c r="L9" t="s">
        <v>222</v>
      </c>
      <c r="M9" s="74">
        <f ca="1">IF(M3&gt;0,IF(COUNT(FT_E)&gt;0,AVERAGE(FT_E),0),0)</f>
        <v>4.3120947999999997</v>
      </c>
      <c r="N9" s="365">
        <f ca="1">IF(M3&gt;0,IF(COUNT(FT_PH)&gt;0,AVERAGE(FT_PH),0),0)</f>
        <v>45.784748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9.4187761999155111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0.72460154928374088</v>
      </c>
      <c r="E10" s="50">
        <f t="shared" si="1"/>
        <v>6.4550974680172344E-5</v>
      </c>
      <c r="F10">
        <f t="shared" si="6"/>
        <v>8</v>
      </c>
      <c r="G10" s="50">
        <f>IF(FT!A10&lt;&gt;"",FT!A10*10,"")</f>
        <v>4.5296799999999999</v>
      </c>
      <c r="H10" s="50">
        <f>IF(FT!B10&lt;&gt;"",FT!B10*100,"")</f>
        <v>44.246000000000002</v>
      </c>
      <c r="I10" s="50">
        <f t="shared" si="2"/>
        <v>1</v>
      </c>
      <c r="J10" t="str">
        <f>IF(FT!B10&lt;&gt;"",FT!E10,"")</f>
        <v>0 [3.216705]</v>
      </c>
      <c r="K10">
        <f>IF(FT!B10&lt;&gt;"",IF(FT!C10&lt;&gt;"",FT!C10,F10/$M$3*$M$4),"")</f>
        <v>3.2166999999999999</v>
      </c>
      <c r="M10">
        <v>2</v>
      </c>
      <c r="P10">
        <f t="shared" si="10"/>
        <v>7</v>
      </c>
      <c r="Q10">
        <f t="shared" si="12"/>
        <v>0</v>
      </c>
      <c r="R10">
        <f t="shared" si="13"/>
        <v>0</v>
      </c>
      <c r="S10">
        <f t="array" ref="S10">MAX(IF(ft_nq=P10,row_n))</f>
        <v>0</v>
      </c>
      <c r="T10">
        <f t="shared" si="11"/>
        <v>1</v>
      </c>
      <c r="V10" t="s">
        <v>215</v>
      </c>
      <c r="X10" s="71" t="s">
        <v>270</v>
      </c>
      <c r="Y10" s="75">
        <f t="shared" si="3"/>
        <v>9.768018932904754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5.1330420331979496E-3</v>
      </c>
      <c r="D11" s="50">
        <f>IF(hist!$D$2&gt;0,hist!B11/hist!$D$2,0)</f>
        <v>0</v>
      </c>
      <c r="E11" s="50">
        <f t="shared" si="1"/>
        <v>7.8968710868873728E-5</v>
      </c>
      <c r="F11">
        <f t="shared" si="6"/>
        <v>9</v>
      </c>
      <c r="G11" s="50">
        <f>IF(FT!A11&lt;&gt;"",FT!A11*10,"")</f>
        <v>4.4451200000000002</v>
      </c>
      <c r="H11" s="50">
        <f>IF(FT!B11&lt;&gt;"",FT!B11*100,"")</f>
        <v>45.0229</v>
      </c>
      <c r="I11" s="50">
        <f t="shared" si="2"/>
        <v>1</v>
      </c>
      <c r="J11" t="str">
        <f>IF(FT!B11&lt;&gt;"",FT!E11,"")</f>
        <v>0 [3.633311]</v>
      </c>
      <c r="K11">
        <f>IF(FT!B11&lt;&gt;"",IF(FT!C11&lt;&gt;"",FT!C11,F11/$M$3*$M$4),"")</f>
        <v>3.6333099999999998</v>
      </c>
      <c r="M11" s="49">
        <f>MAX(IF(ft_nq=1,row_n))</f>
        <v>0</v>
      </c>
      <c r="P11">
        <f t="shared" si="10"/>
        <v>8</v>
      </c>
      <c r="Q11">
        <f t="shared" si="12"/>
        <v>0</v>
      </c>
      <c r="R11">
        <f t="shared" si="13"/>
        <v>0</v>
      </c>
      <c r="S11">
        <f t="array" ref="S11">MAX(IF(ft_nq=P11,row_n))</f>
        <v>0</v>
      </c>
      <c r="T11">
        <f t="shared" si="11"/>
        <v>1</v>
      </c>
      <c r="V11" s="71" t="s">
        <v>216</v>
      </c>
      <c r="W11" s="23">
        <f>FT!H11*100</f>
        <v>41.677500000000002</v>
      </c>
      <c r="Y11" s="75">
        <f t="shared" si="3"/>
        <v>10.128612950831473</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2.0532168132791797E-3</v>
      </c>
      <c r="D12" s="50">
        <f>IF(hist!$D$2&gt;0,hist!B12/hist!$D$2,0)</f>
        <v>0</v>
      </c>
      <c r="E12" s="50">
        <f t="shared" si="1"/>
        <v>9.6400140154098625E-5</v>
      </c>
      <c r="F12">
        <f t="shared" si="6"/>
        <v>10</v>
      </c>
      <c r="G12" s="50">
        <f>IF(FT!A12&lt;&gt;"",FT!A12*10,"")</f>
        <v>4.3628099999999996</v>
      </c>
      <c r="H12" s="50">
        <f>IF(FT!B12&lt;&gt;"",FT!B12*100,"")</f>
        <v>45.629399999999997</v>
      </c>
      <c r="I12" s="50">
        <f t="shared" si="2"/>
        <v>1</v>
      </c>
      <c r="J12" t="str">
        <f>IF(FT!B12&lt;&gt;"",FT!E12,"")</f>
        <v>0 [4.028854]</v>
      </c>
      <c r="K12">
        <f>IF(FT!B12&lt;&gt;"",IF(FT!C12&lt;&gt;"",FT!C12,F12/$M$3*$M$4),"")</f>
        <v>4.0288500000000003</v>
      </c>
      <c r="M12">
        <f>M11+1</f>
        <v>1</v>
      </c>
      <c r="P12">
        <f t="shared" si="10"/>
        <v>9</v>
      </c>
      <c r="Q12">
        <f t="shared" si="12"/>
        <v>0</v>
      </c>
      <c r="R12">
        <f t="shared" si="13"/>
        <v>0</v>
      </c>
      <c r="S12">
        <f t="array" ref="S12">MAX(IF(ft_nq=P12,row_n))</f>
        <v>0</v>
      </c>
      <c r="T12">
        <f t="shared" si="11"/>
        <v>1</v>
      </c>
      <c r="V12" s="71" t="s">
        <v>217</v>
      </c>
      <c r="W12" s="23">
        <f>FT!H12*100</f>
        <v>48.8626</v>
      </c>
      <c r="Y12" s="75">
        <f t="shared" si="3"/>
        <v>10.458718119743926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1.2832605082994874E-3</v>
      </c>
      <c r="D13" s="50">
        <f>IF(hist!$D$2&gt;0,hist!B13/hist!$D$2,0)</f>
        <v>1</v>
      </c>
      <c r="E13" s="50">
        <f t="shared" si="1"/>
        <v>1.1742772713153448E-4</v>
      </c>
      <c r="F13">
        <f t="shared" si="6"/>
        <v>11</v>
      </c>
      <c r="G13" s="50">
        <f>IF(FT!A13&lt;&gt;"",FT!A13*10,"")</f>
        <v>4.2836600000000002</v>
      </c>
      <c r="H13" s="50">
        <f>IF(FT!B13&lt;&gt;"",FT!B13*100,"")</f>
        <v>46.209600000000002</v>
      </c>
      <c r="I13" s="50">
        <f t="shared" si="2"/>
        <v>1</v>
      </c>
      <c r="J13" t="str">
        <f>IF(FT!B13&lt;&gt;"",FT!E13,"")</f>
        <v>0 [4.434442]</v>
      </c>
      <c r="K13">
        <f>IF(FT!B13&lt;&gt;"",IF(FT!C13&lt;&gt;"",FT!C13,F13/$M$3*$M$4),"")</f>
        <v>4.4344400000000004</v>
      </c>
      <c r="M13" s="49">
        <f t="array" ref="M13">MAX(IF(ft_nq=2,row_n))</f>
        <v>0</v>
      </c>
      <c r="P13">
        <f t="shared" si="10"/>
        <v>10</v>
      </c>
      <c r="Q13">
        <f t="shared" si="12"/>
        <v>0</v>
      </c>
      <c r="R13">
        <f t="shared" si="13"/>
        <v>0</v>
      </c>
      <c r="S13">
        <f t="array" ref="S13">MAX(IF(ft_nq=P13,row_n))</f>
        <v>0</v>
      </c>
      <c r="T13">
        <f t="shared" si="11"/>
        <v>1</v>
      </c>
      <c r="V13" s="71" t="s">
        <v>219</v>
      </c>
      <c r="W13">
        <f>FT!H13</f>
        <v>5</v>
      </c>
      <c r="Y13" s="75">
        <f t="shared" si="3"/>
        <v>10.787410765560292</v>
      </c>
    </row>
    <row r="14" spans="1:104">
      <c r="A14" s="50">
        <f t="shared" si="5"/>
        <v>12</v>
      </c>
      <c r="B14" s="50">
        <f t="shared" si="0"/>
        <v>0.233736</v>
      </c>
      <c r="C14" s="50">
        <f>IF(FH!$C$2&gt;0,FH!A14/FH!$C$2,0)</f>
        <v>2.994276658132984E-3</v>
      </c>
      <c r="D14" s="50">
        <f>IF(hist!$D$2&gt;0,hist!B14/hist!$D$2,0)</f>
        <v>0</v>
      </c>
      <c r="E14" s="50">
        <f t="shared" si="1"/>
        <v>1.42736162818265E-4</v>
      </c>
      <c r="F14">
        <f t="shared" si="6"/>
        <v>12</v>
      </c>
      <c r="G14" s="50">
        <f>IF(FT!A14&lt;&gt;"",FT!A14*10,"")</f>
        <v>4.2086399999999999</v>
      </c>
      <c r="H14" s="50">
        <f>IF(FT!B14&lt;&gt;"",FT!B14*100,"")</f>
        <v>46.702300000000001</v>
      </c>
      <c r="I14" s="50">
        <f t="shared" si="2"/>
        <v>1</v>
      </c>
      <c r="J14" t="str">
        <f>IF(FT!B14&lt;&gt;"",FT!E14,"")</f>
        <v>0 [4.851627]</v>
      </c>
      <c r="K14">
        <f>IF(FT!B14&lt;&gt;"",IF(FT!C14&lt;&gt;"",FT!C14,F14/$M$3*$M$4),"")</f>
        <v>4.8516300000000001</v>
      </c>
      <c r="M14">
        <f>M13+1</f>
        <v>1</v>
      </c>
      <c r="P14">
        <f t="shared" si="10"/>
        <v>11</v>
      </c>
      <c r="Q14">
        <f t="shared" si="12"/>
        <v>0</v>
      </c>
      <c r="R14">
        <f t="shared" si="13"/>
        <v>0</v>
      </c>
      <c r="S14">
        <f t="array" ref="S14">MAX(IF(ft_nq=P14,row_n))</f>
        <v>0</v>
      </c>
      <c r="T14">
        <f t="shared" si="11"/>
        <v>1</v>
      </c>
      <c r="V14" s="71" t="s">
        <v>221</v>
      </c>
      <c r="W14">
        <f>FT!H14</f>
        <v>25</v>
      </c>
      <c r="Y14" s="75">
        <f t="shared" si="3"/>
        <v>11.096767601885645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2.3098689149390768E-3</v>
      </c>
      <c r="D15" s="50">
        <f>IF(hist!$D$2&gt;0,hist!B15/hist!$D$2,0)</f>
        <v>0.88189341076947192</v>
      </c>
      <c r="E15" s="50">
        <f t="shared" si="1"/>
        <v>1.7312817563669867E-4</v>
      </c>
      <c r="F15">
        <f t="shared" si="6"/>
        <v>13</v>
      </c>
      <c r="G15" s="50">
        <f>IF(FT!A15&lt;&gt;"",FT!A15*10,"")</f>
        <v>4.1388799999999994</v>
      </c>
      <c r="H15" s="50">
        <f>IF(FT!B15&lt;&gt;"",FT!B15*100,"")</f>
        <v>47.200699999999998</v>
      </c>
      <c r="I15" s="50">
        <f t="shared" si="2"/>
        <v>1</v>
      </c>
      <c r="J15" t="str">
        <f>IF(FT!B15&lt;&gt;"",FT!E15,"")</f>
        <v>0 [5.258307]</v>
      </c>
      <c r="K15">
        <f>IF(FT!B15&lt;&gt;"",IF(FT!C15&lt;&gt;"",FT!C15,F15/$M$3*$M$4),"")</f>
        <v>5.2583099999999998</v>
      </c>
      <c r="M15">
        <f t="array" ref="M15">MAX(IF(ft_nq=3,row_n))</f>
        <v>0</v>
      </c>
      <c r="P15">
        <f t="shared" si="10"/>
        <v>12</v>
      </c>
      <c r="Q15">
        <f t="shared" si="12"/>
        <v>0</v>
      </c>
      <c r="R15">
        <f t="shared" si="13"/>
        <v>0</v>
      </c>
      <c r="S15">
        <f t="array" ref="S15">MAX(IF(ft_nq=P15,row_n))</f>
        <v>0</v>
      </c>
      <c r="T15">
        <f t="shared" si="11"/>
        <v>1</v>
      </c>
      <c r="V15" s="23">
        <f>FT!G15*10</f>
        <v>4.8938500000000005</v>
      </c>
      <c r="W15" s="23">
        <f>FT!H15*100</f>
        <v>41.677500000000002</v>
      </c>
      <c r="Y15" s="75">
        <f t="shared" si="3"/>
        <v>11.404220465439927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2.0532168132791797E-3</v>
      </c>
      <c r="D16" s="50">
        <f>IF(hist!$D$2&gt;0,hist!B16/hist!$D$2,0)</f>
        <v>0</v>
      </c>
      <c r="E16" s="50">
        <f t="shared" si="1"/>
        <v>2.0954237430671343E-4</v>
      </c>
      <c r="F16">
        <f t="shared" si="6"/>
        <v>14</v>
      </c>
      <c r="G16" s="50">
        <f>IF(FT!A16&lt;&gt;"",FT!A16*10,"")</f>
        <v>4.0717699999999999</v>
      </c>
      <c r="H16" s="50">
        <f>IF(FT!B16&lt;&gt;"",FT!B16*100,"")</f>
        <v>47.6098</v>
      </c>
      <c r="I16" s="50">
        <f t="shared" si="2"/>
        <v>1</v>
      </c>
      <c r="J16" t="str">
        <f>IF(FT!B16&lt;&gt;"",FT!E16,"")</f>
        <v>0 [5.662108]</v>
      </c>
      <c r="K16">
        <f>IF(FT!B16&lt;&gt;"",IF(FT!C16&lt;&gt;"",FT!C16,F16/$M$3*$M$4),"")</f>
        <v>5.6621100000000002</v>
      </c>
      <c r="M16">
        <f>M15+1</f>
        <v>1</v>
      </c>
      <c r="P16">
        <f t="shared" si="10"/>
        <v>13</v>
      </c>
      <c r="Q16">
        <f t="shared" si="12"/>
        <v>0</v>
      </c>
      <c r="R16">
        <f t="shared" si="13"/>
        <v>0</v>
      </c>
      <c r="S16">
        <f t="array" ref="S16">MAX(IF(ft_nq=P16,row_n))</f>
        <v>0</v>
      </c>
      <c r="T16">
        <f t="shared" si="11"/>
        <v>1</v>
      </c>
      <c r="V16" s="23">
        <f>FT!G16*10</f>
        <v>3.6966199999999998</v>
      </c>
      <c r="W16" s="23">
        <f>FT!H16*100</f>
        <v>48.8626</v>
      </c>
      <c r="Y16" s="75">
        <f t="shared" si="3"/>
        <v>11.692654545811772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3.0798252199187698E-3</v>
      </c>
      <c r="D17" s="50">
        <f>IF(hist!$D$2&gt;0,hist!B17/hist!$D$2,0)</f>
        <v>0</v>
      </c>
      <c r="E17" s="50">
        <f t="shared" si="1"/>
        <v>2.530733076141184E-4</v>
      </c>
      <c r="F17">
        <f t="shared" si="6"/>
        <v>15</v>
      </c>
      <c r="G17" s="50">
        <f>IF(FT!A17&lt;&gt;"",FT!A17*10,"")</f>
        <v>4.0101599999999999</v>
      </c>
      <c r="H17" s="50">
        <f>IF(FT!B17&lt;&gt;"",FT!B17*100,"")</f>
        <v>47.958199999999998</v>
      </c>
      <c r="I17" s="50">
        <f t="shared" si="2"/>
        <v>1</v>
      </c>
      <c r="J17" t="str">
        <f>IF(FT!B17&lt;&gt;"",FT!E17,"")</f>
        <v>0 [6.060240]</v>
      </c>
      <c r="K17">
        <f>IF(FT!B17&lt;&gt;"",IF(FT!C17&lt;&gt;"",FT!C17,F17/$M$3*$M$4),"")</f>
        <v>6.0602400000000003</v>
      </c>
      <c r="M17">
        <f>M3+1</f>
        <v>26</v>
      </c>
      <c r="P17">
        <f t="shared" si="10"/>
        <v>14</v>
      </c>
      <c r="Q17">
        <f t="shared" si="12"/>
        <v>0</v>
      </c>
      <c r="R17">
        <f t="shared" si="13"/>
        <v>0</v>
      </c>
      <c r="S17">
        <f t="array" ref="S17">MAX(IF(ft_nq=P17,row_n))</f>
        <v>0</v>
      </c>
      <c r="T17">
        <f t="shared" si="11"/>
        <v>1</v>
      </c>
      <c r="V17" t="s">
        <v>1522</v>
      </c>
      <c r="Y17" s="75">
        <f t="shared" si="3"/>
        <v>11.959173698805035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2.7376245564730869E-3</v>
      </c>
      <c r="D18" s="50">
        <f>IF(hist!$D$2&gt;0,hist!B18/hist!$D$2,0)</f>
        <v>0.80341834130317491</v>
      </c>
      <c r="E18" s="50">
        <f t="shared" si="1"/>
        <v>3.0499392903580183E-4</v>
      </c>
      <c r="F18">
        <f t="shared" si="6"/>
        <v>16</v>
      </c>
      <c r="G18" s="50">
        <f>IF(FT!A18&lt;&gt;"",FT!A18*10,"")</f>
        <v>3.9555899999999999</v>
      </c>
      <c r="H18" s="50">
        <f>IF(FT!B18&lt;&gt;"",FT!B18*100,"")</f>
        <v>48.082099999999997</v>
      </c>
      <c r="I18" s="50">
        <f t="shared" si="2"/>
        <v>1</v>
      </c>
      <c r="J18" t="str">
        <f>IF(FT!B18&lt;&gt;"",FT!E18,"")</f>
        <v>0 [6.469039]</v>
      </c>
      <c r="K18">
        <f>IF(FT!B18&lt;&gt;"",IF(FT!C18&lt;&gt;"",FT!C18,F18/$M$3*$M$4),"")</f>
        <v>6.4690399999999997</v>
      </c>
      <c r="P18">
        <f t="shared" si="10"/>
        <v>15</v>
      </c>
      <c r="Q18">
        <f t="shared" si="12"/>
        <v>0</v>
      </c>
      <c r="R18">
        <f t="shared" si="13"/>
        <v>0</v>
      </c>
      <c r="S18">
        <f t="array" ref="S18">MAX(IF(ft_nq=P18,row_n))</f>
        <v>0</v>
      </c>
      <c r="T18">
        <f t="shared" si="11"/>
        <v>1</v>
      </c>
      <c r="V18" s="288">
        <f>M!B18*100</f>
        <v>57.230899999999998</v>
      </c>
      <c r="W18" s="287">
        <f>100-M!B19*100</f>
        <v>53.901199999999996</v>
      </c>
      <c r="X18" t="str">
        <f>"(" &amp; ROUND(V18,1) &amp; " , " &amp; ROUND(100-W18,1) &amp; ")"</f>
        <v>(57.2 , 46.1)</v>
      </c>
      <c r="Y18" s="75">
        <f t="shared" si="3"/>
        <v>12.155481230360072</v>
      </c>
      <c r="Z18">
        <f>M!B18*100</f>
        <v>57.230899999999998</v>
      </c>
      <c r="AA18">
        <f>100-M!B19*100</f>
        <v>53.901199999999996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1.5228003310812111E-2</v>
      </c>
      <c r="D19" s="50">
        <f>IF(hist!$D$2&gt;0,hist!B19/hist!$D$2,0)</f>
        <v>0</v>
      </c>
      <c r="E19" s="50">
        <f t="shared" si="1"/>
        <v>3.667806543151835E-4</v>
      </c>
      <c r="F19">
        <f t="shared" si="6"/>
        <v>17</v>
      </c>
      <c r="G19" s="50">
        <f>IF(FT!A19&lt;&gt;"",FT!A19*10,"")</f>
        <v>3.9000499999999998</v>
      </c>
      <c r="H19" s="50">
        <f>IF(FT!B19&lt;&gt;"",FT!B19*100,"")</f>
        <v>48.144300000000001</v>
      </c>
      <c r="I19" s="50">
        <f t="shared" si="2"/>
        <v>1</v>
      </c>
      <c r="J19" t="str">
        <f>IF(FT!B19&lt;&gt;"",FT!E19,"")</f>
        <v>0 [6.875492]</v>
      </c>
      <c r="K19">
        <f>IF(FT!B19&lt;&gt;"",IF(FT!C19&lt;&gt;"",FT!C19,F19/$M$3*$M$4),"")</f>
        <v>6.8754900000000001</v>
      </c>
      <c r="P19">
        <f t="shared" si="10"/>
        <v>16</v>
      </c>
      <c r="Q19">
        <f t="shared" si="12"/>
        <v>0</v>
      </c>
      <c r="R19">
        <f t="shared" si="13"/>
        <v>0</v>
      </c>
      <c r="S19">
        <f t="array" ref="S19">MAX(IF(ft_nq=P19,row_n))</f>
        <v>0</v>
      </c>
      <c r="T19">
        <f t="shared" si="11"/>
        <v>1</v>
      </c>
      <c r="V19" t="s">
        <v>1521</v>
      </c>
      <c r="Y19" s="75">
        <f t="shared" si="3"/>
        <v>12.34453404443533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재미있는</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1.5912430302913644E-2</v>
      </c>
      <c r="D20" s="50">
        <f>IF(hist!$D$2&gt;0,hist!B20/hist!$D$2,0)</f>
        <v>0</v>
      </c>
      <c r="E20" s="50">
        <f t="shared" si="1"/>
        <v>4.401411966807476E-4</v>
      </c>
      <c r="F20">
        <f t="shared" si="6"/>
        <v>18</v>
      </c>
      <c r="G20" s="50">
        <f>IF(FT!A20&lt;&gt;"",FT!A20*10,"")</f>
        <v>3.8592900000000001</v>
      </c>
      <c r="H20" s="50">
        <f>IF(FT!B20&lt;&gt;"",FT!B20*100,"")</f>
        <v>48.268699999999995</v>
      </c>
      <c r="I20" s="50">
        <f t="shared" si="2"/>
        <v>1</v>
      </c>
      <c r="J20" t="str">
        <f>IF(FT!B20&lt;&gt;"",FT!E20,"")</f>
        <v>0 [7.282024]</v>
      </c>
      <c r="K20">
        <f>IF(FT!B20&lt;&gt;"",IF(FT!C20&lt;&gt;"",FT!C20,F20/$M$3*$M$4),"")</f>
        <v>7.2820200000000002</v>
      </c>
      <c r="P20">
        <f t="shared" si="10"/>
        <v>17</v>
      </c>
      <c r="Q20">
        <f t="shared" si="12"/>
        <v>0</v>
      </c>
      <c r="R20">
        <f t="shared" si="13"/>
        <v>0</v>
      </c>
      <c r="S20">
        <f t="array" ref="S20">MAX(IF(ft_nq=P20,row_n))</f>
        <v>0</v>
      </c>
      <c r="T20">
        <f t="shared" si="11"/>
        <v>1</v>
      </c>
      <c r="V20" s="56">
        <v>50</v>
      </c>
      <c r="W20">
        <v>50</v>
      </c>
      <c r="Y20" s="75">
        <f t="shared" si="3"/>
        <v>12.507145096636945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1.9077784835710574E-2</v>
      </c>
      <c r="D21" s="50">
        <f>IF(hist!$D$2&gt;0,hist!B21/hist!$D$2,0)</f>
        <v>0.61488450489901758</v>
      </c>
      <c r="E21" s="50">
        <f t="shared" si="1"/>
        <v>5.2704535682443585E-4</v>
      </c>
      <c r="F21">
        <f t="shared" si="6"/>
        <v>19</v>
      </c>
      <c r="G21" s="50">
        <f>IF(FT!A21&lt;&gt;"",FT!A21*10,"")</f>
        <v>3.8355099999999998</v>
      </c>
      <c r="H21" s="50">
        <f>IF(FT!B21&lt;&gt;"",FT!B21*100,"")</f>
        <v>48.301699999999997</v>
      </c>
      <c r="I21" s="50">
        <f t="shared" si="2"/>
        <v>1</v>
      </c>
      <c r="J21" t="str">
        <f>IF(FT!B21&lt;&gt;"",FT!E21,"")</f>
        <v>0 [7.688160]</v>
      </c>
      <c r="K21">
        <f>IF(FT!B21&lt;&gt;"",IF(FT!C21&lt;&gt;"",FT!C21,F21/$M$3*$M$4),"")</f>
        <v>7.6881599999999999</v>
      </c>
      <c r="P21">
        <f t="shared" si="10"/>
        <v>18</v>
      </c>
      <c r="Q21">
        <f t="shared" si="12"/>
        <v>0</v>
      </c>
      <c r="R21">
        <f t="shared" si="13"/>
        <v>0</v>
      </c>
      <c r="S21">
        <f t="array" ref="S21">MAX(IF(ft_nq=P21,row_n))</f>
        <v>0</v>
      </c>
      <c r="T21">
        <f t="shared" si="11"/>
        <v>1</v>
      </c>
      <c r="V21" s="288">
        <f>Measurement!DK17*100</f>
        <v>88.922601962906072</v>
      </c>
      <c r="W21" s="287">
        <f>'R3'!I3</f>
        <v>59.564026191879037</v>
      </c>
      <c r="X21" t="str">
        <f>"(" &amp; ROUND(V21,1) &amp; " , " &amp; ROUND(W21,1) &amp; ")" &amp; CHAR(10) &amp; AR26</f>
        <v>(88.9 , 59.6)
재미있는</v>
      </c>
      <c r="Y21" s="75">
        <f t="shared" si="3"/>
        <v>12.593292678157534</v>
      </c>
      <c r="AA21">
        <f>100-M!B19*100</f>
        <v>53.901199999999996</v>
      </c>
      <c r="AC21">
        <f>'R3'!I3</f>
        <v>59.564026191879037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4.7052863916639404E-3</v>
      </c>
      <c r="D22" s="50">
        <f>IF(hist!$D$2&gt;0,hist!B22/hist!$D$2,0)</f>
        <v>0</v>
      </c>
      <c r="E22" s="50">
        <f t="shared" si="1"/>
        <v>6.297589323047602E-4</v>
      </c>
      <c r="F22">
        <f t="shared" si="6"/>
        <v>20</v>
      </c>
      <c r="G22" s="50">
        <f>IF(FT!A22&lt;&gt;"",FT!A22*10,"")</f>
        <v>3.81433</v>
      </c>
      <c r="H22" s="50">
        <f>IF(FT!B22&lt;&gt;"",FT!B22*100,"")</f>
        <v>48.259399999999999</v>
      </c>
      <c r="I22" s="50">
        <f t="shared" si="2"/>
        <v>1</v>
      </c>
      <c r="J22" t="str">
        <f>IF(FT!B22&lt;&gt;"",FT!E22,"")</f>
        <v>0 [8.108642]</v>
      </c>
      <c r="K22">
        <f>IF(FT!B22&lt;&gt;"",IF(FT!C22&lt;&gt;"",FT!C22,F22/$M$3*$M$4),"")</f>
        <v>8.1086399999999994</v>
      </c>
      <c r="P22">
        <f t="shared" si="10"/>
        <v>19</v>
      </c>
      <c r="Q22">
        <f t="shared" si="12"/>
        <v>0</v>
      </c>
      <c r="R22">
        <f t="shared" si="13"/>
        <v>0</v>
      </c>
      <c r="S22">
        <f t="array" ref="S22">MAX(IF(ft_nq=P22,row_n))</f>
        <v>0</v>
      </c>
      <c r="T22">
        <f t="shared" si="11"/>
        <v>1</v>
      </c>
      <c r="V22" s="300">
        <f>X23</f>
        <v>90</v>
      </c>
      <c r="W22" s="300">
        <f>X23</f>
        <v>90</v>
      </c>
      <c r="X22" t="s">
        <v>1188</v>
      </c>
      <c r="Y22" s="75">
        <f t="shared" si="3"/>
        <v>12.652130256165565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4.7908413697522667E-3</v>
      </c>
      <c r="D23" s="50">
        <f>IF(hist!$D$2&gt;0,hist!B23/hist!$D$2,0)</f>
        <v>0.44128838451985836</v>
      </c>
      <c r="E23" s="50">
        <f t="shared" si="1"/>
        <v>7.5088089298214319E-4</v>
      </c>
      <c r="F23">
        <f t="shared" si="6"/>
        <v>21</v>
      </c>
      <c r="G23" s="50">
        <f>IF(FT!A23&lt;&gt;"",FT!A23*10,"")</f>
        <v>3.7919900000000002</v>
      </c>
      <c r="H23" s="50">
        <f>IF(FT!B23&lt;&gt;"",FT!B23*100,"")</f>
        <v>48.267099999999999</v>
      </c>
      <c r="I23" s="50">
        <f t="shared" si="2"/>
        <v>1</v>
      </c>
      <c r="J23" t="str">
        <f>IF(FT!B23&lt;&gt;"",FT!E23,"")</f>
        <v>0 [8.514935]</v>
      </c>
      <c r="K23">
        <f>IF(FT!B23&lt;&gt;"",IF(FT!C23&lt;&gt;"",FT!C23,F23/$M$3*$M$4),"")</f>
        <v>8.5149299999999997</v>
      </c>
      <c r="P23">
        <f t="shared" si="10"/>
        <v>20</v>
      </c>
      <c r="Q23">
        <f t="shared" si="12"/>
        <v>0</v>
      </c>
      <c r="R23">
        <f t="shared" si="13"/>
        <v>0</v>
      </c>
      <c r="S23">
        <f t="array" ref="S23">MAX(IF(ft_nq=P23,row_n))</f>
        <v>0</v>
      </c>
      <c r="T23">
        <f t="shared" si="11"/>
        <v>1</v>
      </c>
      <c r="V23" s="300">
        <f>100-X23</f>
        <v>10</v>
      </c>
      <c r="W23" s="300">
        <f>X23</f>
        <v>90</v>
      </c>
      <c r="X23">
        <v>90</v>
      </c>
      <c r="Y23" s="75">
        <f t="shared" si="3"/>
        <v>12.728699179059015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4.9619384933238366E-3</v>
      </c>
      <c r="D24" s="50">
        <f>IF(hist!$D$2&gt;0,hist!B24/hist!$D$2,0)</f>
        <v>0</v>
      </c>
      <c r="E24" s="50">
        <f t="shared" si="1"/>
        <v>8.9338394468533276E-4</v>
      </c>
      <c r="F24">
        <f t="shared" si="6"/>
        <v>22</v>
      </c>
      <c r="G24" s="50">
        <f>IF(FT!A24&lt;&gt;"",FT!A24*10,"")</f>
        <v>3.7728299999999999</v>
      </c>
      <c r="H24" s="50">
        <f>IF(FT!B24&lt;&gt;"",FT!B24*100,"")</f>
        <v>48.1402</v>
      </c>
      <c r="I24" s="50">
        <f t="shared" si="2"/>
        <v>1</v>
      </c>
      <c r="J24" t="str">
        <f>IF(FT!B24&lt;&gt;"",FT!E24,"")</f>
        <v>0 [8.918157]</v>
      </c>
      <c r="K24">
        <f>IF(FT!B24&lt;&gt;"",IF(FT!C24&lt;&gt;"",FT!C24,F24/$M$3*$M$4),"")</f>
        <v>8.9181600000000003</v>
      </c>
      <c r="P24">
        <f t="shared" si="10"/>
        <v>21</v>
      </c>
      <c r="Q24">
        <f t="shared" si="12"/>
        <v>0</v>
      </c>
      <c r="R24">
        <f t="shared" si="13"/>
        <v>0</v>
      </c>
      <c r="S24">
        <f t="array" ref="S24">MAX(IF(ft_nq=P24,row_n))</f>
        <v>0</v>
      </c>
      <c r="T24">
        <f t="shared" si="11"/>
        <v>1</v>
      </c>
      <c r="V24" s="300">
        <f>100-X23</f>
        <v>10</v>
      </c>
      <c r="W24" s="300">
        <f>100-X23</f>
        <v>10</v>
      </c>
      <c r="Y24" s="75">
        <f t="shared" si="3"/>
        <v>12.7597055791011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1.2832605082994874E-3</v>
      </c>
      <c r="D25" s="50">
        <f>IF(hist!$D$2&gt;0,hist!B25/hist!$D$2,0)</f>
        <v>0</v>
      </c>
      <c r="E25" s="50">
        <f t="shared" si="1"/>
        <v>1.0606585718013672E-3</v>
      </c>
      <c r="F25">
        <f t="shared" si="6"/>
        <v>23</v>
      </c>
      <c r="G25" s="50">
        <f>IF(FT!A25&lt;&gt;"",FT!A25*10,"")</f>
        <v>3.7325300000000001</v>
      </c>
      <c r="H25" s="50">
        <f>IF(FT!B25&lt;&gt;"",FT!B25*100,"")</f>
        <v>48.212400000000002</v>
      </c>
      <c r="I25" s="50">
        <f t="shared" si="2"/>
        <v>1</v>
      </c>
      <c r="J25" t="str">
        <f>IF(FT!B25&lt;&gt;"",FT!E25,"")</f>
        <v>0 [9.325313]</v>
      </c>
      <c r="K25">
        <f>IF(FT!B25&lt;&gt;"",IF(FT!C25&lt;&gt;"",FT!C25,F25/$M$3*$M$4),"")</f>
        <v>9.32531</v>
      </c>
      <c r="P25">
        <f t="shared" si="10"/>
        <v>22</v>
      </c>
      <c r="Q25">
        <f t="shared" si="12"/>
        <v>0</v>
      </c>
      <c r="R25">
        <f t="shared" si="13"/>
        <v>0</v>
      </c>
      <c r="S25">
        <f t="array" ref="S25">MAX(IF(ft_nq=P25,row_n))</f>
        <v>0</v>
      </c>
      <c r="T25">
        <f t="shared" si="11"/>
        <v>1</v>
      </c>
      <c r="V25" s="300">
        <f>X23</f>
        <v>90</v>
      </c>
      <c r="W25" s="300">
        <f>100-X23</f>
        <v>10</v>
      </c>
      <c r="Y25" s="75">
        <f t="shared" si="3"/>
        <v>12.91681513611411</v>
      </c>
    </row>
    <row r="26" spans="1:120">
      <c r="A26" s="50">
        <f t="shared" si="5"/>
        <v>24</v>
      </c>
      <c r="B26" s="50">
        <f t="shared" si="0"/>
        <v>0.467472</v>
      </c>
      <c r="C26" s="50">
        <f>IF(FH!$C$2&gt;0,FH!A26/FH!$C$2,0)</f>
        <v>0</v>
      </c>
      <c r="D26" s="50">
        <f>IF(hist!$D$2&gt;0,hist!B26/hist!$D$2,0)</f>
        <v>0.35723296985987324</v>
      </c>
      <c r="E26" s="50">
        <f t="shared" si="1"/>
        <v>1.2565606101501614E-3</v>
      </c>
      <c r="F26">
        <f t="shared" si="6"/>
        <v>24</v>
      </c>
      <c r="G26" s="50">
        <f>IF(FT!A26&lt;&gt;"",FT!A26*10,"")</f>
        <v>3.6966199999999998</v>
      </c>
      <c r="H26" s="50">
        <f>IF(FT!B26&lt;&gt;"",FT!B26*100,"")</f>
        <v>48.8626</v>
      </c>
      <c r="I26" s="50">
        <f t="shared" si="2"/>
        <v>1</v>
      </c>
      <c r="J26" t="str">
        <f>IF(FT!B26&lt;&gt;"",FT!E26,"")</f>
        <v>0 [9.718441]</v>
      </c>
      <c r="K26">
        <f>IF(FT!B26&lt;&gt;"",IF(FT!C26&lt;&gt;"",FT!C26,F26/$M$3*$M$4),"")</f>
        <v>9.7184399999999993</v>
      </c>
      <c r="P26">
        <f t="shared" si="10"/>
        <v>23</v>
      </c>
      <c r="Q26">
        <f t="shared" si="12"/>
        <v>0</v>
      </c>
      <c r="R26">
        <f t="shared" si="13"/>
        <v>0</v>
      </c>
      <c r="S26">
        <f t="array" ref="S26">MAX(IF(ft_nq=P26,row_n))</f>
        <v>0</v>
      </c>
      <c r="T26">
        <f t="shared" si="11"/>
        <v>1</v>
      </c>
      <c r="V26" s="300">
        <f>X23</f>
        <v>90</v>
      </c>
      <c r="W26" s="300">
        <f>X23</f>
        <v>90</v>
      </c>
      <c r="Y26" s="75">
        <f t="shared" si="3"/>
        <v>13.218183096991307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row>
    <row r="27" spans="1:120">
      <c r="A27" s="50">
        <f t="shared" si="5"/>
        <v>25</v>
      </c>
      <c r="B27" s="50">
        <f t="shared" si="0"/>
        <v>0.48694999999999999</v>
      </c>
      <c r="C27" s="50">
        <f>IF(FH!$C$2&gt;0,FH!A27/FH!$C$2,0)</f>
        <v>2.0532168132791797E-3</v>
      </c>
      <c r="D27" s="50">
        <f>IF(hist!$D$2&gt;0,hist!B27/hist!$D$2,0)</f>
        <v>0</v>
      </c>
      <c r="E27" s="50">
        <f t="shared" si="1"/>
        <v>1.4854623536618324E-3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0.50642799999999999</v>
      </c>
      <c r="C28" s="50">
        <f>IF(FH!$C$2&gt;0,FH!A28/FH!$C$2,0)</f>
        <v>1.5399126099593849E-3</v>
      </c>
      <c r="D28" s="50">
        <f>IF(hist!$D$2&gt;0,hist!B28/hist!$D$2,0)</f>
        <v>0.30578618259943796</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1.5399126099593849E-3</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2.0532168132791797E-3</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5.1330420331979494E-4</v>
      </c>
      <c r="D31" s="50">
        <f>IF(hist!$D$2&gt;0,hist!B31/hist!$D$2,0)</f>
        <v>0.26353548176897562</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0</v>
      </c>
      <c r="D33" s="50">
        <f>IF(hist!$D$2&gt;0,hist!B33/hist!$D$2,0)</f>
        <v>0.23013921172179805</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0.52676000000000001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47.323999999999998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69.085999999999999</v>
      </c>
      <c r="W35" s="23">
        <f>IF(FH_info!G2*1&lt;&gt;0,(1-NORMSDIST((FH_info!G2*1-0.5308)/0.1538))*100,0)</f>
        <v>51.047816308847246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v>
      </c>
      <c r="D36" s="50">
        <f>IF(hist!$D$2&gt;0,hist!B36/hist!$D$2,0)</f>
        <v>0.20050106695216038</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2.0725799999999999</v>
      </c>
      <c r="W36" s="495">
        <f>IF(W34&gt;=60,30/40*(W34-60)+70,IF(W34&gt;=35,35/25*(W34-35)+35,IF(W34&gt;=0,W34,0)))</f>
        <v>52.253599999999992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v>
      </c>
      <c r="D39" s="50">
        <f>IF(hist!$D$2&gt;0,hist!B39/hist!$D$2,0)</f>
        <v>0.18205198232783165</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7.8706858385786602E-3</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8.0417444643349819E-3</v>
      </c>
      <c r="D41" s="50">
        <f>IF(hist!$D$2&gt;0,hist!B41/hist!$D$2,0)</f>
        <v>0.1644854749081463</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1.1207163160157328E-2</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2.4724131072228317E-2</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14.3591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2.4809724548131892E-2</v>
      </c>
      <c r="D44" s="50">
        <f>IF(hist!$D$2&gt;0,hist!B44/hist!$D$2,0)</f>
        <v>0.15237588024846874</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3.6102417021167385E-2</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3.5161337927405958E-2</v>
      </c>
      <c r="D46" s="50">
        <f>IF(hist!$D$2&gt;0,hist!B46/hist!$D$2,0)</f>
        <v>0.1421168823805794</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2.6691818572629335E-2</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3.0798252199187696E-2</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3.7129025427806973E-2</v>
      </c>
      <c r="D49" s="50">
        <f>IF(hist!$D$2&gt;0,hist!B49/hist!$D$2,0)</f>
        <v>0.13032047965592045</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2.3098689149390773E-2</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5.1501543120761231E-2</v>
      </c>
      <c r="D51" s="50">
        <f>IF(hist!$D$2&gt;0,hist!B51/hist!$D$2,0)</f>
        <v>0.12681856906610878</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5.5094672543999794E-2</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88.922601962906072</v>
      </c>
      <c r="W52" s="303">
        <f ca="1">100-N9</f>
        <v>54.215252</v>
      </c>
      <c r="X52" t="str">
        <f ca="1">"(" &amp; ROUND(V52,1) &amp; " , " &amp; ROUND(100-W52,1) &amp; ")"</f>
        <v>(88.9 , 45.8)</v>
      </c>
      <c r="Y52" s="75" t="str">
        <f t="shared" si="3"/>
        <v/>
      </c>
    </row>
    <row r="53" spans="1:25">
      <c r="A53" s="50">
        <f t="shared" si="5"/>
        <v>51</v>
      </c>
      <c r="B53" s="50">
        <f t="shared" si="0"/>
        <v>0.99337800000000009</v>
      </c>
      <c r="C53" s="50">
        <f>IF(FH!$C$2&gt;0,FH!A53/FH!$C$2,0)</f>
        <v>2.8231731182588721E-2</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7.930549941290832E-2</v>
      </c>
      <c r="D54" s="50">
        <f>IF(hist!$D$2&gt;0,hist!B54/hist!$D$2,0)</f>
        <v>0.12097255829288076</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8.1786683605705374E-2</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7.6567663118451354E-2</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9.5389244993679942E-2</v>
      </c>
      <c r="D57" s="50">
        <f>IF(hist!$D$2&gt;0,hist!B57/hist!$D$2,0)</f>
        <v>0.11699613008401091</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8.9828235580964103E-2</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0.1327744733819689</v>
      </c>
      <c r="D59" s="50">
        <f>IF(hist!$D$2&gt;0,hist!B59/hist!$D$2,0)</f>
        <v>0.11400668445819234</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0.10206219963683728</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0.10017965647116193</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0.14740364317658305</v>
      </c>
      <c r="D62" s="50">
        <f>IF(hist!$D$2&gt;0,hist!B62/hist!$D$2,0)</f>
        <v>0.10615823341886052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0.1519380441826593</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0.1319191802531873</v>
      </c>
      <c r="D64" s="50">
        <f>IF(hist!$D$2&gt;0,hist!B64/hist!$D$2,0)</f>
        <v>9.9277779190010004E-2</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0.16844911551269465</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0.23107222831770963</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0.22320199162030888</v>
      </c>
      <c r="D67" s="50">
        <f>IF(hist!$D$2&gt;0,hist!B67/hist!$D$2,0)</f>
        <v>9.0622649906529046E-2</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0.39781075757284107</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0.26623356624511557</v>
      </c>
      <c r="D69" s="50">
        <f>IF(hist!$D$2&gt;0,hist!B69/hist!$D$2,0)</f>
        <v>8.6133745345334356E-2</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0.47694494170789137</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0.44443610325114047</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0.51989182113915033</v>
      </c>
      <c r="D72" s="50">
        <f>IF(hist!$D$2&gt;0,hist!B72/hist!$D$2,0)</f>
        <v>8.0838175351863759E-2</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0.58063239077848994</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0.43399870390688661</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0.77859906450308947</v>
      </c>
      <c r="D75" s="50">
        <f>IF(hist!$D$2&gt;0,hist!B75/hist!$D$2,0)</f>
        <v>7.4584082216386988E-2</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0.4821639621951454</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0.59021449699396222</v>
      </c>
      <c r="D77" s="50">
        <f>IF(hist!$D$2&gt;0,hist!B77/hist!$D$2,0)</f>
        <v>6.8510300537519719E-2</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0.86140786510365541</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0.49918833772850058</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0.62392125913521079</v>
      </c>
      <c r="D80" s="50">
        <f>IF(hist!$D$2&gt;0,hist!B80/hist!$D$2,0)</f>
        <v>6.4277646252589943E-2</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0.78107575728410739</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0.48524378741506419</v>
      </c>
      <c r="D82" s="50">
        <f>IF(hist!$D$2&gt;0,hist!B82/hist!$D$2,0)</f>
        <v>6.079470862347499E-2</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0.59894066845039873</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0.72059568952795261</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0.4826772663984652</v>
      </c>
      <c r="D85" s="50">
        <f>IF(hist!$D$2&gt;0,hist!B85/hist!$D$2,0)</f>
        <v>5.5204936738180124E-2</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0.59269503955650515</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0.48404586373056657</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1</v>
      </c>
      <c r="D88" s="50">
        <f>IF(hist!$D$2&gt;0,hist!B88/hist!$D$2,0)</f>
        <v>4.8799000128387775E-2</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0.41851424098349083</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0.56446330837391645</v>
      </c>
      <c r="D90" s="50">
        <f>IF(hist!$D$2&gt;0,hist!B90/hist!$D$2,0)</f>
        <v>4.2203259887471693E-2</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0.68885424085516489</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0.40961675424919636</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0.56839906835287102</v>
      </c>
      <c r="D93" s="50">
        <f>IF(hist!$D$2&gt;0,hist!B93/hist!$D$2,0)</f>
        <v>3.7012078189911334E-2</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0.65908259706261674</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0.40807684163923696</v>
      </c>
      <c r="D95" s="50">
        <f>IF(hist!$D$2&gt;0,hist!B95/hist!$D$2,0)</f>
        <v>3.225744968397657E-2</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0.61117399087601776</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0.64445342726800259</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0.44794325422032299</v>
      </c>
      <c r="D98" s="50">
        <f>IF(hist!$D$2&gt;0,hist!B98/hist!$D$2,0)</f>
        <v>2.8110197922387066E-2</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0.51167895388603357</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0.63837911365196687</v>
      </c>
      <c r="D100" s="50">
        <f>IF(hist!$D$2&gt;0,hist!B100/hist!$D$2,0)</f>
        <v>2.4086321652819223E-2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0.44238288643786128</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0.64462666743662289</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0.68115467780536787</v>
      </c>
      <c r="D103" s="50">
        <f>IF(hist!$D$2&gt;0,hist!B103/hist!$D$2,0)</f>
        <v>1.9787226416914137E-2</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0.34151861048552157</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0.68970760909318396</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0.6738850070258513</v>
      </c>
      <c r="D106" s="50">
        <f>IF(hist!$D$2&gt;0,hist!B106/hist!$D$2,0)</f>
        <v>1.7509560066765746E-2</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0.60492900361237834</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0.65736944428403687</v>
      </c>
      <c r="D108" s="50">
        <f>IF(hist!$D$2&gt;0,hist!B108/hist!$D$2,0)</f>
        <v>1.4510632231223211E-2</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0.66447229119747453</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0.66866213675707242</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0.76413671857455423</v>
      </c>
      <c r="D111" s="50">
        <f>IF(hist!$D$2&gt;0,hist!B111/hist!$D$2,0)</f>
        <v>1.1312410013584158E-2</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0.48669772157096752</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0.76593328328617349</v>
      </c>
      <c r="D113" s="50">
        <f>IF(hist!$D$2&gt;0,hist!B113/hist!$D$2,0)</f>
        <v>9.3194519572043187E-3</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0.64624999197962174</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0.61254322983837339</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0.7779959320641886</v>
      </c>
      <c r="D116" s="50">
        <f>IF(hist!$D$2&gt;0,hist!B116/hist!$D$2,0)</f>
        <v>8.6836029599407349E-3</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0.6235792702097489</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0.91812797957049275</v>
      </c>
      <c r="D118" s="50">
        <f>IF(hist!$D$2&gt;0,hist!B118/hist!$D$2,0)</f>
        <v>7.5447697848665405E-3</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0.75224730996515943</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0.67910146099208868</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0.70143019383649985</v>
      </c>
      <c r="D121" s="50">
        <f>IF(hist!$D$2&gt;0,hist!B121/hist!$D$2,0)</f>
        <v>6.0547973298387819E-3</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0.72940527291742863</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0.78697875562228503</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0.83514593880130639</v>
      </c>
      <c r="D124" s="50">
        <f>IF(hist!$D$2&gt;0,hist!B124/hist!$D$2,0)</f>
        <v>5.0013752193536825E-3</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0.45170769892141954</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0.73625146772920635</v>
      </c>
      <c r="D126" s="50">
        <f>IF(hist!$D$2&gt;0,hist!B126/hist!$D$2,0)</f>
        <v>4.2421535771513755E-3</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0.95286584153015985</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0.30832451091733876</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0.71297953841119521</v>
      </c>
      <c r="D129" s="50">
        <f>IF(hist!$D$2&gt;0,hist!B129/hist!$D$2,0)</f>
        <v>3.8815221226835683E-3</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0.80648431534843734</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0.44563338530538393</v>
      </c>
      <c r="D131" s="50">
        <f>IF(hist!$D$2&gt;0,hist!B131/hist!$D$2,0)</f>
        <v>3.6442661602374238E-3</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0.39721211654571936</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0.74189781396572407</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0.41047204737797799</v>
      </c>
      <c r="D134" s="50">
        <f>IF(hist!$D$2&gt;0,hist!B134/hist!$D$2,0)</f>
        <v>2.7331996201780677E-3</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0.5141594964485765</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0.67106183390759244</v>
      </c>
      <c r="D136" s="50">
        <f>IF(hist!$D$2&gt;0,hist!B136/hist!$D$2,0)</f>
        <v>1.9644872270029859E-3</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0.34468377252924226</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0.55881696213739862</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0.5010702392639218</v>
      </c>
      <c r="D139" s="50">
        <f>IF(hist!$D$2&gt;0,hist!B139/hist!$D$2,0)</f>
        <v>1.8600946604683413E-3</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0.27341982509159274</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0.48515780896100813</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0.49208741570582537</v>
      </c>
      <c r="D142" s="50">
        <f>IF(hist!$D$2&gt;0,hist!B142/hist!$D$2,0)</f>
        <v>1.1957748338279047E-3</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0.19248907624492309</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0.54607033550845985</v>
      </c>
      <c r="D144" s="50">
        <f>IF(hist!$D$2&gt;0,hist!B144/hist!$D$2,0)</f>
        <v>1.1673040044510496E-3</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0.29797309002714095</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0.24150962766196349</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0.41295323157077501</v>
      </c>
      <c r="D147" s="50">
        <f>IF(hist!$D$2&gt;0,hist!B147/hist!$D$2,0)</f>
        <v>8.8259571068250104E-4</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0.19094916363496373</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0.21173798386941539</v>
      </c>
      <c r="D149" s="50">
        <f>IF(hist!$D$2&gt;0,hist!B149/hist!$D$2,0)</f>
        <v>5.9788741691395233E-4</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0.28967488595022228</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0.13833548279468474</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0.13961874330298424</v>
      </c>
      <c r="D152" s="50">
        <f>IF(hist!$D$2&gt;0,hist!B152/hist!$D$2,0)</f>
        <v>5.0298417781061318E-4</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0.16913373499387244</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0.19069251153330383</v>
      </c>
      <c r="D154" s="50">
        <f>IF(hist!$D$2&gt;0,hist!B154/hist!$D$2,0)</f>
        <v>3.4164995252225846E-4</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0.10069296067448172</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0.16340205193355278</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0.20677625711407543</v>
      </c>
      <c r="D157" s="50">
        <f>IF(hist!$D$2&gt;0,hist!B157/hist!$D$2,0)</f>
        <v>3.2266987411817816E-4</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9.5474581817481863E-2</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0.1421852643195832</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0.13748018966590311</v>
      </c>
      <c r="D160" s="50">
        <f>IF(hist!$D$2&gt;0,hist!B160/hist!$D$2,0)</f>
        <v>2.2776663501483899E-4</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9.8982374416918512E-2</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9.9239026518578397E-2</v>
      </c>
      <c r="D162" s="50">
        <f>IF(hist!$D$2&gt;0,hist!B162/hist!$D$2,0)</f>
        <v>1.1388331750741949E-4</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0.10368744907059858</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6.262311280501498E-2</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6.1254322983837338E-2</v>
      </c>
      <c r="D165" s="50">
        <f>IF(hist!$D$2&gt;0,hist!B165/hist!$D$2,0)</f>
        <v>5.6941658753709746E-5</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0.11369688103533458</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8.5978454056065662E-2</v>
      </c>
      <c r="D167" s="50">
        <f>IF(hist!$D$2&gt;0,hist!B167/hist!$D$2,0)</f>
        <v>2.8470829376854873E-5</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0.12533156243383187</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0.13149121287366941</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7.9476814690766298E-2</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7.8450206284126703E-2</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4.5085240579263795E-2</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9.9666352267842137E-2</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4.7480638807081033E-2</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1.2233771566796918E-2</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4.5341892680923694E-2</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4.0465502749385637E-2</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3.789898173278667E-2</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4.1235459054365327E-2</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3.7214554740685128E-2</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1.5570248888375585E-2</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1.8222299217852719E-2</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7.100729533598968E-3</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4.7052863916639404E-3</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46.749400000000001</v>
      </c>
      <c r="C5" s="49">
        <v>4.73766</v>
      </c>
      <c r="D5" s="49">
        <v>10.1342</v>
      </c>
      <c r="E5" s="49">
        <v>20</v>
      </c>
      <c r="F5" s="49">
        <v>32.394399999999997</v>
      </c>
      <c r="G5" s="49">
        <v>50</v>
      </c>
      <c r="H5" s="49">
        <v>53.019199999999998</v>
      </c>
    </row>
    <row r="6" spans="1:10">
      <c r="A6" t="s">
        <v>1111</v>
      </c>
      <c r="B6" s="49">
        <v>28.853200000000001</v>
      </c>
      <c r="C6" s="49">
        <v>1.28932</v>
      </c>
      <c r="D6" s="49">
        <v>4.4685600000000001</v>
      </c>
      <c r="E6" s="49">
        <v>20</v>
      </c>
      <c r="F6" s="49">
        <v>25.062000000000001</v>
      </c>
      <c r="G6" s="49">
        <v>40</v>
      </c>
      <c r="H6" s="49">
        <v>29.807400000000001</v>
      </c>
    </row>
    <row r="7" spans="1:10">
      <c r="A7" t="s">
        <v>1112</v>
      </c>
      <c r="B7" s="49">
        <v>16.3035</v>
      </c>
      <c r="C7" s="49">
        <v>8.7113600000000009</v>
      </c>
      <c r="D7" s="49">
        <v>53.432400000000001</v>
      </c>
      <c r="E7" s="49">
        <v>15</v>
      </c>
      <c r="F7" s="49">
        <v>5.96692</v>
      </c>
      <c r="G7" s="49">
        <v>40</v>
      </c>
      <c r="H7" s="49">
        <v>31.4832</v>
      </c>
    </row>
    <row r="8" spans="1:10">
      <c r="A8" t="s">
        <v>1113</v>
      </c>
      <c r="B8" s="49">
        <v>30.338799999999999</v>
      </c>
      <c r="C8" s="49">
        <v>1.6008800000000001</v>
      </c>
      <c r="D8" s="49">
        <v>5.2766500000000001</v>
      </c>
      <c r="E8" s="49">
        <v>20</v>
      </c>
      <c r="F8" s="49">
        <v>29.0929</v>
      </c>
      <c r="G8" s="49">
        <v>50</v>
      </c>
      <c r="H8" s="49">
        <v>34.138300000000001</v>
      </c>
    </row>
    <row r="9" spans="1:10">
      <c r="A9" t="s">
        <v>1114</v>
      </c>
      <c r="B9" s="49">
        <v>69.594999999999999</v>
      </c>
      <c r="C9" s="49">
        <v>4.1853699999999998</v>
      </c>
      <c r="D9" s="49">
        <v>6.01389</v>
      </c>
      <c r="E9" s="49">
        <v>50</v>
      </c>
      <c r="F9" s="49">
        <v>58.836199999999998</v>
      </c>
      <c r="G9" s="49">
        <v>100</v>
      </c>
      <c r="H9" s="49">
        <v>73.584999999999994</v>
      </c>
    </row>
    <row r="10" spans="1:10">
      <c r="A10" t="s">
        <v>1115</v>
      </c>
      <c r="B10" s="49">
        <v>74.682400000000001</v>
      </c>
      <c r="C10" s="49">
        <v>1.2722800000000001</v>
      </c>
      <c r="D10" s="49">
        <v>1.7035899999999999</v>
      </c>
      <c r="E10" s="49">
        <v>40</v>
      </c>
      <c r="F10" s="49">
        <v>71.874899999999997</v>
      </c>
      <c r="G10" s="49">
        <v>100</v>
      </c>
      <c r="H10" s="49">
        <v>77.934799999999996</v>
      </c>
    </row>
    <row r="11" spans="1:10">
      <c r="A11" t="s">
        <v>1116</v>
      </c>
      <c r="B11" s="49">
        <v>33.508499999999998</v>
      </c>
      <c r="C11" s="49">
        <v>5.0812799999999996</v>
      </c>
      <c r="D11" s="49">
        <v>15.164099999999999</v>
      </c>
      <c r="E11" s="49">
        <v>10</v>
      </c>
      <c r="F11" s="49">
        <v>26.456800000000001</v>
      </c>
      <c r="G11" s="49">
        <v>50</v>
      </c>
      <c r="H11" s="49">
        <v>43.304000000000002</v>
      </c>
    </row>
    <row r="12" spans="1:10">
      <c r="A12" t="s">
        <v>1117</v>
      </c>
      <c r="B12" s="49">
        <v>72.459500000000006</v>
      </c>
      <c r="C12" s="49">
        <v>2.50223</v>
      </c>
      <c r="D12" s="49">
        <v>3.4532799999999999</v>
      </c>
      <c r="E12" s="49">
        <v>50</v>
      </c>
      <c r="F12" s="49">
        <v>66.318200000000004</v>
      </c>
      <c r="G12" s="49">
        <v>100</v>
      </c>
      <c r="H12" s="49">
        <v>74.5976</v>
      </c>
    </row>
    <row r="13" spans="1:10">
      <c r="A13" t="s">
        <v>1118</v>
      </c>
      <c r="B13" s="49">
        <v>17.825500000000002</v>
      </c>
      <c r="C13" s="49">
        <v>3.3010999999999999</v>
      </c>
      <c r="D13" s="49">
        <v>18.518899999999999</v>
      </c>
      <c r="E13" s="49">
        <v>10</v>
      </c>
      <c r="F13" s="49">
        <v>12.8642</v>
      </c>
      <c r="G13" s="49">
        <v>25</v>
      </c>
      <c r="H13" s="49">
        <v>24.359000000000002</v>
      </c>
      <c r="J13" s="49"/>
    </row>
    <row r="14" spans="1:10">
      <c r="A14" t="s">
        <v>1119</v>
      </c>
      <c r="B14" s="49">
        <v>33.011000000000003</v>
      </c>
      <c r="C14" s="49">
        <v>8.3932900000000004</v>
      </c>
      <c r="D14" s="49">
        <v>25.425699999999999</v>
      </c>
      <c r="E14" s="49">
        <v>10</v>
      </c>
      <c r="F14" s="49">
        <v>1.11568</v>
      </c>
      <c r="G14" s="49">
        <v>50</v>
      </c>
      <c r="H14" s="49">
        <v>33.389099999999999</v>
      </c>
    </row>
    <row r="15" spans="1:10">
      <c r="A15" t="s">
        <v>1120</v>
      </c>
      <c r="B15" s="49">
        <v>-7.4076299999999998E-2</v>
      </c>
      <c r="C15" s="49">
        <v>0</v>
      </c>
      <c r="D15" s="49">
        <v>0</v>
      </c>
      <c r="E15" s="49">
        <v>0</v>
      </c>
      <c r="F15" s="49">
        <v>0</v>
      </c>
      <c r="G15" s="49">
        <v>0</v>
      </c>
      <c r="H15" s="49">
        <v>0</v>
      </c>
    </row>
    <row r="16" spans="1:10">
      <c r="A16" t="s">
        <v>1121</v>
      </c>
      <c r="B16" s="49">
        <v>-0.124823</v>
      </c>
      <c r="C16" s="49">
        <v>0</v>
      </c>
      <c r="D16" s="49">
        <v>0</v>
      </c>
      <c r="E16" s="49">
        <v>0</v>
      </c>
      <c r="F16" s="49">
        <v>0</v>
      </c>
      <c r="G16" s="49">
        <v>0</v>
      </c>
      <c r="H16" s="49">
        <v>0</v>
      </c>
    </row>
    <row r="17" spans="1:8">
      <c r="A17" t="s">
        <v>1122</v>
      </c>
      <c r="B17" s="49">
        <v>14.3591</v>
      </c>
      <c r="C17" s="49">
        <v>0</v>
      </c>
      <c r="D17" s="49">
        <v>0</v>
      </c>
      <c r="E17" s="49">
        <v>0</v>
      </c>
      <c r="F17" s="49">
        <v>0</v>
      </c>
      <c r="G17" s="49">
        <v>0</v>
      </c>
      <c r="H17" s="49">
        <v>0</v>
      </c>
    </row>
    <row r="18" spans="1:8">
      <c r="A18" t="s">
        <v>1123</v>
      </c>
      <c r="B18" s="49">
        <v>0.57230899999999996</v>
      </c>
      <c r="C18" s="49">
        <v>0</v>
      </c>
      <c r="D18" s="49">
        <v>0</v>
      </c>
      <c r="E18" s="49">
        <v>0</v>
      </c>
      <c r="F18" s="49">
        <v>0</v>
      </c>
      <c r="G18" s="49">
        <v>0</v>
      </c>
      <c r="H18" s="49">
        <v>0</v>
      </c>
    </row>
    <row r="19" spans="1:8">
      <c r="A19" t="s">
        <v>1124</v>
      </c>
      <c r="B19" s="49">
        <v>0.46098800000000001</v>
      </c>
      <c r="C19" s="49">
        <v>0</v>
      </c>
      <c r="D19" s="49">
        <v>0</v>
      </c>
      <c r="E19" s="49">
        <v>0</v>
      </c>
      <c r="F19" s="49">
        <v>0</v>
      </c>
      <c r="G19" s="49">
        <v>0</v>
      </c>
      <c r="H19" s="49">
        <v>0</v>
      </c>
    </row>
    <row r="20" spans="1:8">
      <c r="A20" t="s">
        <v>1125</v>
      </c>
      <c r="B20" s="49">
        <v>1.83351E-2</v>
      </c>
      <c r="C20" s="49">
        <v>0.503695</v>
      </c>
      <c r="D20" s="49">
        <v>27.471499999999999</v>
      </c>
      <c r="E20" s="49">
        <v>0</v>
      </c>
      <c r="F20" s="49">
        <v>1.25618E-2</v>
      </c>
      <c r="G20" s="49">
        <v>0</v>
      </c>
      <c r="H20" s="49">
        <v>3.8929399999999998</v>
      </c>
    </row>
    <row r="21" spans="1:8">
      <c r="A21" t="s">
        <v>1126</v>
      </c>
      <c r="B21" s="49">
        <v>6.7024799999999995E-2</v>
      </c>
      <c r="C21" s="49">
        <v>1.96949</v>
      </c>
      <c r="D21" s="49">
        <v>29.384499999999999</v>
      </c>
      <c r="E21" s="49">
        <v>0</v>
      </c>
      <c r="F21" s="49">
        <v>1.7573999999999999E-2</v>
      </c>
      <c r="G21" s="49">
        <v>0</v>
      </c>
      <c r="H21" s="49">
        <v>9.6849000000000007</v>
      </c>
    </row>
    <row r="22" spans="1:8">
      <c r="A22" t="s">
        <v>1127</v>
      </c>
      <c r="B22" s="49">
        <v>28.424900000000001</v>
      </c>
      <c r="C22" s="49">
        <v>78.611000000000004</v>
      </c>
      <c r="D22" s="49">
        <v>2.7655699999999999</v>
      </c>
      <c r="E22" s="49">
        <v>0</v>
      </c>
      <c r="F22" s="49">
        <v>23.411100000000001</v>
      </c>
      <c r="G22" s="49">
        <v>0</v>
      </c>
      <c r="H22" s="49">
        <v>248.23</v>
      </c>
    </row>
    <row r="23" spans="1:8">
      <c r="A23" t="s">
        <v>1128</v>
      </c>
      <c r="B23" s="49">
        <v>51.545699999999997</v>
      </c>
      <c r="C23" s="49">
        <v>6.2635399999999999</v>
      </c>
      <c r="D23" s="49">
        <v>0.121514</v>
      </c>
      <c r="E23" s="49">
        <v>0</v>
      </c>
      <c r="F23" s="49">
        <v>43.848399999999998</v>
      </c>
      <c r="G23" s="49">
        <v>0</v>
      </c>
      <c r="H23" s="49">
        <v>63.716299999999997</v>
      </c>
    </row>
    <row r="24" spans="1:8">
      <c r="A24" t="s">
        <v>1129</v>
      </c>
      <c r="B24" s="49">
        <v>2.0366700000000001E-2</v>
      </c>
      <c r="C24" s="49">
        <v>0.42313800000000001</v>
      </c>
      <c r="D24" s="49">
        <v>20.7759</v>
      </c>
      <c r="E24" s="49">
        <v>0</v>
      </c>
      <c r="F24" s="49">
        <v>1.333E-2</v>
      </c>
      <c r="G24" s="49">
        <v>0</v>
      </c>
      <c r="H24" s="49">
        <v>2.61328</v>
      </c>
    </row>
    <row r="25" spans="1:8">
      <c r="A25" t="s">
        <v>1130</v>
      </c>
      <c r="B25" s="49">
        <v>0.155392</v>
      </c>
      <c r="C25" s="49">
        <v>1.59528</v>
      </c>
      <c r="D25" s="49">
        <v>10.2661</v>
      </c>
      <c r="E25" s="49">
        <v>0</v>
      </c>
      <c r="F25" s="49">
        <v>2.6220299999999998E-2</v>
      </c>
      <c r="G25" s="49">
        <v>0</v>
      </c>
      <c r="H25" s="49">
        <v>5.1307200000000002</v>
      </c>
    </row>
    <row r="26" spans="1:8">
      <c r="A26" t="s">
        <v>1131</v>
      </c>
      <c r="B26" s="49">
        <v>3.5778199999999998E-3</v>
      </c>
      <c r="C26" s="49">
        <v>1.3098E-2</v>
      </c>
      <c r="D26" s="49">
        <v>3.6608800000000001</v>
      </c>
      <c r="E26" s="49">
        <v>0</v>
      </c>
      <c r="F26" s="173">
        <v>2.5685199999999999E-3</v>
      </c>
      <c r="G26" s="49">
        <v>0</v>
      </c>
      <c r="H26" s="49">
        <v>8.5123500000000005E-2</v>
      </c>
    </row>
    <row r="27" spans="1:8">
      <c r="A27" t="s">
        <v>1132</v>
      </c>
      <c r="B27" s="173">
        <v>-3.3279499999999999E-5</v>
      </c>
      <c r="C27" s="49">
        <v>2.4652400000000001E-3</v>
      </c>
      <c r="D27" s="49">
        <v>-74.076700000000002</v>
      </c>
      <c r="E27" s="49">
        <v>0</v>
      </c>
      <c r="F27" s="49">
        <v>-2.00965E-2</v>
      </c>
      <c r="G27" s="49">
        <v>0</v>
      </c>
      <c r="H27" s="49">
        <v>1.25971E-2</v>
      </c>
    </row>
    <row r="28" spans="1:8">
      <c r="A28" t="s">
        <v>1133</v>
      </c>
      <c r="B28" s="49">
        <v>8.3165200000000009E-3</v>
      </c>
      <c r="C28" s="49">
        <v>3.8371000000000002E-2</v>
      </c>
      <c r="D28" s="49">
        <v>4.6138300000000001</v>
      </c>
      <c r="E28" s="49">
        <v>0</v>
      </c>
      <c r="F28" s="49">
        <v>3.49935E-3</v>
      </c>
      <c r="G28" s="49">
        <v>0</v>
      </c>
      <c r="H28" s="49">
        <v>0.16537299999999999</v>
      </c>
    </row>
    <row r="29" spans="1:8">
      <c r="A29" t="s">
        <v>1134</v>
      </c>
      <c r="B29" s="49">
        <v>64.384900000000002</v>
      </c>
      <c r="C29" s="49">
        <v>9.6336499999999994</v>
      </c>
      <c r="D29" s="49">
        <v>0.14962600000000001</v>
      </c>
      <c r="E29" s="49">
        <v>0</v>
      </c>
      <c r="F29" s="49">
        <v>58.060099999999998</v>
      </c>
      <c r="G29" s="49">
        <v>0</v>
      </c>
      <c r="H29" s="49">
        <v>93.917000000000002</v>
      </c>
    </row>
    <row r="30" spans="1:8">
      <c r="A30" t="s">
        <v>1135</v>
      </c>
      <c r="B30" s="49">
        <v>26.3291</v>
      </c>
      <c r="C30" s="49">
        <v>3.2955800000000002</v>
      </c>
      <c r="D30" s="49">
        <v>0.125169</v>
      </c>
      <c r="E30" s="49">
        <v>0</v>
      </c>
      <c r="F30" s="49">
        <v>22.290600000000001</v>
      </c>
      <c r="G30" s="49">
        <v>0</v>
      </c>
      <c r="H30" s="49">
        <v>31.912700000000001</v>
      </c>
    </row>
    <row r="31" spans="1:8">
      <c r="A31" t="s">
        <v>1136</v>
      </c>
      <c r="B31" s="49">
        <v>290.31400000000002</v>
      </c>
      <c r="C31" s="49">
        <v>38.5792</v>
      </c>
      <c r="D31" s="49">
        <v>0.13288800000000001</v>
      </c>
      <c r="E31" s="49">
        <v>0</v>
      </c>
      <c r="F31" s="49">
        <v>240.13</v>
      </c>
      <c r="G31" s="49">
        <v>0</v>
      </c>
      <c r="H31" s="49">
        <v>356.03100000000001</v>
      </c>
    </row>
    <row r="32" spans="1:8">
      <c r="A32" t="s">
        <v>1137</v>
      </c>
      <c r="B32" s="49">
        <v>0.16303500000000001</v>
      </c>
      <c r="C32" s="49">
        <v>8.7113599999999999E-2</v>
      </c>
      <c r="D32" s="49">
        <v>0.53432400000000002</v>
      </c>
      <c r="E32" s="49">
        <v>0.15</v>
      </c>
      <c r="F32" s="49">
        <v>5.9669199999999999E-2</v>
      </c>
      <c r="G32" s="49">
        <v>0.4</v>
      </c>
      <c r="H32" s="49">
        <v>0.314832</v>
      </c>
    </row>
    <row r="33" spans="1:8">
      <c r="A33" t="s">
        <v>1138</v>
      </c>
      <c r="B33" s="49">
        <v>0.47859099999999999</v>
      </c>
      <c r="C33" s="49">
        <v>8.6584100000000001E-4</v>
      </c>
      <c r="D33" s="49">
        <v>1.8091400000000001E-3</v>
      </c>
      <c r="E33" s="49">
        <v>0</v>
      </c>
      <c r="F33" s="49">
        <v>0.47677399999999998</v>
      </c>
      <c r="G33" s="49">
        <v>0</v>
      </c>
      <c r="H33" s="49">
        <v>0.48016500000000001</v>
      </c>
    </row>
    <row r="34" spans="1:8">
      <c r="A34" t="s">
        <v>1139</v>
      </c>
      <c r="B34" s="49">
        <v>0.178255</v>
      </c>
      <c r="C34" s="49">
        <v>3.3010999999999999E-2</v>
      </c>
      <c r="D34" s="49">
        <v>0.18518899999999999</v>
      </c>
      <c r="E34" s="49">
        <v>0.1</v>
      </c>
      <c r="F34" s="49">
        <v>0.12864200000000001</v>
      </c>
      <c r="G34" s="49">
        <v>0.25</v>
      </c>
      <c r="H34" s="49">
        <v>0.24359</v>
      </c>
    </row>
    <row r="35" spans="1:8">
      <c r="A35" t="s">
        <v>1140</v>
      </c>
      <c r="B35" s="49">
        <v>7.6286800000000002E-2</v>
      </c>
      <c r="C35" s="49">
        <v>1.82364E-2</v>
      </c>
      <c r="D35" s="49">
        <v>0.23905100000000001</v>
      </c>
      <c r="E35" s="49">
        <v>0</v>
      </c>
      <c r="F35" s="49">
        <v>4.29369E-2</v>
      </c>
      <c r="G35" s="49">
        <v>0</v>
      </c>
      <c r="H35" s="49">
        <v>9.8709599999999995E-2</v>
      </c>
    </row>
    <row r="36" spans="1:8">
      <c r="A36" t="s">
        <v>1141</v>
      </c>
      <c r="B36" s="49">
        <v>0.134385</v>
      </c>
      <c r="C36" s="49">
        <v>8.60987E-2</v>
      </c>
      <c r="D36" s="49">
        <v>0.64068899999999995</v>
      </c>
      <c r="E36" s="49">
        <v>0</v>
      </c>
      <c r="F36" s="49">
        <v>4.6520600000000002E-2</v>
      </c>
      <c r="G36" s="49">
        <v>0</v>
      </c>
      <c r="H36" s="49">
        <v>0.40004200000000001</v>
      </c>
    </row>
    <row r="37" spans="1:8">
      <c r="A37" t="s">
        <v>1142</v>
      </c>
      <c r="B37" s="49">
        <v>0.33011000000000001</v>
      </c>
      <c r="C37" s="49">
        <v>8.3932900000000005E-2</v>
      </c>
      <c r="D37" s="49">
        <v>0.25425700000000001</v>
      </c>
      <c r="E37" s="49">
        <v>0.1</v>
      </c>
      <c r="F37" s="49">
        <v>1.11568E-2</v>
      </c>
      <c r="G37" s="49">
        <v>0.5</v>
      </c>
      <c r="H37" s="49">
        <v>0.33389099999999999</v>
      </c>
    </row>
    <row r="38" spans="1:8">
      <c r="A38" t="s">
        <v>1143</v>
      </c>
      <c r="B38" s="49">
        <v>-17.422799999999999</v>
      </c>
      <c r="C38" s="49">
        <v>69.417299999999997</v>
      </c>
      <c r="D38" s="49">
        <v>-3.98428</v>
      </c>
      <c r="E38" s="49">
        <v>0</v>
      </c>
      <c r="F38" s="49">
        <v>-280.61099999999999</v>
      </c>
      <c r="G38" s="49">
        <v>0</v>
      </c>
      <c r="H38" s="49">
        <v>232.096</v>
      </c>
    </row>
    <row r="39" spans="1:8">
      <c r="A39" t="s">
        <v>1144</v>
      </c>
      <c r="B39" s="49">
        <v>-7.1747399999999999</v>
      </c>
      <c r="C39" s="49">
        <v>11.9697</v>
      </c>
      <c r="D39" s="49">
        <v>-1.66831</v>
      </c>
      <c r="E39" s="49">
        <v>0</v>
      </c>
      <c r="F39" s="49">
        <v>-53.575699999999998</v>
      </c>
      <c r="G39" s="49">
        <v>0</v>
      </c>
      <c r="H39" s="49">
        <v>14.3698</v>
      </c>
    </row>
    <row r="40" spans="1:8">
      <c r="A40" t="s">
        <v>1145</v>
      </c>
      <c r="B40" s="49">
        <v>-16.330100000000002</v>
      </c>
      <c r="C40" s="49">
        <v>1.37988</v>
      </c>
      <c r="D40" s="49">
        <v>-8.4499099999999994E-2</v>
      </c>
      <c r="E40" s="49">
        <v>0</v>
      </c>
      <c r="F40" s="49">
        <v>-19.258600000000001</v>
      </c>
      <c r="G40" s="49">
        <v>0</v>
      </c>
      <c r="H40" s="49">
        <v>-14.327199999999999</v>
      </c>
    </row>
    <row r="41" spans="1:8">
      <c r="A41" t="s">
        <v>1146</v>
      </c>
      <c r="B41" s="49">
        <v>-0.13624600000000001</v>
      </c>
      <c r="C41" s="49">
        <v>0.20075299999999999</v>
      </c>
      <c r="D41" s="49">
        <v>-1.47346</v>
      </c>
      <c r="E41" s="49">
        <v>0</v>
      </c>
      <c r="F41" s="49">
        <v>-0.65451099999999995</v>
      </c>
      <c r="G41" s="49">
        <v>0</v>
      </c>
      <c r="H41" s="49">
        <v>0.24754300000000001</v>
      </c>
    </row>
    <row r="42" spans="1:8">
      <c r="A42" t="s">
        <v>1147</v>
      </c>
      <c r="B42" s="49">
        <v>-0.17676</v>
      </c>
      <c r="C42" s="49">
        <v>9.8599900000000004E-2</v>
      </c>
      <c r="D42" s="49">
        <v>-0.55781899999999995</v>
      </c>
      <c r="E42" s="49">
        <v>0</v>
      </c>
      <c r="F42" s="49">
        <v>-0.36346600000000001</v>
      </c>
      <c r="G42" s="49">
        <v>0</v>
      </c>
      <c r="H42" s="49">
        <v>8.6483399999999992E-3</v>
      </c>
    </row>
    <row r="43" spans="1:8">
      <c r="A43" t="s">
        <v>1148</v>
      </c>
      <c r="B43" s="49">
        <v>-9.7494399999999995E-2</v>
      </c>
      <c r="C43" s="49">
        <v>4.2603299999999997E-2</v>
      </c>
      <c r="D43" s="49">
        <v>-0.43698100000000001</v>
      </c>
      <c r="E43" s="49">
        <v>0</v>
      </c>
      <c r="F43" s="49">
        <v>-0.20458200000000001</v>
      </c>
      <c r="G43" s="49">
        <v>0</v>
      </c>
      <c r="H43" s="49">
        <v>-3.3139200000000001E-2</v>
      </c>
    </row>
    <row r="44" spans="1:8">
      <c r="A44" t="s">
        <v>1149</v>
      </c>
      <c r="B44" s="49">
        <v>7.2955500000000004</v>
      </c>
      <c r="C44" s="49">
        <v>8.4772499999999997</v>
      </c>
      <c r="D44" s="49">
        <v>1.16198</v>
      </c>
      <c r="E44" s="49">
        <v>0</v>
      </c>
      <c r="F44" s="49">
        <v>-5.1806000000000001</v>
      </c>
      <c r="G44" s="49">
        <v>0</v>
      </c>
      <c r="H44" s="49">
        <v>20.2256</v>
      </c>
    </row>
    <row r="45" spans="1:8">
      <c r="A45" t="s">
        <v>1150</v>
      </c>
      <c r="B45" s="49">
        <v>46.609299999999998</v>
      </c>
      <c r="C45" s="49">
        <v>4.8390500000000003</v>
      </c>
      <c r="D45" s="49">
        <v>0.103822</v>
      </c>
      <c r="E45" s="49">
        <v>0</v>
      </c>
      <c r="F45" s="49">
        <v>37.980699999999999</v>
      </c>
      <c r="G45" s="49">
        <v>0</v>
      </c>
      <c r="H45" s="49">
        <v>59.123699999999999</v>
      </c>
    </row>
    <row r="46" spans="1:8">
      <c r="A46" t="s">
        <v>1151</v>
      </c>
      <c r="B46" s="49">
        <v>28.817299999999999</v>
      </c>
      <c r="C46" s="49">
        <v>1.5742100000000001</v>
      </c>
      <c r="D46" s="49">
        <v>5.4627299999999997E-2</v>
      </c>
      <c r="E46" s="49">
        <v>0</v>
      </c>
      <c r="F46" s="49">
        <v>26.595500000000001</v>
      </c>
      <c r="G46" s="49">
        <v>0</v>
      </c>
      <c r="H46" s="49">
        <v>31.281600000000001</v>
      </c>
    </row>
    <row r="47" spans="1:8">
      <c r="A47" t="s">
        <v>1152</v>
      </c>
      <c r="B47" s="49">
        <v>0.94443999999999995</v>
      </c>
      <c r="C47" s="49">
        <v>0.676755</v>
      </c>
      <c r="D47" s="49">
        <v>0.71656799999999998</v>
      </c>
      <c r="E47" s="49">
        <v>0</v>
      </c>
      <c r="F47" s="49">
        <v>0.45868300000000001</v>
      </c>
      <c r="G47" s="49">
        <v>0</v>
      </c>
      <c r="H47" s="49">
        <v>3.1217299999999999</v>
      </c>
    </row>
    <row r="48" spans="1:8">
      <c r="A48" t="s">
        <v>1153</v>
      </c>
      <c r="B48" s="49">
        <v>1.33342</v>
      </c>
      <c r="C48" s="49">
        <v>0.18852099999999999</v>
      </c>
      <c r="D48" s="49">
        <v>0.14138100000000001</v>
      </c>
      <c r="E48" s="49">
        <v>0</v>
      </c>
      <c r="F48" s="49">
        <v>1.0525800000000001</v>
      </c>
      <c r="G48" s="49">
        <v>0</v>
      </c>
      <c r="H48" s="49">
        <v>1.7237</v>
      </c>
    </row>
    <row r="50" spans="1:4">
      <c r="A50" t="str">
        <f>lang!B7</f>
        <v>긍정감정</v>
      </c>
      <c r="B50" s="134">
        <f>SUM(B9:B12)</f>
        <v>250.24540000000002</v>
      </c>
      <c r="C50" s="134"/>
      <c r="D50" s="134">
        <f t="shared" ref="D50" si="0">SUM(D9:D12)</f>
        <v>26.334859999999999</v>
      </c>
    </row>
    <row r="51" spans="1:4">
      <c r="A51" t="str">
        <f>lang!B8</f>
        <v>부정감정</v>
      </c>
      <c r="B51" s="134">
        <f>SUM(B5:B8)</f>
        <v>122.2449</v>
      </c>
      <c r="C51" s="134"/>
      <c r="D51" s="134">
        <f t="shared" ref="D51" si="1">SUM(D5:D8)</f>
        <v>73.311810000000008</v>
      </c>
    </row>
    <row r="52" spans="1:4">
      <c r="A52" t="str">
        <f>lang!B9</f>
        <v>생리감정</v>
      </c>
      <c r="B52" s="134">
        <f>SUM(B13:B14)</f>
        <v>50.836500000000001</v>
      </c>
      <c r="C52" s="134"/>
      <c r="D52" s="134">
        <f t="shared" ref="D52" si="2">SUM(D13:D14)</f>
        <v>43.944599999999994</v>
      </c>
    </row>
    <row r="53" spans="1:4">
      <c r="B53" s="50">
        <f>SUM(B50:B52)</f>
        <v>423.32680000000005</v>
      </c>
      <c r="D53" s="50">
        <f>SUM(D50:D52)</f>
        <v>143.59127000000001</v>
      </c>
    </row>
    <row r="54" spans="1:4">
      <c r="A54" t="str">
        <f>lang!B7</f>
        <v>긍정감정</v>
      </c>
      <c r="B54" s="135">
        <f>IF(B$53&lt;&gt;0,B50/B$53,0)</f>
        <v>0.59113998924707811</v>
      </c>
      <c r="C54" s="135"/>
      <c r="D54" s="135">
        <f>IF(D$53&lt;&gt;0,D50/D$53,0)</f>
        <v>0.18340153966184711</v>
      </c>
    </row>
    <row r="55" spans="1:4">
      <c r="A55" t="str">
        <f>lang!B8</f>
        <v>부정감정</v>
      </c>
      <c r="B55" s="135">
        <f>IF(B$53&lt;&gt;0,B51/B$53,0)</f>
        <v>0.28877193695272774</v>
      </c>
      <c r="C55" s="135"/>
      <c r="D55" s="135">
        <f>IF(D$53&lt;&gt;0,D51/D$53,0)</f>
        <v>0.51055896364730258</v>
      </c>
    </row>
    <row r="56" spans="1:4">
      <c r="A56" t="str">
        <f>lang!B9</f>
        <v>생리감정</v>
      </c>
      <c r="B56" s="135">
        <f>IF(B$53&lt;&gt;0,B52/B$53,0)</f>
        <v>0.12008807380019407</v>
      </c>
      <c r="C56" s="135"/>
      <c r="D56" s="135">
        <f>IF(D$53&lt;&gt;0,D52/D$53,0)</f>
        <v>0.30603949669085029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15.5853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7.8666700000000006E-2</v>
      </c>
      <c r="B8" s="49">
        <v>7.8666700000000006E-2</v>
      </c>
    </row>
    <row r="9" spans="1:3">
      <c r="A9" s="49">
        <v>4.8000000000000001E-2</v>
      </c>
      <c r="B9" s="49">
        <v>4.8000000000000001E-2</v>
      </c>
    </row>
    <row r="10" spans="1:3">
      <c r="A10" s="49">
        <v>0</v>
      </c>
      <c r="B10" s="49">
        <v>0</v>
      </c>
    </row>
    <row r="11" spans="1:3">
      <c r="A11" s="49">
        <v>0.08</v>
      </c>
      <c r="B11" s="49">
        <v>0.08</v>
      </c>
    </row>
    <row r="12" spans="1:3">
      <c r="A12" s="49">
        <v>3.2000000000000001E-2</v>
      </c>
      <c r="B12" s="49">
        <v>3.2000000000000001E-2</v>
      </c>
    </row>
    <row r="13" spans="1:3">
      <c r="A13" s="49">
        <v>0.02</v>
      </c>
      <c r="B13" s="49">
        <v>0.02</v>
      </c>
    </row>
    <row r="14" spans="1:3">
      <c r="A14" s="49">
        <v>4.6666699999999998E-2</v>
      </c>
      <c r="B14" s="49">
        <v>4.6666699999999998E-2</v>
      </c>
    </row>
    <row r="15" spans="1:3">
      <c r="A15" s="49">
        <v>3.5999999999999997E-2</v>
      </c>
      <c r="B15" s="49">
        <v>3.5999999999999997E-2</v>
      </c>
    </row>
    <row r="16" spans="1:3">
      <c r="A16" s="49">
        <v>3.2000000000000001E-2</v>
      </c>
      <c r="B16" s="49">
        <v>3.2000000000000001E-2</v>
      </c>
    </row>
    <row r="17" spans="1:2">
      <c r="A17" s="49">
        <v>4.8000000000000001E-2</v>
      </c>
      <c r="B17" s="49">
        <v>4.8000000000000001E-2</v>
      </c>
    </row>
    <row r="18" spans="1:2">
      <c r="A18" s="49">
        <v>4.2666700000000002E-2</v>
      </c>
      <c r="B18" s="49">
        <v>4.2666700000000002E-2</v>
      </c>
    </row>
    <row r="19" spans="1:2">
      <c r="A19" s="49">
        <v>0.23733299999999999</v>
      </c>
      <c r="B19" s="49">
        <v>0.23733299999999999</v>
      </c>
    </row>
    <row r="20" spans="1:2">
      <c r="A20" s="49">
        <v>0.248</v>
      </c>
      <c r="B20" s="49">
        <v>0.248</v>
      </c>
    </row>
    <row r="21" spans="1:2">
      <c r="A21" s="49">
        <v>0.29733300000000001</v>
      </c>
      <c r="B21" s="49">
        <v>0.29733300000000001</v>
      </c>
    </row>
    <row r="22" spans="1:2">
      <c r="A22" s="49">
        <v>7.3333300000000004E-2</v>
      </c>
      <c r="B22" s="49">
        <v>7.3333300000000004E-2</v>
      </c>
    </row>
    <row r="23" spans="1:2">
      <c r="A23" s="49">
        <v>7.4666700000000003E-2</v>
      </c>
      <c r="B23" s="49">
        <v>7.4666700000000003E-2</v>
      </c>
    </row>
    <row r="24" spans="1:2">
      <c r="A24" s="49">
        <v>7.7333299999999994E-2</v>
      </c>
      <c r="B24" s="49">
        <v>7.7333299999999994E-2</v>
      </c>
    </row>
    <row r="25" spans="1:2">
      <c r="A25" s="49">
        <v>0.02</v>
      </c>
      <c r="B25" s="49">
        <v>0.02</v>
      </c>
    </row>
    <row r="26" spans="1:2">
      <c r="A26" s="49">
        <v>0</v>
      </c>
      <c r="B26" s="49">
        <v>0</v>
      </c>
    </row>
    <row r="27" spans="1:2">
      <c r="A27" s="49">
        <v>3.2000000000000001E-2</v>
      </c>
      <c r="B27" s="49">
        <v>3.2000000000000001E-2</v>
      </c>
    </row>
    <row r="28" spans="1:2">
      <c r="A28" s="49">
        <v>2.4E-2</v>
      </c>
      <c r="B28" s="49">
        <v>2.4E-2</v>
      </c>
    </row>
    <row r="29" spans="1:2">
      <c r="A29" s="49">
        <v>2.4E-2</v>
      </c>
      <c r="B29" s="49">
        <v>2.4E-2</v>
      </c>
    </row>
    <row r="30" spans="1:2">
      <c r="A30" s="49">
        <v>3.2000000000000001E-2</v>
      </c>
      <c r="B30" s="49">
        <v>3.2000000000000001E-2</v>
      </c>
    </row>
    <row r="31" spans="1:2">
      <c r="A31" s="49">
        <v>8.0000000000000002E-3</v>
      </c>
      <c r="B31" s="49">
        <v>8.0000000000000002E-3</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0.122667</v>
      </c>
      <c r="B40" s="49">
        <v>0.122667</v>
      </c>
    </row>
    <row r="41" spans="1:2">
      <c r="A41" s="49">
        <v>0.125333</v>
      </c>
      <c r="B41" s="49">
        <v>0.125333</v>
      </c>
    </row>
    <row r="42" spans="1:2">
      <c r="A42" s="49">
        <v>0.17466699999999999</v>
      </c>
      <c r="B42" s="49">
        <v>0.17466699999999999</v>
      </c>
    </row>
    <row r="43" spans="1:2">
      <c r="A43" s="49">
        <v>0.38533299999999998</v>
      </c>
      <c r="B43" s="49">
        <v>0.38533299999999998</v>
      </c>
    </row>
    <row r="44" spans="1:2">
      <c r="A44" s="49">
        <v>0.38666699999999998</v>
      </c>
      <c r="B44" s="49">
        <v>0.38666699999999998</v>
      </c>
    </row>
    <row r="45" spans="1:2">
      <c r="A45" s="49">
        <v>0.56266700000000003</v>
      </c>
      <c r="B45" s="49">
        <v>0.56266700000000003</v>
      </c>
    </row>
    <row r="46" spans="1:2">
      <c r="A46" s="49">
        <v>0.54800000000000004</v>
      </c>
      <c r="B46" s="49">
        <v>0.54800000000000004</v>
      </c>
    </row>
    <row r="47" spans="1:2">
      <c r="A47" s="49">
        <v>0.41599999999999998</v>
      </c>
      <c r="B47" s="49">
        <v>0.41599999999999998</v>
      </c>
    </row>
    <row r="48" spans="1:2">
      <c r="A48" s="49">
        <v>0.48</v>
      </c>
      <c r="B48" s="49">
        <v>0.48</v>
      </c>
    </row>
    <row r="49" spans="1:2">
      <c r="A49" s="49">
        <v>0.57866700000000004</v>
      </c>
      <c r="B49" s="49">
        <v>0.57866700000000004</v>
      </c>
    </row>
    <row r="50" spans="1:2">
      <c r="A50" s="49">
        <v>0.36</v>
      </c>
      <c r="B50" s="49">
        <v>0.36</v>
      </c>
    </row>
    <row r="51" spans="1:2">
      <c r="A51" s="49">
        <v>0.80266700000000002</v>
      </c>
      <c r="B51" s="49">
        <v>0.80266700000000002</v>
      </c>
    </row>
    <row r="52" spans="1:2">
      <c r="A52" s="49">
        <v>0.85866699999999996</v>
      </c>
      <c r="B52" s="49">
        <v>0.85866699999999996</v>
      </c>
    </row>
    <row r="53" spans="1:2">
      <c r="A53" s="49">
        <v>0.44</v>
      </c>
      <c r="B53" s="49">
        <v>0.44</v>
      </c>
    </row>
    <row r="54" spans="1:2">
      <c r="A54" s="49">
        <v>1.236</v>
      </c>
      <c r="B54" s="49">
        <v>1.236</v>
      </c>
    </row>
    <row r="55" spans="1:2">
      <c r="A55" s="49">
        <v>1.27467</v>
      </c>
      <c r="B55" s="49">
        <v>1.27467</v>
      </c>
    </row>
    <row r="56" spans="1:2">
      <c r="A56" s="49">
        <v>1.19333</v>
      </c>
      <c r="B56" s="49">
        <v>1.19333</v>
      </c>
    </row>
    <row r="57" spans="1:2">
      <c r="A57" s="49">
        <v>1.4866699999999999</v>
      </c>
      <c r="B57" s="49">
        <v>1.4866699999999999</v>
      </c>
    </row>
    <row r="58" spans="1:2">
      <c r="A58" s="49">
        <v>1.4</v>
      </c>
      <c r="B58" s="49">
        <v>1.4</v>
      </c>
    </row>
    <row r="59" spans="1:2">
      <c r="A59" s="49">
        <v>2.0693299999999999</v>
      </c>
      <c r="B59" s="49">
        <v>2.0693299999999999</v>
      </c>
    </row>
    <row r="60" spans="1:2">
      <c r="A60" s="49">
        <v>1.59067</v>
      </c>
      <c r="B60" s="49">
        <v>1.59067</v>
      </c>
    </row>
    <row r="61" spans="1:2">
      <c r="A61" s="49">
        <v>1.5613300000000001</v>
      </c>
      <c r="B61" s="49">
        <v>1.5613300000000001</v>
      </c>
    </row>
    <row r="62" spans="1:2">
      <c r="A62" s="49">
        <v>2.2973300000000001</v>
      </c>
      <c r="B62" s="49">
        <v>2.2973300000000001</v>
      </c>
    </row>
    <row r="63" spans="1:2">
      <c r="A63" s="49">
        <v>2.3679999999999999</v>
      </c>
      <c r="B63" s="49">
        <v>2.3679999999999999</v>
      </c>
    </row>
    <row r="64" spans="1:2">
      <c r="A64" s="49">
        <v>2.056</v>
      </c>
      <c r="B64" s="49">
        <v>2.056</v>
      </c>
    </row>
    <row r="65" spans="1:2">
      <c r="A65" s="49">
        <v>2.6253299999999999</v>
      </c>
      <c r="B65" s="49">
        <v>2.6253299999999999</v>
      </c>
    </row>
    <row r="66" spans="1:2">
      <c r="A66" s="49">
        <v>3.6013299999999999</v>
      </c>
      <c r="B66" s="49">
        <v>3.6013299999999999</v>
      </c>
    </row>
    <row r="67" spans="1:2">
      <c r="A67" s="49">
        <v>3.4786700000000002</v>
      </c>
      <c r="B67" s="49">
        <v>3.4786700000000002</v>
      </c>
    </row>
    <row r="68" spans="1:2">
      <c r="A68" s="49">
        <v>6.2</v>
      </c>
      <c r="B68" s="49">
        <v>6.2</v>
      </c>
    </row>
    <row r="69" spans="1:2">
      <c r="A69" s="49">
        <v>4.14933</v>
      </c>
      <c r="B69" s="49">
        <v>4.14933</v>
      </c>
    </row>
    <row r="70" spans="1:2">
      <c r="A70" s="49">
        <v>7.4333299999999998</v>
      </c>
      <c r="B70" s="49">
        <v>7.4333299999999998</v>
      </c>
    </row>
    <row r="71" spans="1:2">
      <c r="A71" s="49">
        <v>6.9266699999999997</v>
      </c>
      <c r="B71" s="49">
        <v>6.9266699999999997</v>
      </c>
    </row>
    <row r="72" spans="1:2">
      <c r="A72" s="49">
        <v>8.1026699999999998</v>
      </c>
      <c r="B72" s="49">
        <v>8.1026699999999998</v>
      </c>
    </row>
    <row r="73" spans="1:2">
      <c r="A73" s="49">
        <v>9.0493299999999994</v>
      </c>
      <c r="B73" s="49">
        <v>9.0493299999999994</v>
      </c>
    </row>
    <row r="74" spans="1:2">
      <c r="A74" s="49">
        <v>6.7640000000000002</v>
      </c>
      <c r="B74" s="49">
        <v>6.7640000000000002</v>
      </c>
    </row>
    <row r="75" spans="1:2">
      <c r="A75" s="49">
        <v>12.1347</v>
      </c>
      <c r="B75" s="49">
        <v>12.1347</v>
      </c>
    </row>
    <row r="76" spans="1:2">
      <c r="A76" s="49">
        <v>7.5146699999999997</v>
      </c>
      <c r="B76" s="49">
        <v>7.5146699999999997</v>
      </c>
    </row>
    <row r="77" spans="1:2">
      <c r="A77" s="49">
        <v>9.1986699999999999</v>
      </c>
      <c r="B77" s="49">
        <v>9.1986699999999999</v>
      </c>
    </row>
    <row r="78" spans="1:2">
      <c r="A78" s="49">
        <v>13.4253</v>
      </c>
      <c r="B78" s="49">
        <v>13.4253</v>
      </c>
    </row>
    <row r="79" spans="1:2">
      <c r="A79" s="49">
        <v>7.78</v>
      </c>
      <c r="B79" s="49">
        <v>7.78</v>
      </c>
    </row>
    <row r="80" spans="1:2">
      <c r="A80" s="49">
        <v>9.7240000000000002</v>
      </c>
      <c r="B80" s="49">
        <v>9.7240000000000002</v>
      </c>
    </row>
    <row r="81" spans="1:2">
      <c r="A81" s="49">
        <v>12.173299999999999</v>
      </c>
      <c r="B81" s="49">
        <v>12.173299999999999</v>
      </c>
    </row>
    <row r="82" spans="1:2">
      <c r="A82" s="49">
        <v>7.5626699999999998</v>
      </c>
      <c r="B82" s="49">
        <v>7.5626699999999998</v>
      </c>
    </row>
    <row r="83" spans="1:2">
      <c r="A83" s="49">
        <v>9.3346699999999991</v>
      </c>
      <c r="B83" s="49">
        <v>9.3346699999999991</v>
      </c>
    </row>
    <row r="84" spans="1:2">
      <c r="A84" s="49">
        <v>11.230700000000001</v>
      </c>
      <c r="B84" s="49">
        <v>11.230700000000001</v>
      </c>
    </row>
    <row r="85" spans="1:2">
      <c r="A85" s="49">
        <v>7.5226699999999997</v>
      </c>
      <c r="B85" s="49">
        <v>7.5226699999999997</v>
      </c>
    </row>
    <row r="86" spans="1:2">
      <c r="A86" s="49">
        <v>9.23733</v>
      </c>
      <c r="B86" s="49">
        <v>9.23733</v>
      </c>
    </row>
    <row r="87" spans="1:2">
      <c r="A87" s="49">
        <v>7.5439999999999996</v>
      </c>
      <c r="B87" s="49">
        <v>7.5439999999999996</v>
      </c>
    </row>
    <row r="88" spans="1:2">
      <c r="A88" s="49">
        <v>15.5853</v>
      </c>
      <c r="B88" s="49">
        <v>15.5853</v>
      </c>
    </row>
    <row r="89" spans="1:2">
      <c r="A89" s="49">
        <v>6.5226699999999997</v>
      </c>
      <c r="B89" s="49">
        <v>6.5226699999999997</v>
      </c>
    </row>
    <row r="90" spans="1:2">
      <c r="A90" s="49">
        <v>8.7973300000000005</v>
      </c>
      <c r="B90" s="49">
        <v>8.7973300000000005</v>
      </c>
    </row>
    <row r="91" spans="1:2">
      <c r="A91" s="49">
        <v>10.736000000000001</v>
      </c>
      <c r="B91" s="49">
        <v>10.736000000000001</v>
      </c>
    </row>
    <row r="92" spans="1:2">
      <c r="A92" s="49">
        <v>6.3840000000000003</v>
      </c>
      <c r="B92" s="49">
        <v>6.3840000000000003</v>
      </c>
    </row>
    <row r="93" spans="1:2">
      <c r="A93" s="49">
        <v>8.85867</v>
      </c>
      <c r="B93" s="49">
        <v>8.85867</v>
      </c>
    </row>
    <row r="94" spans="1:2">
      <c r="A94" s="49">
        <v>10.272</v>
      </c>
      <c r="B94" s="49">
        <v>10.272</v>
      </c>
    </row>
    <row r="95" spans="1:2">
      <c r="A95" s="49">
        <v>6.36</v>
      </c>
      <c r="B95" s="49">
        <v>6.36</v>
      </c>
    </row>
    <row r="96" spans="1:2">
      <c r="A96" s="49">
        <v>9.5253300000000003</v>
      </c>
      <c r="B96" s="49">
        <v>9.5253300000000003</v>
      </c>
    </row>
    <row r="97" spans="1:2">
      <c r="A97" s="49">
        <v>10.044</v>
      </c>
      <c r="B97" s="49">
        <v>10.044</v>
      </c>
    </row>
    <row r="98" spans="1:2">
      <c r="A98" s="49">
        <v>6.9813299999999998</v>
      </c>
      <c r="B98" s="49">
        <v>6.9813299999999998</v>
      </c>
    </row>
    <row r="99" spans="1:2">
      <c r="A99" s="49">
        <v>7.9746699999999997</v>
      </c>
      <c r="B99" s="49">
        <v>7.9746699999999997</v>
      </c>
    </row>
    <row r="100" spans="1:2">
      <c r="A100" s="49">
        <v>9.9493299999999998</v>
      </c>
      <c r="B100" s="49">
        <v>9.9493299999999998</v>
      </c>
    </row>
    <row r="101" spans="1:2">
      <c r="A101" s="49">
        <v>6.8946699999999996</v>
      </c>
      <c r="B101" s="49">
        <v>6.8946699999999996</v>
      </c>
    </row>
    <row r="102" spans="1:2">
      <c r="A102" s="49">
        <v>10.0467</v>
      </c>
      <c r="B102" s="49">
        <v>10.0467</v>
      </c>
    </row>
    <row r="103" spans="1:2">
      <c r="A103" s="49">
        <v>10.616</v>
      </c>
      <c r="B103" s="49">
        <v>10.616</v>
      </c>
    </row>
    <row r="104" spans="1:2">
      <c r="A104" s="49">
        <v>5.3226699999999996</v>
      </c>
      <c r="B104" s="49">
        <v>5.3226699999999996</v>
      </c>
    </row>
    <row r="105" spans="1:2">
      <c r="A105" s="49">
        <v>10.7493</v>
      </c>
      <c r="B105" s="49">
        <v>10.7493</v>
      </c>
    </row>
    <row r="106" spans="1:2">
      <c r="A106" s="49">
        <v>10.502700000000001</v>
      </c>
      <c r="B106" s="49">
        <v>10.502700000000001</v>
      </c>
    </row>
    <row r="107" spans="1:2">
      <c r="A107" s="49">
        <v>9.4280000000000008</v>
      </c>
      <c r="B107" s="49">
        <v>9.4280000000000008</v>
      </c>
    </row>
    <row r="108" spans="1:2">
      <c r="A108" s="49">
        <v>10.2453</v>
      </c>
      <c r="B108" s="49">
        <v>10.2453</v>
      </c>
    </row>
    <row r="109" spans="1:2">
      <c r="A109" s="49">
        <v>10.356</v>
      </c>
      <c r="B109" s="49">
        <v>10.356</v>
      </c>
    </row>
    <row r="110" spans="1:2">
      <c r="A110" s="49">
        <v>10.4213</v>
      </c>
      <c r="B110" s="49">
        <v>10.4213</v>
      </c>
    </row>
    <row r="111" spans="1:2">
      <c r="A111" s="49">
        <v>11.9093</v>
      </c>
      <c r="B111" s="49">
        <v>11.9093</v>
      </c>
    </row>
    <row r="112" spans="1:2">
      <c r="A112" s="49">
        <v>7.5853299999999999</v>
      </c>
      <c r="B112" s="49">
        <v>7.5853299999999999</v>
      </c>
    </row>
    <row r="113" spans="1:2">
      <c r="A113" s="49">
        <v>11.9373</v>
      </c>
      <c r="B113" s="49">
        <v>11.9373</v>
      </c>
    </row>
    <row r="114" spans="1:2">
      <c r="A114" s="49">
        <v>10.071999999999999</v>
      </c>
      <c r="B114" s="49">
        <v>10.071999999999999</v>
      </c>
    </row>
    <row r="115" spans="1:2">
      <c r="A115" s="49">
        <v>9.5466700000000007</v>
      </c>
      <c r="B115" s="49">
        <v>9.5466700000000007</v>
      </c>
    </row>
    <row r="116" spans="1:2">
      <c r="A116" s="49">
        <v>12.125299999999999</v>
      </c>
      <c r="B116" s="49">
        <v>12.125299999999999</v>
      </c>
    </row>
    <row r="117" spans="1:2">
      <c r="A117" s="49">
        <v>9.7186699999999995</v>
      </c>
      <c r="B117" s="49">
        <v>9.7186699999999995</v>
      </c>
    </row>
    <row r="118" spans="1:2">
      <c r="A118" s="49">
        <v>14.3093</v>
      </c>
      <c r="B118" s="49">
        <v>14.3093</v>
      </c>
    </row>
    <row r="119" spans="1:2">
      <c r="A119" s="49">
        <v>11.724</v>
      </c>
      <c r="B119" s="49">
        <v>11.724</v>
      </c>
    </row>
    <row r="120" spans="1:2">
      <c r="A120" s="49">
        <v>10.584</v>
      </c>
      <c r="B120" s="49">
        <v>10.584</v>
      </c>
    </row>
    <row r="121" spans="1:2">
      <c r="A121" s="49">
        <v>10.932</v>
      </c>
      <c r="B121" s="49">
        <v>10.932</v>
      </c>
    </row>
    <row r="122" spans="1:2">
      <c r="A122" s="49">
        <v>11.368</v>
      </c>
      <c r="B122" s="49">
        <v>11.368</v>
      </c>
    </row>
    <row r="123" spans="1:2">
      <c r="A123" s="49">
        <v>12.2653</v>
      </c>
      <c r="B123" s="49">
        <v>12.2653</v>
      </c>
    </row>
    <row r="124" spans="1:2">
      <c r="A124" s="49">
        <v>13.016</v>
      </c>
      <c r="B124" s="49">
        <v>13.016</v>
      </c>
    </row>
    <row r="125" spans="1:2">
      <c r="A125" s="49">
        <v>7.04</v>
      </c>
      <c r="B125" s="49">
        <v>7.04</v>
      </c>
    </row>
    <row r="126" spans="1:2">
      <c r="A126" s="49">
        <v>11.4747</v>
      </c>
      <c r="B126" s="49">
        <v>11.4747</v>
      </c>
    </row>
    <row r="127" spans="1:2">
      <c r="A127" s="49">
        <v>14.8507</v>
      </c>
      <c r="B127" s="49">
        <v>14.8507</v>
      </c>
    </row>
    <row r="128" spans="1:2">
      <c r="A128" s="49">
        <v>4.8053299999999997</v>
      </c>
      <c r="B128" s="49">
        <v>4.8053299999999997</v>
      </c>
    </row>
    <row r="129" spans="1:2">
      <c r="A129" s="49">
        <v>11.112</v>
      </c>
      <c r="B129" s="49">
        <v>11.112</v>
      </c>
    </row>
    <row r="130" spans="1:2">
      <c r="A130" s="49">
        <v>12.5693</v>
      </c>
      <c r="B130" s="49">
        <v>12.5693</v>
      </c>
    </row>
    <row r="131" spans="1:2">
      <c r="A131" s="49">
        <v>6.9453300000000002</v>
      </c>
      <c r="B131" s="49">
        <v>6.9453300000000002</v>
      </c>
    </row>
    <row r="132" spans="1:2">
      <c r="A132" s="49">
        <v>6.1906699999999999</v>
      </c>
      <c r="B132" s="49">
        <v>6.1906699999999999</v>
      </c>
    </row>
    <row r="133" spans="1:2">
      <c r="A133" s="49">
        <v>11.5627</v>
      </c>
      <c r="B133" s="49">
        <v>11.5627</v>
      </c>
    </row>
    <row r="134" spans="1:2">
      <c r="A134" s="49">
        <v>6.3973300000000002</v>
      </c>
      <c r="B134" s="49">
        <v>6.3973300000000002</v>
      </c>
    </row>
    <row r="135" spans="1:2">
      <c r="A135" s="49">
        <v>8.0133299999999998</v>
      </c>
      <c r="B135" s="49">
        <v>8.0133299999999998</v>
      </c>
    </row>
    <row r="136" spans="1:2">
      <c r="A136" s="49">
        <v>10.4587</v>
      </c>
      <c r="B136" s="49">
        <v>10.4587</v>
      </c>
    </row>
    <row r="137" spans="1:2">
      <c r="A137" s="49">
        <v>5.3719999999999999</v>
      </c>
      <c r="B137" s="49">
        <v>5.3719999999999999</v>
      </c>
    </row>
    <row r="138" spans="1:2">
      <c r="A138" s="49">
        <v>8.7093299999999996</v>
      </c>
      <c r="B138" s="49">
        <v>8.7093299999999996</v>
      </c>
    </row>
    <row r="139" spans="1:2">
      <c r="A139" s="49">
        <v>7.8093300000000001</v>
      </c>
      <c r="B139" s="49">
        <v>7.8093300000000001</v>
      </c>
    </row>
    <row r="140" spans="1:2">
      <c r="A140" s="49">
        <v>4.2613300000000001</v>
      </c>
      <c r="B140" s="49">
        <v>4.2613300000000001</v>
      </c>
    </row>
    <row r="141" spans="1:2">
      <c r="A141" s="49">
        <v>7.5613299999999999</v>
      </c>
      <c r="B141" s="49">
        <v>7.5613299999999999</v>
      </c>
    </row>
    <row r="142" spans="1:2">
      <c r="A142" s="49">
        <v>7.6693300000000004</v>
      </c>
      <c r="B142" s="49">
        <v>7.6693300000000004</v>
      </c>
    </row>
    <row r="143" spans="1:2">
      <c r="A143" s="49">
        <v>3</v>
      </c>
      <c r="B143" s="49">
        <v>3</v>
      </c>
    </row>
    <row r="144" spans="1:2">
      <c r="A144" s="49">
        <v>8.5106699999999993</v>
      </c>
      <c r="B144" s="49">
        <v>8.5106699999999993</v>
      </c>
    </row>
    <row r="145" spans="1:2">
      <c r="A145" s="49">
        <v>4.6440000000000001</v>
      </c>
      <c r="B145" s="49">
        <v>4.6440000000000001</v>
      </c>
    </row>
    <row r="146" spans="1:2">
      <c r="A146" s="49">
        <v>3.7639999999999998</v>
      </c>
      <c r="B146" s="49">
        <v>3.7639999999999998</v>
      </c>
    </row>
    <row r="147" spans="1:2">
      <c r="A147" s="49">
        <v>6.4359999999999999</v>
      </c>
      <c r="B147" s="49">
        <v>6.4359999999999999</v>
      </c>
    </row>
    <row r="148" spans="1:2">
      <c r="A148" s="49">
        <v>2.976</v>
      </c>
      <c r="B148" s="49">
        <v>2.976</v>
      </c>
    </row>
    <row r="149" spans="1:2">
      <c r="A149" s="49">
        <v>3.3</v>
      </c>
      <c r="B149" s="49">
        <v>3.3</v>
      </c>
    </row>
    <row r="150" spans="1:2">
      <c r="A150" s="49">
        <v>4.5146699999999997</v>
      </c>
      <c r="B150" s="49">
        <v>4.5146699999999997</v>
      </c>
    </row>
    <row r="151" spans="1:2">
      <c r="A151" s="49">
        <v>2.1560000000000001</v>
      </c>
      <c r="B151" s="49">
        <v>2.1560000000000001</v>
      </c>
    </row>
    <row r="152" spans="1:2">
      <c r="A152" s="49">
        <v>2.1760000000000002</v>
      </c>
      <c r="B152" s="49">
        <v>2.1760000000000002</v>
      </c>
    </row>
    <row r="153" spans="1:2">
      <c r="A153" s="49">
        <v>2.6360000000000001</v>
      </c>
      <c r="B153" s="49">
        <v>2.6360000000000001</v>
      </c>
    </row>
    <row r="154" spans="1:2">
      <c r="A154" s="49">
        <v>2.972</v>
      </c>
      <c r="B154" s="49">
        <v>2.972</v>
      </c>
    </row>
    <row r="155" spans="1:2">
      <c r="A155" s="49">
        <v>1.5693299999999999</v>
      </c>
      <c r="B155" s="49">
        <v>1.5693299999999999</v>
      </c>
    </row>
    <row r="156" spans="1:2">
      <c r="A156" s="49">
        <v>2.5466700000000002</v>
      </c>
      <c r="B156" s="49">
        <v>2.5466700000000002</v>
      </c>
    </row>
    <row r="157" spans="1:2">
      <c r="A157" s="49">
        <v>3.2226699999999999</v>
      </c>
      <c r="B157" s="49">
        <v>3.2226699999999999</v>
      </c>
    </row>
    <row r="158" spans="1:2">
      <c r="A158" s="49">
        <v>1.488</v>
      </c>
      <c r="B158" s="49">
        <v>1.488</v>
      </c>
    </row>
    <row r="159" spans="1:2">
      <c r="A159" s="49">
        <v>2.2160000000000002</v>
      </c>
      <c r="B159" s="49">
        <v>2.2160000000000002</v>
      </c>
    </row>
    <row r="160" spans="1:2">
      <c r="A160" s="49">
        <v>2.1426699999999999</v>
      </c>
      <c r="B160" s="49">
        <v>2.1426699999999999</v>
      </c>
    </row>
    <row r="161" spans="1:2">
      <c r="A161" s="49">
        <v>1.54267</v>
      </c>
      <c r="B161" s="49">
        <v>1.54267</v>
      </c>
    </row>
    <row r="162" spans="1:2">
      <c r="A162" s="49">
        <v>1.54667</v>
      </c>
      <c r="B162" s="49">
        <v>1.54667</v>
      </c>
    </row>
    <row r="163" spans="1:2">
      <c r="A163" s="49">
        <v>1.6160000000000001</v>
      </c>
      <c r="B163" s="49">
        <v>1.6160000000000001</v>
      </c>
    </row>
    <row r="164" spans="1:2">
      <c r="A164" s="49">
        <v>0.97599999999999998</v>
      </c>
      <c r="B164" s="49">
        <v>0.97599999999999998</v>
      </c>
    </row>
    <row r="165" spans="1:2">
      <c r="A165" s="49">
        <v>0.95466700000000004</v>
      </c>
      <c r="B165" s="49">
        <v>0.95466700000000004</v>
      </c>
    </row>
    <row r="166" spans="1:2">
      <c r="A166" s="49">
        <v>1.772</v>
      </c>
      <c r="B166" s="49">
        <v>1.772</v>
      </c>
    </row>
    <row r="167" spans="1:2">
      <c r="A167" s="49">
        <v>1.34</v>
      </c>
      <c r="B167" s="49">
        <v>1.34</v>
      </c>
    </row>
    <row r="168" spans="1:2">
      <c r="A168" s="49">
        <v>1.95333</v>
      </c>
      <c r="B168" s="49">
        <v>1.95333</v>
      </c>
    </row>
    <row r="169" spans="1:2">
      <c r="A169" s="49">
        <v>2.0493299999999999</v>
      </c>
      <c r="B169" s="49">
        <v>2.0493299999999999</v>
      </c>
    </row>
    <row r="170" spans="1:2">
      <c r="A170" s="49">
        <v>1.2386699999999999</v>
      </c>
      <c r="B170" s="49">
        <v>1.2386699999999999</v>
      </c>
    </row>
    <row r="171" spans="1:2">
      <c r="A171" s="49">
        <v>1.2226699999999999</v>
      </c>
      <c r="B171" s="49">
        <v>1.2226699999999999</v>
      </c>
    </row>
    <row r="172" spans="1:2">
      <c r="A172" s="49">
        <v>0.70266700000000004</v>
      </c>
      <c r="B172" s="49">
        <v>0.70266700000000004</v>
      </c>
    </row>
    <row r="173" spans="1:2">
      <c r="A173" s="49">
        <v>1.5533300000000001</v>
      </c>
      <c r="B173" s="49">
        <v>1.5533300000000001</v>
      </c>
    </row>
    <row r="174" spans="1:2">
      <c r="A174" s="49">
        <v>0.74</v>
      </c>
      <c r="B174" s="49">
        <v>0.74</v>
      </c>
    </row>
    <row r="175" spans="1:2">
      <c r="A175" s="49">
        <v>0.190667</v>
      </c>
      <c r="B175" s="49">
        <v>0.190667</v>
      </c>
    </row>
    <row r="176" spans="1:2">
      <c r="A176" s="49">
        <v>0.70666700000000005</v>
      </c>
      <c r="B176" s="49">
        <v>0.70666700000000005</v>
      </c>
    </row>
    <row r="177" spans="1:2">
      <c r="A177" s="49">
        <v>0.63066699999999998</v>
      </c>
      <c r="B177" s="49">
        <v>0.63066699999999998</v>
      </c>
    </row>
    <row r="178" spans="1:2">
      <c r="A178" s="49">
        <v>0.59066700000000005</v>
      </c>
      <c r="B178" s="49">
        <v>0.59066700000000005</v>
      </c>
    </row>
    <row r="179" spans="1:2">
      <c r="A179" s="49">
        <v>0.64266699999999999</v>
      </c>
      <c r="B179" s="49">
        <v>0.64266699999999999</v>
      </c>
    </row>
    <row r="180" spans="1:2">
      <c r="A180" s="49">
        <v>0.57999999999999996</v>
      </c>
      <c r="B180" s="49">
        <v>0.57999999999999996</v>
      </c>
    </row>
    <row r="181" spans="1:2">
      <c r="A181" s="49">
        <v>0.24266699999999999</v>
      </c>
      <c r="B181" s="49">
        <v>0.24266699999999999</v>
      </c>
    </row>
    <row r="182" spans="1:2">
      <c r="A182" s="49">
        <v>0.28399999999999997</v>
      </c>
      <c r="B182" s="49">
        <v>0.28399999999999997</v>
      </c>
    </row>
    <row r="183" spans="1:2">
      <c r="A183" s="49">
        <v>0.110667</v>
      </c>
      <c r="B183" s="49">
        <v>0.110667</v>
      </c>
    </row>
    <row r="184" spans="1:2">
      <c r="A184" s="49">
        <v>7.3333300000000004E-2</v>
      </c>
      <c r="B184" s="49">
        <v>7.3333300000000004E-2</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0.520478</v>
      </c>
      <c r="B2" s="49">
        <v>0.43295299999999998</v>
      </c>
      <c r="C2">
        <v>0</v>
      </c>
      <c r="D2">
        <v>0</v>
      </c>
      <c r="E2" t="s">
        <v>1161</v>
      </c>
      <c r="F2" s="49">
        <f>IF(A2&lt;&gt;"",1,"")</f>
        <v>1</v>
      </c>
      <c r="G2">
        <f>IF($H8&gt;0,LOOKUP(COUNT(A2:A1000)*$H8,F2:F1000,A2:A1000),LOOKUP(1,F2:F1000,A2:A1000))</f>
        <v>0.513428</v>
      </c>
      <c r="H2">
        <f>IF($H8&gt;0,LOOKUP(COUNT(B2:B1000)*$H8,F2:F1000,B2:B1000),LOOKUP(1,F2:F1000,B2:B1000))</f>
        <v>0.42461599999999999</v>
      </c>
      <c r="J2" s="49">
        <f>IF(A2&lt;&gt;"",A2*10,"")</f>
        <v>5.2047799999999995</v>
      </c>
      <c r="K2" s="49">
        <f>IF(B2&lt;&gt;"",B2*100,"")</f>
        <v>43.295299999999997</v>
      </c>
      <c r="L2" s="49">
        <f>IF(F2&lt;&gt;"",IF(K2&lt;&gt;0,K2/J2,0),"")</f>
        <v>8.3183727266090024</v>
      </c>
    </row>
    <row r="3" spans="1:12">
      <c r="A3" s="49">
        <v>0.513428</v>
      </c>
      <c r="B3" s="49">
        <v>0.42461599999999999</v>
      </c>
      <c r="C3">
        <v>0.37838699999999997</v>
      </c>
      <c r="D3">
        <v>0</v>
      </c>
      <c r="E3" t="s">
        <v>2560</v>
      </c>
      <c r="F3" s="49">
        <f>IF(A3&lt;&gt;"",F2+1,"")</f>
        <v>2</v>
      </c>
      <c r="G3">
        <f>IF($H9&gt;0,LOOKUP(COUNT(A2:A1000)*$H9,F2:F1000,A2:A1000),LOOKUP(1,F2:F1000,A2:A1000))</f>
        <v>0.37919900000000001</v>
      </c>
      <c r="H3">
        <f>IF($H9&gt;0,LOOKUP(COUNT(B2:B1000)*$H9,F2:F1000,B2:B1000),LOOKUP(1,F2:F1000,B2:B1000))</f>
        <v>0.48267100000000002</v>
      </c>
      <c r="J3" s="49">
        <f t="shared" ref="J3:J66" si="0">IF(A3&lt;&gt;"",A3*10,"")</f>
        <v>5.1342800000000004</v>
      </c>
      <c r="K3" s="49">
        <f t="shared" ref="K3:K66" si="1">IF(B3&lt;&gt;"",B3*100,"")</f>
        <v>42.461599999999997</v>
      </c>
      <c r="L3" s="49">
        <f t="shared" ref="L3:L66" si="2">IF(F3&lt;&gt;"",IF(K3&lt;&gt;0,K3/J3,0),"")</f>
        <v>8.270215103188761</v>
      </c>
    </row>
    <row r="4" spans="1:12">
      <c r="A4" s="49">
        <v>0.506104</v>
      </c>
      <c r="B4" s="49">
        <v>0.41895900000000003</v>
      </c>
      <c r="C4">
        <v>0.78099499999999999</v>
      </c>
      <c r="D4">
        <v>0</v>
      </c>
      <c r="E4" t="s">
        <v>2561</v>
      </c>
      <c r="F4" s="49">
        <f t="shared" ref="F4:F67" si="3">IF(A4&lt;&gt;"",F3+1,"")</f>
        <v>3</v>
      </c>
      <c r="G4" s="71" t="s">
        <v>209</v>
      </c>
      <c r="H4" s="23">
        <f>IF(ISERROR(G3-G2)=FALSE,(G3-G2)*10,0)</f>
        <v>-1.3422899999999998</v>
      </c>
      <c r="J4" s="49">
        <f t="shared" si="0"/>
        <v>5.0610400000000002</v>
      </c>
      <c r="K4" s="49">
        <f t="shared" si="1"/>
        <v>41.895900000000005</v>
      </c>
      <c r="L4" s="49">
        <f t="shared" si="2"/>
        <v>8.2781207024643155</v>
      </c>
    </row>
    <row r="5" spans="1:12">
      <c r="A5" s="49">
        <v>0.49802999999999997</v>
      </c>
      <c r="B5" s="49">
        <v>0.41689399999999999</v>
      </c>
      <c r="C5">
        <v>1.19191</v>
      </c>
      <c r="D5">
        <v>0</v>
      </c>
      <c r="E5" t="s">
        <v>2562</v>
      </c>
      <c r="F5" s="49">
        <f t="shared" si="3"/>
        <v>4</v>
      </c>
      <c r="G5" s="71" t="s">
        <v>210</v>
      </c>
      <c r="H5" s="23">
        <f>IF(ISERROR(H3-H2)=FALSE,H3-H2,0)</f>
        <v>5.8055000000000023E-2</v>
      </c>
      <c r="J5" s="49">
        <f t="shared" si="0"/>
        <v>4.9802999999999997</v>
      </c>
      <c r="K5" s="49">
        <f t="shared" si="1"/>
        <v>41.689399999999999</v>
      </c>
      <c r="L5" s="49">
        <f t="shared" si="2"/>
        <v>8.3708611931008168</v>
      </c>
    </row>
    <row r="6" spans="1:12">
      <c r="A6" s="49">
        <v>0.48938500000000001</v>
      </c>
      <c r="B6" s="49">
        <v>0.41677500000000001</v>
      </c>
      <c r="C6">
        <v>1.60762</v>
      </c>
      <c r="D6">
        <v>0</v>
      </c>
      <c r="E6" t="s">
        <v>2563</v>
      </c>
      <c r="F6" s="49">
        <f t="shared" si="3"/>
        <v>5</v>
      </c>
      <c r="G6" s="71" t="s">
        <v>211</v>
      </c>
      <c r="H6" s="23">
        <f>IF(H4&lt;&gt;0,H5/H4,0)</f>
        <v>-4.3250713333184358E-2</v>
      </c>
      <c r="J6" s="49">
        <f t="shared" si="0"/>
        <v>4.8938500000000005</v>
      </c>
      <c r="K6" s="49">
        <f t="shared" si="1"/>
        <v>41.677500000000002</v>
      </c>
      <c r="L6" s="49">
        <f t="shared" si="2"/>
        <v>8.5163010717533218</v>
      </c>
    </row>
    <row r="7" spans="1:12">
      <c r="A7" s="49">
        <v>0.47979100000000002</v>
      </c>
      <c r="B7" s="49">
        <v>0.42197000000000001</v>
      </c>
      <c r="C7">
        <v>2.00088</v>
      </c>
      <c r="D7">
        <v>0</v>
      </c>
      <c r="E7" t="s">
        <v>2564</v>
      </c>
      <c r="F7" s="49">
        <f t="shared" si="3"/>
        <v>6</v>
      </c>
      <c r="G7" s="71" t="s">
        <v>212</v>
      </c>
      <c r="H7" s="23">
        <f>DEGREES(ATAN(H6))</f>
        <v>-2.4765398793317597</v>
      </c>
      <c r="J7" s="49">
        <f t="shared" si="0"/>
        <v>4.7979099999999999</v>
      </c>
      <c r="K7" s="49">
        <f t="shared" si="1"/>
        <v>42.197000000000003</v>
      </c>
      <c r="L7" s="49">
        <f t="shared" si="2"/>
        <v>8.7948711001248476</v>
      </c>
    </row>
    <row r="8" spans="1:12">
      <c r="A8" s="49">
        <v>0.47048000000000001</v>
      </c>
      <c r="B8" s="49">
        <v>0.42808000000000002</v>
      </c>
      <c r="C8">
        <v>2.40605</v>
      </c>
      <c r="D8">
        <v>0</v>
      </c>
      <c r="E8" t="s">
        <v>2565</v>
      </c>
      <c r="F8" s="49">
        <f t="shared" si="3"/>
        <v>7</v>
      </c>
      <c r="G8" s="71" t="s">
        <v>213</v>
      </c>
      <c r="H8" s="72">
        <v>0.1</v>
      </c>
      <c r="J8" s="49">
        <f t="shared" si="0"/>
        <v>4.7048000000000005</v>
      </c>
      <c r="K8" s="49">
        <f t="shared" si="1"/>
        <v>42.808</v>
      </c>
      <c r="L8" s="49">
        <f t="shared" si="2"/>
        <v>9.0987927223261345</v>
      </c>
    </row>
    <row r="9" spans="1:12">
      <c r="A9" s="49">
        <v>0.46159499999999998</v>
      </c>
      <c r="B9" s="49">
        <v>0.43476599999999999</v>
      </c>
      <c r="C9">
        <v>2.81446</v>
      </c>
      <c r="D9">
        <v>0</v>
      </c>
      <c r="E9" t="s">
        <v>2566</v>
      </c>
      <c r="F9" s="49">
        <f t="shared" si="3"/>
        <v>8</v>
      </c>
      <c r="G9" s="71" t="s">
        <v>214</v>
      </c>
      <c r="H9" s="72">
        <v>0.9</v>
      </c>
      <c r="J9" s="49">
        <f t="shared" si="0"/>
        <v>4.6159499999999998</v>
      </c>
      <c r="K9" s="49">
        <f t="shared" si="1"/>
        <v>43.476599999999998</v>
      </c>
      <c r="L9" s="49">
        <f t="shared" si="2"/>
        <v>9.4187761999155111</v>
      </c>
    </row>
    <row r="10" spans="1:12">
      <c r="A10" s="49">
        <v>0.45296799999999998</v>
      </c>
      <c r="B10" s="49">
        <v>0.44246000000000002</v>
      </c>
      <c r="C10">
        <v>3.2166999999999999</v>
      </c>
      <c r="D10">
        <v>0</v>
      </c>
      <c r="E10" t="s">
        <v>2567</v>
      </c>
      <c r="F10" s="49">
        <f t="shared" si="3"/>
        <v>9</v>
      </c>
      <c r="G10" t="s">
        <v>215</v>
      </c>
      <c r="J10" s="49">
        <f t="shared" si="0"/>
        <v>4.5296799999999999</v>
      </c>
      <c r="K10" s="49">
        <f t="shared" si="1"/>
        <v>44.246000000000002</v>
      </c>
      <c r="L10" s="49">
        <f t="shared" si="2"/>
        <v>9.768018932904754</v>
      </c>
    </row>
    <row r="11" spans="1:12">
      <c r="A11" s="49">
        <v>0.44451200000000002</v>
      </c>
      <c r="B11" s="49">
        <v>0.45022899999999999</v>
      </c>
      <c r="C11">
        <v>3.6333099999999998</v>
      </c>
      <c r="D11">
        <v>0</v>
      </c>
      <c r="E11" t="s">
        <v>2568</v>
      </c>
      <c r="F11" s="49">
        <f t="shared" si="3"/>
        <v>10</v>
      </c>
      <c r="G11" s="71" t="s">
        <v>216</v>
      </c>
      <c r="H11" s="73">
        <f>MIN(B2:B1000)</f>
        <v>0.41677500000000001</v>
      </c>
      <c r="J11" s="49">
        <f t="shared" si="0"/>
        <v>4.4451200000000002</v>
      </c>
      <c r="K11" s="49">
        <f t="shared" si="1"/>
        <v>45.0229</v>
      </c>
      <c r="L11" s="49">
        <f t="shared" si="2"/>
        <v>10.128612950831473</v>
      </c>
    </row>
    <row r="12" spans="1:12">
      <c r="A12" s="49">
        <v>0.43628099999999997</v>
      </c>
      <c r="B12" s="49">
        <v>0.45629399999999998</v>
      </c>
      <c r="C12">
        <v>4.0288500000000003</v>
      </c>
      <c r="D12">
        <v>0</v>
      </c>
      <c r="E12" t="s">
        <v>2569</v>
      </c>
      <c r="F12" s="49">
        <f t="shared" si="3"/>
        <v>11</v>
      </c>
      <c r="G12" s="71" t="s">
        <v>218</v>
      </c>
      <c r="H12" s="73">
        <f>MAX(B2:B1000)</f>
        <v>0.488626</v>
      </c>
      <c r="J12" s="49">
        <f t="shared" si="0"/>
        <v>4.3628099999999996</v>
      </c>
      <c r="K12" s="49">
        <f t="shared" si="1"/>
        <v>45.629399999999997</v>
      </c>
      <c r="L12" s="49">
        <f t="shared" si="2"/>
        <v>10.458718119743926</v>
      </c>
    </row>
    <row r="13" spans="1:12">
      <c r="A13" s="49">
        <v>0.42836600000000002</v>
      </c>
      <c r="B13" s="49">
        <v>0.46209600000000001</v>
      </c>
      <c r="C13">
        <v>4.4344400000000004</v>
      </c>
      <c r="D13">
        <v>0</v>
      </c>
      <c r="E13" t="s">
        <v>2570</v>
      </c>
      <c r="F13" s="49">
        <f t="shared" si="3"/>
        <v>12</v>
      </c>
      <c r="G13" s="71" t="s">
        <v>220</v>
      </c>
      <c r="H13">
        <f>MATCH($H$11,B2:B1000,0)</f>
        <v>5</v>
      </c>
      <c r="J13" s="49">
        <f t="shared" si="0"/>
        <v>4.2836600000000002</v>
      </c>
      <c r="K13" s="49">
        <f t="shared" si="1"/>
        <v>46.209600000000002</v>
      </c>
      <c r="L13" s="49">
        <f t="shared" si="2"/>
        <v>10.787410765560292</v>
      </c>
    </row>
    <row r="14" spans="1:12">
      <c r="A14" s="49">
        <v>0.42086400000000002</v>
      </c>
      <c r="B14" s="49">
        <v>0.46702300000000002</v>
      </c>
      <c r="C14">
        <v>4.8516300000000001</v>
      </c>
      <c r="D14">
        <v>0</v>
      </c>
      <c r="E14" t="s">
        <v>2571</v>
      </c>
      <c r="F14" s="49">
        <f t="shared" si="3"/>
        <v>13</v>
      </c>
      <c r="G14" s="71" t="s">
        <v>221</v>
      </c>
      <c r="H14">
        <f>MATCH($H$12,B2:B1000,0)</f>
        <v>25</v>
      </c>
      <c r="J14" s="49">
        <f t="shared" si="0"/>
        <v>4.2086399999999999</v>
      </c>
      <c r="K14" s="49">
        <f t="shared" si="1"/>
        <v>46.702300000000001</v>
      </c>
      <c r="L14" s="49">
        <f t="shared" si="2"/>
        <v>11.096767601885645</v>
      </c>
    </row>
    <row r="15" spans="1:12">
      <c r="A15" s="49">
        <v>0.41388799999999998</v>
      </c>
      <c r="B15" s="49">
        <v>0.47200700000000001</v>
      </c>
      <c r="C15">
        <v>5.2583099999999998</v>
      </c>
      <c r="D15">
        <v>0</v>
      </c>
      <c r="E15" t="s">
        <v>2572</v>
      </c>
      <c r="F15" s="49">
        <f t="shared" si="3"/>
        <v>14</v>
      </c>
      <c r="G15">
        <f>LOOKUP($H13,F2:F1000,A2:A1000)</f>
        <v>0.48938500000000001</v>
      </c>
      <c r="H15">
        <f>LOOKUP($H13,F2:F1000,B2:B1000)</f>
        <v>0.41677500000000001</v>
      </c>
      <c r="J15" s="49">
        <f t="shared" si="0"/>
        <v>4.1388799999999994</v>
      </c>
      <c r="K15" s="49">
        <f t="shared" si="1"/>
        <v>47.200699999999998</v>
      </c>
      <c r="L15" s="49">
        <f t="shared" si="2"/>
        <v>11.404220465439927</v>
      </c>
    </row>
    <row r="16" spans="1:12">
      <c r="A16" s="49">
        <v>0.40717700000000001</v>
      </c>
      <c r="B16" s="49">
        <v>0.47609800000000002</v>
      </c>
      <c r="C16">
        <v>5.6621100000000002</v>
      </c>
      <c r="D16">
        <v>0</v>
      </c>
      <c r="E16" t="s">
        <v>2573</v>
      </c>
      <c r="F16" s="49">
        <f t="shared" si="3"/>
        <v>15</v>
      </c>
      <c r="G16">
        <f>LOOKUP($H14,F2:F1000,A2:A1000)</f>
        <v>0.36966199999999999</v>
      </c>
      <c r="H16">
        <f>LOOKUP($H14,F2:F1000,B2:B1000)</f>
        <v>0.488626</v>
      </c>
      <c r="J16" s="49">
        <f t="shared" si="0"/>
        <v>4.0717699999999999</v>
      </c>
      <c r="K16" s="49">
        <f t="shared" si="1"/>
        <v>47.6098</v>
      </c>
      <c r="L16" s="49">
        <f t="shared" si="2"/>
        <v>11.692654545811772</v>
      </c>
    </row>
    <row r="17" spans="1:12">
      <c r="A17" s="49">
        <v>0.40101599999999998</v>
      </c>
      <c r="B17" s="49">
        <v>0.47958200000000001</v>
      </c>
      <c r="C17">
        <v>6.0602400000000003</v>
      </c>
      <c r="D17">
        <v>0</v>
      </c>
      <c r="E17" t="s">
        <v>2574</v>
      </c>
      <c r="F17" s="49">
        <f t="shared" si="3"/>
        <v>16</v>
      </c>
      <c r="J17" s="49">
        <f t="shared" si="0"/>
        <v>4.0101599999999999</v>
      </c>
      <c r="K17" s="49">
        <f t="shared" si="1"/>
        <v>47.958199999999998</v>
      </c>
      <c r="L17" s="49">
        <f t="shared" si="2"/>
        <v>11.959173698805035</v>
      </c>
    </row>
    <row r="18" spans="1:12">
      <c r="A18" s="49">
        <v>0.39555899999999999</v>
      </c>
      <c r="B18" s="49">
        <v>0.480821</v>
      </c>
      <c r="C18">
        <v>6.4690399999999997</v>
      </c>
      <c r="D18">
        <v>0</v>
      </c>
      <c r="E18" t="s">
        <v>2575</v>
      </c>
      <c r="F18" s="49">
        <f t="shared" si="3"/>
        <v>17</v>
      </c>
      <c r="J18" s="49">
        <f t="shared" si="0"/>
        <v>3.9555899999999999</v>
      </c>
      <c r="K18" s="49">
        <f t="shared" si="1"/>
        <v>48.082099999999997</v>
      </c>
      <c r="L18" s="49">
        <f t="shared" si="2"/>
        <v>12.155481230360072</v>
      </c>
    </row>
    <row r="19" spans="1:12">
      <c r="A19" s="49">
        <v>0.39000499999999999</v>
      </c>
      <c r="B19" s="49">
        <v>0.48144300000000001</v>
      </c>
      <c r="C19">
        <v>6.8754900000000001</v>
      </c>
      <c r="D19">
        <v>0</v>
      </c>
      <c r="E19" t="s">
        <v>2576</v>
      </c>
      <c r="F19" s="49">
        <f t="shared" si="3"/>
        <v>18</v>
      </c>
      <c r="J19" s="49">
        <f t="shared" si="0"/>
        <v>3.9000499999999998</v>
      </c>
      <c r="K19" s="49">
        <f t="shared" si="1"/>
        <v>48.144300000000001</v>
      </c>
      <c r="L19" s="49">
        <f t="shared" si="2"/>
        <v>12.34453404443533</v>
      </c>
    </row>
    <row r="20" spans="1:12">
      <c r="A20" s="49">
        <v>0.38592900000000002</v>
      </c>
      <c r="B20" s="49">
        <v>0.48268699999999998</v>
      </c>
      <c r="C20">
        <v>7.2820200000000002</v>
      </c>
      <c r="D20">
        <v>0</v>
      </c>
      <c r="E20" t="s">
        <v>2577</v>
      </c>
      <c r="F20" s="49">
        <f t="shared" si="3"/>
        <v>19</v>
      </c>
      <c r="J20" s="49">
        <f t="shared" si="0"/>
        <v>3.8592900000000001</v>
      </c>
      <c r="K20" s="49">
        <f t="shared" si="1"/>
        <v>48.268699999999995</v>
      </c>
      <c r="L20" s="49">
        <f t="shared" si="2"/>
        <v>12.507145096636945</v>
      </c>
    </row>
    <row r="21" spans="1:12">
      <c r="A21" s="49">
        <v>0.38355099999999998</v>
      </c>
      <c r="B21" s="49">
        <v>0.48301699999999997</v>
      </c>
      <c r="C21">
        <v>7.6881599999999999</v>
      </c>
      <c r="D21">
        <v>0</v>
      </c>
      <c r="E21" t="s">
        <v>2578</v>
      </c>
      <c r="F21" s="49">
        <f t="shared" si="3"/>
        <v>20</v>
      </c>
      <c r="J21" s="49">
        <f t="shared" si="0"/>
        <v>3.8355099999999998</v>
      </c>
      <c r="K21" s="49">
        <f t="shared" si="1"/>
        <v>48.301699999999997</v>
      </c>
      <c r="L21" s="49">
        <f t="shared" si="2"/>
        <v>12.593292678157534</v>
      </c>
    </row>
    <row r="22" spans="1:12">
      <c r="A22" s="49">
        <v>0.38143300000000002</v>
      </c>
      <c r="B22" s="49">
        <v>0.48259400000000002</v>
      </c>
      <c r="C22">
        <v>8.1086399999999994</v>
      </c>
      <c r="D22">
        <v>0</v>
      </c>
      <c r="E22" t="s">
        <v>2579</v>
      </c>
      <c r="F22" s="49">
        <f t="shared" si="3"/>
        <v>21</v>
      </c>
      <c r="J22" s="49">
        <f t="shared" si="0"/>
        <v>3.81433</v>
      </c>
      <c r="K22" s="49">
        <f t="shared" si="1"/>
        <v>48.259399999999999</v>
      </c>
      <c r="L22" s="49">
        <f t="shared" si="2"/>
        <v>12.652130256165565</v>
      </c>
    </row>
    <row r="23" spans="1:12">
      <c r="A23" s="49">
        <v>0.37919900000000001</v>
      </c>
      <c r="B23" s="49">
        <v>0.48267100000000002</v>
      </c>
      <c r="C23">
        <v>8.5149299999999997</v>
      </c>
      <c r="D23">
        <v>0</v>
      </c>
      <c r="E23" t="s">
        <v>2580</v>
      </c>
      <c r="F23" s="49">
        <f t="shared" si="3"/>
        <v>22</v>
      </c>
      <c r="J23" s="49">
        <f t="shared" si="0"/>
        <v>3.7919900000000002</v>
      </c>
      <c r="K23" s="49">
        <f t="shared" si="1"/>
        <v>48.267099999999999</v>
      </c>
      <c r="L23" s="49">
        <f t="shared" si="2"/>
        <v>12.728699179059015</v>
      </c>
    </row>
    <row r="24" spans="1:12">
      <c r="A24" s="49">
        <v>0.37728299999999998</v>
      </c>
      <c r="B24" s="49">
        <v>0.481402</v>
      </c>
      <c r="C24">
        <v>8.9181600000000003</v>
      </c>
      <c r="D24">
        <v>0</v>
      </c>
      <c r="E24" t="s">
        <v>2581</v>
      </c>
      <c r="F24" s="49">
        <f t="shared" si="3"/>
        <v>23</v>
      </c>
      <c r="G24" t="s">
        <v>245</v>
      </c>
      <c r="H24">
        <f>COUNT(A2:A2000)</f>
        <v>25</v>
      </c>
      <c r="J24" s="49">
        <f t="shared" si="0"/>
        <v>3.7728299999999999</v>
      </c>
      <c r="K24" s="49">
        <f t="shared" si="1"/>
        <v>48.1402</v>
      </c>
      <c r="L24" s="49">
        <f t="shared" si="2"/>
        <v>12.7597055791011</v>
      </c>
    </row>
    <row r="25" spans="1:12">
      <c r="A25" s="49">
        <v>0.373253</v>
      </c>
      <c r="B25" s="49">
        <v>0.482124</v>
      </c>
      <c r="C25">
        <v>9.32531</v>
      </c>
      <c r="D25">
        <v>0</v>
      </c>
      <c r="E25" t="s">
        <v>2582</v>
      </c>
      <c r="F25" s="49">
        <f t="shared" si="3"/>
        <v>24</v>
      </c>
      <c r="J25" s="49">
        <f t="shared" si="0"/>
        <v>3.7325300000000001</v>
      </c>
      <c r="K25" s="49">
        <f t="shared" si="1"/>
        <v>48.212400000000002</v>
      </c>
      <c r="L25" s="49">
        <f t="shared" si="2"/>
        <v>12.91681513611411</v>
      </c>
    </row>
    <row r="26" spans="1:12">
      <c r="A26" s="49">
        <v>0.36966199999999999</v>
      </c>
      <c r="B26" s="49">
        <v>0.488626</v>
      </c>
      <c r="C26">
        <v>9.7184399999999993</v>
      </c>
      <c r="D26">
        <v>0</v>
      </c>
      <c r="E26" t="s">
        <v>2583</v>
      </c>
      <c r="F26" s="49">
        <f t="shared" si="3"/>
        <v>25</v>
      </c>
      <c r="J26" s="49">
        <f t="shared" si="0"/>
        <v>3.6966199999999998</v>
      </c>
      <c r="K26" s="49">
        <f t="shared" si="1"/>
        <v>48.8626</v>
      </c>
      <c r="L26" s="49">
        <f t="shared" si="2"/>
        <v>13.218183096991307</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45786.624409722222</v>
      </c>
      <c r="B2" t="s">
        <v>2584</v>
      </c>
      <c r="C2" s="49"/>
      <c r="D2" s="49"/>
      <c r="E2" s="49">
        <v>4.9668900000000002</v>
      </c>
      <c r="F2" s="49">
        <v>2.0725799999999999</v>
      </c>
      <c r="G2" s="49">
        <v>0.52676000000000001</v>
      </c>
      <c r="H2" s="49">
        <v>0</v>
      </c>
      <c r="I2" s="49">
        <v>15.5853</v>
      </c>
      <c r="J2" s="49">
        <v>86</v>
      </c>
      <c r="K2" s="49">
        <v>86</v>
      </c>
      <c r="L2" s="49">
        <v>100</v>
      </c>
      <c r="M2" s="521" t="s">
        <v>1549</v>
      </c>
      <c r="O2" s="565" t="str">
        <f>IF(FH_info!B2="","",TRIM(MID(SUBSTITUTE(FH_info!B2,"^",REPT(" ",LEN(FH_info!B2))),LEN(FH_info!B2)*2-LEN(FH_info!B2)+1,LEN(FH_info!B2))))</f>
        <v>3hqB</v>
      </c>
      <c r="P2" s="565" t="str">
        <f>IF(FH_info!O2="","",TRIM(MID(SUBSTITUTE(FH_info!O2," ",REPT(" ",LEN(FH_info!O2))),LEN(FH_info!O2)*1-LEN(FH_info!O2)+1,LEN(FH_info!O2))))</f>
        <v>3hqB</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15.585333</v>
      </c>
      <c r="D2">
        <f>MAX(B2:B257)</f>
        <v>702.473389</v>
      </c>
      <c r="G2" t="s">
        <v>1590</v>
      </c>
      <c r="H2">
        <v>4.9668869999999998</v>
      </c>
      <c r="I2">
        <v>15.585333</v>
      </c>
      <c r="J2">
        <v>0</v>
      </c>
      <c r="K2">
        <v>86</v>
      </c>
      <c r="L2">
        <v>86</v>
      </c>
      <c r="M2">
        <v>2.0725820000000001</v>
      </c>
      <c r="N2">
        <v>0.52676000000000001</v>
      </c>
      <c r="O2">
        <v>0.27747699999999997</v>
      </c>
    </row>
    <row r="3" spans="1:15">
      <c r="A3">
        <v>0</v>
      </c>
      <c r="B3">
        <v>0</v>
      </c>
      <c r="G3" t="s">
        <v>1591</v>
      </c>
      <c r="H3">
        <v>4.9668869999999998</v>
      </c>
      <c r="I3">
        <v>702.473389</v>
      </c>
      <c r="J3">
        <v>0</v>
      </c>
      <c r="K3">
        <v>11</v>
      </c>
      <c r="L3">
        <v>11</v>
      </c>
      <c r="M3">
        <v>0.51102999999999998</v>
      </c>
      <c r="N3">
        <v>0.45913799999999999</v>
      </c>
      <c r="O3">
        <v>0.210808</v>
      </c>
    </row>
    <row r="4" spans="1:15">
      <c r="A4">
        <v>0</v>
      </c>
      <c r="B4">
        <v>0</v>
      </c>
    </row>
    <row r="5" spans="1:15">
      <c r="A5">
        <v>0.2</v>
      </c>
      <c r="B5">
        <v>370.08667000000003</v>
      </c>
    </row>
    <row r="6" spans="1:15">
      <c r="A6">
        <v>0.14399999999999999</v>
      </c>
      <c r="B6">
        <v>0</v>
      </c>
    </row>
    <row r="7" spans="1:15">
      <c r="A7">
        <v>0</v>
      </c>
      <c r="B7">
        <v>0</v>
      </c>
    </row>
    <row r="8" spans="1:15">
      <c r="A8">
        <v>7.8667000000000001E-2</v>
      </c>
      <c r="B8">
        <v>641.86669900000004</v>
      </c>
    </row>
    <row r="9" spans="1:15">
      <c r="A9">
        <v>4.8000000000000001E-2</v>
      </c>
      <c r="B9">
        <v>0</v>
      </c>
    </row>
    <row r="10" spans="1:15">
      <c r="A10">
        <v>0</v>
      </c>
      <c r="B10">
        <v>509.013306</v>
      </c>
    </row>
    <row r="11" spans="1:15">
      <c r="A11">
        <v>0.08</v>
      </c>
      <c r="B11">
        <v>0</v>
      </c>
    </row>
    <row r="12" spans="1:15">
      <c r="A12">
        <v>3.2000000000000001E-2</v>
      </c>
      <c r="B12">
        <v>0</v>
      </c>
    </row>
    <row r="13" spans="1:15">
      <c r="A13">
        <v>0.02</v>
      </c>
      <c r="B13">
        <v>702.473389</v>
      </c>
    </row>
    <row r="14" spans="1:15">
      <c r="A14">
        <v>4.6667E-2</v>
      </c>
      <c r="B14">
        <v>0</v>
      </c>
    </row>
    <row r="15" spans="1:15">
      <c r="A15">
        <v>3.5999999999999997E-2</v>
      </c>
      <c r="B15">
        <v>619.50665300000003</v>
      </c>
    </row>
    <row r="16" spans="1:15">
      <c r="A16">
        <v>3.2000000000000001E-2</v>
      </c>
      <c r="B16">
        <v>0</v>
      </c>
    </row>
    <row r="17" spans="1:2">
      <c r="A17">
        <v>4.8000000000000001E-2</v>
      </c>
      <c r="B17">
        <v>0</v>
      </c>
    </row>
    <row r="18" spans="1:2">
      <c r="A18">
        <v>4.2666999999999997E-2</v>
      </c>
      <c r="B18">
        <v>564.38000499999998</v>
      </c>
    </row>
    <row r="19" spans="1:2">
      <c r="A19">
        <v>0.23733299999999999</v>
      </c>
      <c r="B19">
        <v>0</v>
      </c>
    </row>
    <row r="20" spans="1:2">
      <c r="A20">
        <v>0.248</v>
      </c>
      <c r="B20">
        <v>0</v>
      </c>
    </row>
    <row r="21" spans="1:2">
      <c r="A21">
        <v>0.29733300000000001</v>
      </c>
      <c r="B21">
        <v>431.94000199999999</v>
      </c>
    </row>
    <row r="22" spans="1:2">
      <c r="A22">
        <v>7.3332999999999995E-2</v>
      </c>
      <c r="B22">
        <v>0</v>
      </c>
    </row>
    <row r="23" spans="1:2">
      <c r="A23">
        <v>7.4666999999999997E-2</v>
      </c>
      <c r="B23">
        <v>309.99334700000003</v>
      </c>
    </row>
    <row r="24" spans="1:2">
      <c r="A24">
        <v>7.7332999999999999E-2</v>
      </c>
      <c r="B24">
        <v>0</v>
      </c>
    </row>
    <row r="25" spans="1:2">
      <c r="A25">
        <v>0.02</v>
      </c>
      <c r="B25">
        <v>0</v>
      </c>
    </row>
    <row r="26" spans="1:2">
      <c r="A26">
        <v>0</v>
      </c>
      <c r="B26">
        <v>250.94665499999999</v>
      </c>
    </row>
    <row r="27" spans="1:2">
      <c r="A27">
        <v>3.2000000000000001E-2</v>
      </c>
      <c r="B27">
        <v>0</v>
      </c>
    </row>
    <row r="28" spans="1:2">
      <c r="A28">
        <v>2.4E-2</v>
      </c>
      <c r="B28">
        <v>214.806656</v>
      </c>
    </row>
    <row r="29" spans="1:2">
      <c r="A29">
        <v>2.4E-2</v>
      </c>
      <c r="B29">
        <v>0</v>
      </c>
    </row>
    <row r="30" spans="1:2">
      <c r="A30">
        <v>3.2000000000000001E-2</v>
      </c>
      <c r="B30">
        <v>0</v>
      </c>
    </row>
    <row r="31" spans="1:2">
      <c r="A31">
        <v>8.0000000000000002E-3</v>
      </c>
      <c r="B31">
        <v>185.12666300000001</v>
      </c>
    </row>
    <row r="32" spans="1:2">
      <c r="A32">
        <v>0</v>
      </c>
      <c r="B32">
        <v>0</v>
      </c>
    </row>
    <row r="33" spans="1:2">
      <c r="A33">
        <v>0</v>
      </c>
      <c r="B33">
        <v>161.66667200000001</v>
      </c>
    </row>
    <row r="34" spans="1:2">
      <c r="A34">
        <v>0</v>
      </c>
      <c r="B34">
        <v>0</v>
      </c>
    </row>
    <row r="35" spans="1:2">
      <c r="A35">
        <v>0</v>
      </c>
      <c r="B35">
        <v>0</v>
      </c>
    </row>
    <row r="36" spans="1:2">
      <c r="A36">
        <v>0</v>
      </c>
      <c r="B36">
        <v>140.846664</v>
      </c>
    </row>
    <row r="37" spans="1:2">
      <c r="A37">
        <v>0</v>
      </c>
      <c r="B37">
        <v>0</v>
      </c>
    </row>
    <row r="38" spans="1:2">
      <c r="A38">
        <v>0</v>
      </c>
      <c r="B38">
        <v>0</v>
      </c>
    </row>
    <row r="39" spans="1:2">
      <c r="A39">
        <v>0</v>
      </c>
      <c r="B39">
        <v>127.886673</v>
      </c>
    </row>
    <row r="40" spans="1:2">
      <c r="A40">
        <v>0.122667</v>
      </c>
      <c r="B40">
        <v>0</v>
      </c>
    </row>
    <row r="41" spans="1:2">
      <c r="A41">
        <v>0.125333</v>
      </c>
      <c r="B41">
        <v>115.54666899999999</v>
      </c>
    </row>
    <row r="42" spans="1:2">
      <c r="A42">
        <v>0.17466699999999999</v>
      </c>
      <c r="B42">
        <v>0</v>
      </c>
    </row>
    <row r="43" spans="1:2">
      <c r="A43">
        <v>0.38533299999999998</v>
      </c>
      <c r="B43">
        <v>0</v>
      </c>
    </row>
    <row r="44" spans="1:2">
      <c r="A44">
        <v>0.38666699999999998</v>
      </c>
      <c r="B44">
        <v>107.040001</v>
      </c>
    </row>
    <row r="45" spans="1:2">
      <c r="A45">
        <v>0.56266700000000003</v>
      </c>
      <c r="B45">
        <v>0</v>
      </c>
    </row>
    <row r="46" spans="1:2">
      <c r="A46">
        <v>0.54800000000000004</v>
      </c>
      <c r="B46">
        <v>99.833327999999995</v>
      </c>
    </row>
    <row r="47" spans="1:2">
      <c r="A47">
        <v>0.41599999999999998</v>
      </c>
      <c r="B47">
        <v>0</v>
      </c>
    </row>
    <row r="48" spans="1:2">
      <c r="A48">
        <v>0.48</v>
      </c>
      <c r="B48">
        <v>0</v>
      </c>
    </row>
    <row r="49" spans="1:2">
      <c r="A49">
        <v>0.57866700000000004</v>
      </c>
      <c r="B49">
        <v>91.546668999999994</v>
      </c>
    </row>
    <row r="50" spans="1:2">
      <c r="A50">
        <v>0.36</v>
      </c>
      <c r="B50">
        <v>0</v>
      </c>
    </row>
    <row r="51" spans="1:2">
      <c r="A51">
        <v>0.80266700000000002</v>
      </c>
      <c r="B51">
        <v>89.086669999999998</v>
      </c>
    </row>
    <row r="52" spans="1:2">
      <c r="A52">
        <v>0.85866699999999996</v>
      </c>
      <c r="B52">
        <v>0</v>
      </c>
    </row>
    <row r="53" spans="1:2">
      <c r="A53">
        <v>0.44</v>
      </c>
      <c r="B53">
        <v>0</v>
      </c>
    </row>
    <row r="54" spans="1:2">
      <c r="A54">
        <v>1.236</v>
      </c>
      <c r="B54">
        <v>84.980002999999996</v>
      </c>
    </row>
    <row r="55" spans="1:2">
      <c r="A55">
        <v>1.274667</v>
      </c>
      <c r="B55">
        <v>0</v>
      </c>
    </row>
    <row r="56" spans="1:2">
      <c r="A56">
        <v>1.193333</v>
      </c>
      <c r="B56">
        <v>0</v>
      </c>
    </row>
    <row r="57" spans="1:2">
      <c r="A57">
        <v>1.486667</v>
      </c>
      <c r="B57">
        <v>82.186667999999997</v>
      </c>
    </row>
    <row r="58" spans="1:2">
      <c r="A58">
        <v>1.4</v>
      </c>
      <c r="B58">
        <v>0</v>
      </c>
    </row>
    <row r="59" spans="1:2">
      <c r="A59">
        <v>2.0693329999999999</v>
      </c>
      <c r="B59">
        <v>80.086662000000004</v>
      </c>
    </row>
    <row r="60" spans="1:2">
      <c r="A60">
        <v>1.5906670000000001</v>
      </c>
      <c r="B60">
        <v>0</v>
      </c>
    </row>
    <row r="61" spans="1:2">
      <c r="A61">
        <v>1.5613330000000001</v>
      </c>
      <c r="B61">
        <v>0</v>
      </c>
    </row>
    <row r="62" spans="1:2">
      <c r="A62">
        <v>2.2973330000000001</v>
      </c>
      <c r="B62">
        <v>74.573334000000003</v>
      </c>
    </row>
    <row r="63" spans="1:2">
      <c r="A63">
        <v>2.3679999999999999</v>
      </c>
      <c r="B63">
        <v>0</v>
      </c>
    </row>
    <row r="64" spans="1:2">
      <c r="A64">
        <v>2.056</v>
      </c>
      <c r="B64">
        <v>69.739998</v>
      </c>
    </row>
    <row r="65" spans="1:2">
      <c r="A65">
        <v>2.6253329999999999</v>
      </c>
      <c r="B65">
        <v>0</v>
      </c>
    </row>
    <row r="66" spans="1:2">
      <c r="A66">
        <v>3.6013329999999999</v>
      </c>
      <c r="B66">
        <v>0</v>
      </c>
    </row>
    <row r="67" spans="1:2">
      <c r="A67">
        <v>3.4786670000000002</v>
      </c>
      <c r="B67">
        <v>63.66</v>
      </c>
    </row>
    <row r="68" spans="1:2">
      <c r="A68">
        <v>6.2</v>
      </c>
      <c r="B68">
        <v>0</v>
      </c>
    </row>
    <row r="69" spans="1:2">
      <c r="A69">
        <v>4.1493330000000004</v>
      </c>
      <c r="B69">
        <v>60.506664000000001</v>
      </c>
    </row>
    <row r="70" spans="1:2">
      <c r="A70">
        <v>7.4333330000000002</v>
      </c>
      <c r="B70">
        <v>0</v>
      </c>
    </row>
    <row r="71" spans="1:2">
      <c r="A71">
        <v>6.9266670000000001</v>
      </c>
      <c r="B71">
        <v>0</v>
      </c>
    </row>
    <row r="72" spans="1:2">
      <c r="A72">
        <v>8.1026670000000003</v>
      </c>
      <c r="B72">
        <v>56.786667000000001</v>
      </c>
    </row>
    <row r="73" spans="1:2">
      <c r="A73">
        <v>9.049334</v>
      </c>
      <c r="B73">
        <v>0</v>
      </c>
    </row>
    <row r="74" spans="1:2">
      <c r="A74">
        <v>6.7640000000000002</v>
      </c>
      <c r="B74">
        <v>0</v>
      </c>
    </row>
    <row r="75" spans="1:2">
      <c r="A75">
        <v>12.134665999999999</v>
      </c>
      <c r="B75">
        <v>52.393332999999998</v>
      </c>
    </row>
    <row r="76" spans="1:2">
      <c r="A76">
        <v>7.5146670000000002</v>
      </c>
      <c r="B76">
        <v>0</v>
      </c>
    </row>
    <row r="77" spans="1:2">
      <c r="A77">
        <v>9.1986670000000004</v>
      </c>
      <c r="B77">
        <v>48.126663000000001</v>
      </c>
    </row>
    <row r="78" spans="1:2">
      <c r="A78">
        <v>13.425333</v>
      </c>
      <c r="B78">
        <v>0</v>
      </c>
    </row>
    <row r="79" spans="1:2">
      <c r="A79">
        <v>7.78</v>
      </c>
      <c r="B79">
        <v>0</v>
      </c>
    </row>
    <row r="80" spans="1:2">
      <c r="A80">
        <v>9.7240000000000002</v>
      </c>
      <c r="B80">
        <v>45.153336000000003</v>
      </c>
    </row>
    <row r="81" spans="1:2">
      <c r="A81">
        <v>12.173334000000001</v>
      </c>
      <c r="B81">
        <v>0</v>
      </c>
    </row>
    <row r="82" spans="1:2">
      <c r="A82">
        <v>7.5626660000000001</v>
      </c>
      <c r="B82">
        <v>42.706665000000001</v>
      </c>
    </row>
    <row r="83" spans="1:2">
      <c r="A83">
        <v>9.3346669999999996</v>
      </c>
      <c r="B83">
        <v>0</v>
      </c>
    </row>
    <row r="84" spans="1:2">
      <c r="A84">
        <v>11.230665999999999</v>
      </c>
      <c r="B84">
        <v>0</v>
      </c>
    </row>
    <row r="85" spans="1:2">
      <c r="A85">
        <v>7.5226660000000001</v>
      </c>
      <c r="B85">
        <v>38.779998999999997</v>
      </c>
    </row>
    <row r="86" spans="1:2">
      <c r="A86">
        <v>9.2373329999999996</v>
      </c>
      <c r="B86">
        <v>0</v>
      </c>
    </row>
    <row r="87" spans="1:2">
      <c r="A87">
        <v>7.5439999999999996</v>
      </c>
      <c r="B87">
        <v>0</v>
      </c>
    </row>
    <row r="88" spans="1:2">
      <c r="A88">
        <v>15.585333</v>
      </c>
      <c r="B88">
        <v>34.279998999999997</v>
      </c>
    </row>
    <row r="89" spans="1:2">
      <c r="A89">
        <v>6.5226660000000001</v>
      </c>
      <c r="B89">
        <v>0</v>
      </c>
    </row>
    <row r="90" spans="1:2">
      <c r="A90">
        <v>8.7973339999999993</v>
      </c>
      <c r="B90">
        <v>29.646667000000001</v>
      </c>
    </row>
    <row r="91" spans="1:2">
      <c r="A91">
        <v>10.736000000000001</v>
      </c>
      <c r="B91">
        <v>0</v>
      </c>
    </row>
    <row r="92" spans="1:2">
      <c r="A92">
        <v>6.3840000000000003</v>
      </c>
      <c r="B92">
        <v>0</v>
      </c>
    </row>
    <row r="93" spans="1:2">
      <c r="A93">
        <v>8.8586659999999995</v>
      </c>
      <c r="B93">
        <v>26</v>
      </c>
    </row>
    <row r="94" spans="1:2">
      <c r="A94">
        <v>10.271998999999999</v>
      </c>
      <c r="B94">
        <v>0</v>
      </c>
    </row>
    <row r="95" spans="1:2">
      <c r="A95">
        <v>6.36</v>
      </c>
      <c r="B95">
        <v>22.66</v>
      </c>
    </row>
    <row r="96" spans="1:2">
      <c r="A96">
        <v>9.5253329999999998</v>
      </c>
      <c r="B96">
        <v>0</v>
      </c>
    </row>
    <row r="97" spans="1:2">
      <c r="A97">
        <v>10.044001</v>
      </c>
      <c r="B97">
        <v>0</v>
      </c>
    </row>
    <row r="98" spans="1:2">
      <c r="A98">
        <v>6.9813340000000004</v>
      </c>
      <c r="B98">
        <v>19.746666000000001</v>
      </c>
    </row>
    <row r="99" spans="1:2">
      <c r="A99">
        <v>7.9746670000000002</v>
      </c>
      <c r="B99">
        <v>0</v>
      </c>
    </row>
    <row r="100" spans="1:2">
      <c r="A100">
        <v>9.9493329999999993</v>
      </c>
      <c r="B100">
        <v>16.920000000000002</v>
      </c>
    </row>
    <row r="101" spans="1:2">
      <c r="A101">
        <v>6.8946670000000001</v>
      </c>
      <c r="B101">
        <v>0</v>
      </c>
    </row>
    <row r="102" spans="1:2">
      <c r="A102">
        <v>10.046666999999999</v>
      </c>
      <c r="B102">
        <v>0</v>
      </c>
    </row>
    <row r="103" spans="1:2">
      <c r="A103">
        <v>10.616</v>
      </c>
      <c r="B103">
        <v>13.9</v>
      </c>
    </row>
    <row r="104" spans="1:2">
      <c r="A104">
        <v>5.322667</v>
      </c>
      <c r="B104">
        <v>0</v>
      </c>
    </row>
    <row r="105" spans="1:2">
      <c r="A105">
        <v>10.749333</v>
      </c>
      <c r="B105">
        <v>0</v>
      </c>
    </row>
    <row r="106" spans="1:2">
      <c r="A106">
        <v>10.502667000000001</v>
      </c>
      <c r="B106">
        <v>12.3</v>
      </c>
    </row>
    <row r="107" spans="1:2">
      <c r="A107">
        <v>9.4279989999999998</v>
      </c>
      <c r="B107">
        <v>0</v>
      </c>
    </row>
    <row r="108" spans="1:2">
      <c r="A108">
        <v>10.245334</v>
      </c>
      <c r="B108">
        <v>10.193333000000001</v>
      </c>
    </row>
    <row r="109" spans="1:2">
      <c r="A109">
        <v>10.356</v>
      </c>
      <c r="B109">
        <v>0</v>
      </c>
    </row>
    <row r="110" spans="1:2">
      <c r="A110">
        <v>10.421333000000001</v>
      </c>
      <c r="B110">
        <v>0</v>
      </c>
    </row>
    <row r="111" spans="1:2">
      <c r="A111">
        <v>11.909333</v>
      </c>
      <c r="B111">
        <v>7.9466669999999997</v>
      </c>
    </row>
    <row r="112" spans="1:2">
      <c r="A112">
        <v>7.5853330000000003</v>
      </c>
      <c r="B112">
        <v>0</v>
      </c>
    </row>
    <row r="113" spans="1:2">
      <c r="A113">
        <v>11.937333000000001</v>
      </c>
      <c r="B113">
        <v>6.5466670000000002</v>
      </c>
    </row>
    <row r="114" spans="1:2">
      <c r="A114">
        <v>10.072001</v>
      </c>
      <c r="B114">
        <v>0</v>
      </c>
    </row>
    <row r="115" spans="1:2">
      <c r="A115">
        <v>9.5466669999999993</v>
      </c>
      <c r="B115">
        <v>0</v>
      </c>
    </row>
    <row r="116" spans="1:2">
      <c r="A116">
        <v>12.125332999999999</v>
      </c>
      <c r="B116">
        <v>6.1</v>
      </c>
    </row>
    <row r="117" spans="1:2">
      <c r="A117">
        <v>9.7186660000000007</v>
      </c>
      <c r="B117">
        <v>0</v>
      </c>
    </row>
    <row r="118" spans="1:2">
      <c r="A118">
        <v>14.309334</v>
      </c>
      <c r="B118">
        <v>5.3</v>
      </c>
    </row>
    <row r="119" spans="1:2">
      <c r="A119">
        <v>11.724</v>
      </c>
      <c r="B119">
        <v>0</v>
      </c>
    </row>
    <row r="120" spans="1:2">
      <c r="A120">
        <v>10.584001000000001</v>
      </c>
      <c r="B120">
        <v>0</v>
      </c>
    </row>
    <row r="121" spans="1:2">
      <c r="A121">
        <v>10.931998999999999</v>
      </c>
      <c r="B121">
        <v>4.2533339999999997</v>
      </c>
    </row>
    <row r="122" spans="1:2">
      <c r="A122">
        <v>11.368</v>
      </c>
      <c r="B122">
        <v>0</v>
      </c>
    </row>
    <row r="123" spans="1:2">
      <c r="A123">
        <v>12.265333</v>
      </c>
      <c r="B123">
        <v>0</v>
      </c>
    </row>
    <row r="124" spans="1:2">
      <c r="A124">
        <v>13.016</v>
      </c>
      <c r="B124">
        <v>3.5133329999999998</v>
      </c>
    </row>
    <row r="125" spans="1:2">
      <c r="A125">
        <v>7.04</v>
      </c>
      <c r="B125">
        <v>0</v>
      </c>
    </row>
    <row r="126" spans="1:2">
      <c r="A126">
        <v>11.474667</v>
      </c>
      <c r="B126">
        <v>2.98</v>
      </c>
    </row>
    <row r="127" spans="1:2">
      <c r="A127">
        <v>14.850666</v>
      </c>
      <c r="B127">
        <v>0</v>
      </c>
    </row>
    <row r="128" spans="1:2">
      <c r="A128">
        <v>4.8053330000000001</v>
      </c>
      <c r="B128">
        <v>0</v>
      </c>
    </row>
    <row r="129" spans="1:2">
      <c r="A129">
        <v>11.112</v>
      </c>
      <c r="B129">
        <v>2.7266659999999998</v>
      </c>
    </row>
    <row r="130" spans="1:2">
      <c r="A130">
        <v>12.569333</v>
      </c>
      <c r="B130">
        <v>0</v>
      </c>
    </row>
    <row r="131" spans="1:2">
      <c r="A131">
        <v>6.9453329999999998</v>
      </c>
      <c r="B131">
        <v>2.56</v>
      </c>
    </row>
    <row r="132" spans="1:2">
      <c r="A132">
        <v>6.1906670000000004</v>
      </c>
      <c r="B132">
        <v>0</v>
      </c>
    </row>
    <row r="133" spans="1:2">
      <c r="A133">
        <v>11.562666999999999</v>
      </c>
      <c r="B133">
        <v>0</v>
      </c>
    </row>
    <row r="134" spans="1:2">
      <c r="A134">
        <v>6.3973329999999997</v>
      </c>
      <c r="B134">
        <v>1.92</v>
      </c>
    </row>
    <row r="135" spans="1:2">
      <c r="A135">
        <v>8.0133329999999994</v>
      </c>
      <c r="B135">
        <v>0</v>
      </c>
    </row>
    <row r="136" spans="1:2">
      <c r="A136">
        <v>10.458667</v>
      </c>
      <c r="B136">
        <v>1.38</v>
      </c>
    </row>
    <row r="137" spans="1:2">
      <c r="A137">
        <v>5.3719999999999999</v>
      </c>
      <c r="B137">
        <v>0</v>
      </c>
    </row>
    <row r="138" spans="1:2">
      <c r="A138">
        <v>8.7093330000000009</v>
      </c>
      <c r="B138">
        <v>0</v>
      </c>
    </row>
    <row r="139" spans="1:2">
      <c r="A139">
        <v>7.8093329999999996</v>
      </c>
      <c r="B139">
        <v>1.306667</v>
      </c>
    </row>
    <row r="140" spans="1:2">
      <c r="A140">
        <v>4.2613329999999996</v>
      </c>
      <c r="B140">
        <v>0</v>
      </c>
    </row>
    <row r="141" spans="1:2">
      <c r="A141">
        <v>7.5613340000000004</v>
      </c>
      <c r="B141">
        <v>0</v>
      </c>
    </row>
    <row r="142" spans="1:2">
      <c r="A142">
        <v>7.669333</v>
      </c>
      <c r="B142">
        <v>0.84</v>
      </c>
    </row>
    <row r="143" spans="1:2">
      <c r="A143">
        <v>3</v>
      </c>
      <c r="B143">
        <v>0</v>
      </c>
    </row>
    <row r="144" spans="1:2">
      <c r="A144">
        <v>8.5106669999999998</v>
      </c>
      <c r="B144">
        <v>0.82</v>
      </c>
    </row>
    <row r="145" spans="1:2">
      <c r="A145">
        <v>4.6440000000000001</v>
      </c>
      <c r="B145">
        <v>0</v>
      </c>
    </row>
    <row r="146" spans="1:2">
      <c r="A146">
        <v>3.7639999999999998</v>
      </c>
      <c r="B146">
        <v>0</v>
      </c>
    </row>
    <row r="147" spans="1:2">
      <c r="A147">
        <v>6.4359999999999999</v>
      </c>
      <c r="B147">
        <v>0.62</v>
      </c>
    </row>
    <row r="148" spans="1:2">
      <c r="A148">
        <v>2.976</v>
      </c>
      <c r="B148">
        <v>0</v>
      </c>
    </row>
    <row r="149" spans="1:2">
      <c r="A149">
        <v>3.3</v>
      </c>
      <c r="B149">
        <v>0.42</v>
      </c>
    </row>
    <row r="150" spans="1:2">
      <c r="A150">
        <v>4.5146670000000002</v>
      </c>
      <c r="B150">
        <v>0</v>
      </c>
    </row>
    <row r="151" spans="1:2">
      <c r="A151">
        <v>2.1560000000000001</v>
      </c>
      <c r="B151">
        <v>0</v>
      </c>
    </row>
    <row r="152" spans="1:2">
      <c r="A152">
        <v>2.1760000000000002</v>
      </c>
      <c r="B152">
        <v>0.35333300000000001</v>
      </c>
    </row>
    <row r="153" spans="1:2">
      <c r="A153">
        <v>2.6360000000000001</v>
      </c>
      <c r="B153">
        <v>0</v>
      </c>
    </row>
    <row r="154" spans="1:2">
      <c r="A154">
        <v>2.972</v>
      </c>
      <c r="B154">
        <v>0.24</v>
      </c>
    </row>
    <row r="155" spans="1:2">
      <c r="A155">
        <v>1.5693330000000001</v>
      </c>
      <c r="B155">
        <v>0</v>
      </c>
    </row>
    <row r="156" spans="1:2">
      <c r="A156">
        <v>2.5466669999999998</v>
      </c>
      <c r="B156">
        <v>0</v>
      </c>
    </row>
    <row r="157" spans="1:2">
      <c r="A157">
        <v>3.2226669999999999</v>
      </c>
      <c r="B157">
        <v>0.22666700000000001</v>
      </c>
    </row>
    <row r="158" spans="1:2">
      <c r="A158">
        <v>1.488</v>
      </c>
      <c r="B158">
        <v>0</v>
      </c>
    </row>
    <row r="159" spans="1:2">
      <c r="A159">
        <v>2.2160000000000002</v>
      </c>
      <c r="B159">
        <v>0</v>
      </c>
    </row>
    <row r="160" spans="1:2">
      <c r="A160">
        <v>2.1426669999999999</v>
      </c>
      <c r="B160">
        <v>0.16</v>
      </c>
    </row>
    <row r="161" spans="1:2">
      <c r="A161">
        <v>1.542667</v>
      </c>
      <c r="B161">
        <v>0</v>
      </c>
    </row>
    <row r="162" spans="1:2">
      <c r="A162">
        <v>1.546667</v>
      </c>
      <c r="B162">
        <v>0.08</v>
      </c>
    </row>
    <row r="163" spans="1:2">
      <c r="A163">
        <v>1.6160000000000001</v>
      </c>
      <c r="B163">
        <v>0</v>
      </c>
    </row>
    <row r="164" spans="1:2">
      <c r="A164">
        <v>0.97599999999999998</v>
      </c>
      <c r="B164">
        <v>0</v>
      </c>
    </row>
    <row r="165" spans="1:2">
      <c r="A165">
        <v>0.95466700000000004</v>
      </c>
      <c r="B165">
        <v>0.04</v>
      </c>
    </row>
    <row r="166" spans="1:2">
      <c r="A166">
        <v>1.772</v>
      </c>
      <c r="B166">
        <v>0</v>
      </c>
    </row>
    <row r="167" spans="1:2">
      <c r="A167">
        <v>1.34</v>
      </c>
      <c r="B167">
        <v>0.02</v>
      </c>
    </row>
    <row r="168" spans="1:2">
      <c r="A168">
        <v>1.953333</v>
      </c>
      <c r="B168">
        <v>0</v>
      </c>
    </row>
    <row r="169" spans="1:2">
      <c r="A169">
        <v>2.0493329999999998</v>
      </c>
      <c r="B169">
        <v>0</v>
      </c>
    </row>
    <row r="170" spans="1:2">
      <c r="A170">
        <v>1.238667</v>
      </c>
      <c r="B170">
        <v>0</v>
      </c>
    </row>
    <row r="171" spans="1:2">
      <c r="A171">
        <v>1.2226669999999999</v>
      </c>
      <c r="B171">
        <v>0</v>
      </c>
    </row>
    <row r="172" spans="1:2">
      <c r="A172">
        <v>0.70266700000000004</v>
      </c>
      <c r="B172">
        <v>0</v>
      </c>
    </row>
    <row r="173" spans="1:2">
      <c r="A173">
        <v>1.5533330000000001</v>
      </c>
      <c r="B173">
        <v>0</v>
      </c>
    </row>
    <row r="174" spans="1:2">
      <c r="A174">
        <v>0.74</v>
      </c>
      <c r="B174">
        <v>0</v>
      </c>
    </row>
    <row r="175" spans="1:2">
      <c r="A175">
        <v>0.190667</v>
      </c>
      <c r="B175">
        <v>0</v>
      </c>
    </row>
    <row r="176" spans="1:2">
      <c r="A176">
        <v>0.70666700000000005</v>
      </c>
      <c r="B176">
        <v>0</v>
      </c>
    </row>
    <row r="177" spans="1:2">
      <c r="A177">
        <v>0.63066699999999998</v>
      </c>
      <c r="B177">
        <v>0</v>
      </c>
    </row>
    <row r="178" spans="1:2">
      <c r="A178">
        <v>0.59066700000000005</v>
      </c>
      <c r="B178">
        <v>0</v>
      </c>
    </row>
    <row r="179" spans="1:2">
      <c r="A179">
        <v>0.64266699999999999</v>
      </c>
      <c r="B179">
        <v>0</v>
      </c>
    </row>
    <row r="180" spans="1:2">
      <c r="A180">
        <v>0.57999999999999996</v>
      </c>
      <c r="B180">
        <v>0</v>
      </c>
    </row>
    <row r="181" spans="1:2">
      <c r="A181">
        <v>0.24266699999999999</v>
      </c>
      <c r="B181">
        <v>0</v>
      </c>
    </row>
    <row r="182" spans="1:2">
      <c r="A182">
        <v>0.28399999999999997</v>
      </c>
      <c r="B182">
        <v>0</v>
      </c>
    </row>
    <row r="183" spans="1:2">
      <c r="A183">
        <v>0.110667</v>
      </c>
      <c r="B183">
        <v>0</v>
      </c>
    </row>
    <row r="184" spans="1:2">
      <c r="A184">
        <v>7.3332999999999995E-2</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0.632381316085544
0.63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0.63238131608554371</v>
      </c>
      <c r="I4" s="322">
        <f>IF(Measurement!AQ7&lt;&gt;"",NORMSDIST((H6-$B$2)/$B$3)*100,"")</f>
        <v>73.218598260491447</v>
      </c>
      <c r="J4" t="str">
        <f>Measurement!AR7</f>
        <v>건강</v>
      </c>
    </row>
    <row r="5" spans="1:11">
      <c r="B5" s="171">
        <v>-10</v>
      </c>
      <c r="C5" s="171">
        <f>NORMSDIST(($B5-$B$2)/$B$3)*100</f>
        <v>7.1097265868555281E-5</v>
      </c>
      <c r="G5" t="s">
        <v>1539</v>
      </c>
      <c r="H5" s="320">
        <f>IF(Measurement!AQ7&lt;-7,-7,Measurement!AQ7)</f>
        <v>0.63238131608554371</v>
      </c>
      <c r="I5" s="321">
        <f>IF(Measurement!AQ7&lt;&gt;"",0,"")</f>
        <v>0</v>
      </c>
    </row>
    <row r="6" spans="1:11">
      <c r="B6" s="171">
        <f>B5+0.1</f>
        <v>-9.9</v>
      </c>
      <c r="C6" s="171">
        <f t="shared" ref="C6:C57" si="0">NORMSDIST(($B6-$B$2)/$B$3)*100</f>
        <v>9.1781224195367343E-5</v>
      </c>
      <c r="H6" s="320">
        <f>IF(Measurement!AQ7&lt;-7,-7,Measurement!AQ7)</f>
        <v>0.63238131608554371</v>
      </c>
      <c r="I6" s="321">
        <f>IF(Measurement!AQ7&lt;&gt;"",NORMSDIST((H6-$B$2)/$B$3)*100,"")</f>
        <v>73.218598260491447</v>
      </c>
    </row>
    <row r="7" spans="1:11">
      <c r="B7" s="171">
        <f t="shared" ref="B7:B70" si="1">B6+0.1</f>
        <v>-9.8000000000000007</v>
      </c>
      <c r="C7" s="171">
        <f t="shared" si="0"/>
        <v>1.1818368021892541E-4</v>
      </c>
      <c r="D7" s="171"/>
      <c r="H7" s="320">
        <f>IF(Measurement!AQ7&lt;&gt;"",-7,"")</f>
        <v>-7</v>
      </c>
      <c r="I7" s="321">
        <f>IF(Measurement!AQ7&lt;&gt;"",NORMSDIST((H6-$B$2)/$B$3)*100,"")</f>
        <v>73.218598260491447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52.25</v>
      </c>
      <c r="V4" t="s">
        <v>1218</v>
      </c>
    </row>
    <row r="5" spans="1:29">
      <c r="B5" s="171">
        <v>0</v>
      </c>
      <c r="C5" s="171">
        <f>NORMSDIST(($B5-$B$2)/$B$3)*100</f>
        <v>1.2153167836658598</v>
      </c>
      <c r="H5">
        <f>info!W36</f>
        <v>52.253599999999992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52.253599999999992</v>
      </c>
      <c r="I6" s="171">
        <f>NORMSDIST((H6-$B$2)/$B$3)*100</f>
        <v>54.042858462938391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54.042858462938391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2.0725799999999999</v>
      </c>
    </row>
    <row r="3" spans="1:11" ht="18">
      <c r="A3" s="71" t="s">
        <v>1065</v>
      </c>
      <c r="B3" s="557">
        <v>0.71290976993199895</v>
      </c>
      <c r="C3" s="523"/>
      <c r="H3" s="561" t="s">
        <v>2223</v>
      </c>
      <c r="I3" s="562">
        <f>IF(I2=0,0,NORMSDIST((I2-$B$2)/$B$3)*100)</f>
        <v>59.564026191879037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2.07</v>
      </c>
    </row>
    <row r="6" spans="1:11">
      <c r="B6" s="23">
        <v>0</v>
      </c>
      <c r="C6" s="23">
        <f>NORMSDIST(($B6-$B$2)/$B$3)*100</f>
        <v>0.38478836223957635</v>
      </c>
      <c r="H6" s="205">
        <f>IF(info!V36&gt;I1,I1,info!V36)</f>
        <v>2.0725799999999999</v>
      </c>
      <c r="I6" s="560">
        <v>0</v>
      </c>
    </row>
    <row r="7" spans="1:11">
      <c r="B7" s="23">
        <f>B5+0.05</f>
        <v>0</v>
      </c>
      <c r="C7" s="23">
        <f t="shared" ref="C7:E58" si="0">NORMSDIST(($B7-$B$2)/$B$3)*100</f>
        <v>0.38478836223957635</v>
      </c>
      <c r="H7" s="205">
        <f>IF(info!V36&gt;I1,I1,info!V36)</f>
        <v>2.0725799999999999</v>
      </c>
      <c r="I7" s="560">
        <f>NORMSDIST((H7-$B$2)/$B$3)*100</f>
        <v>59.564026191879037</v>
      </c>
    </row>
    <row r="8" spans="1:11">
      <c r="B8" s="23">
        <f t="shared" ref="B8:B71" si="1">B7+0.05</f>
        <v>0.05</v>
      </c>
      <c r="C8" s="23">
        <f t="shared" si="0"/>
        <v>0.47295624138584591</v>
      </c>
      <c r="D8" s="171"/>
      <c r="H8" s="205">
        <v>0</v>
      </c>
      <c r="I8" s="560">
        <f>NORMSDIST((H7-$B$2)/$B$3)*100</f>
        <v>59.564026191879037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감정변이도2.07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2.0725799999999999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2.0725799999999999</v>
      </c>
      <c r="I6" s="171">
        <f>NORMSDIST((H6-$B$2)/$B$3)*100</f>
        <v>7.2256047333167289E-2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7.2256047333167289E-2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45786.624409722222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3hqB</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45786.624409722222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3hqB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2025-05-09T05:59:24Z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