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TrZN^2^6^\"/>
    </mc:Choice>
  </mc:AlternateContent>
  <xr:revisionPtr revIDLastSave="0" documentId="13_ncr:1_{67071C7F-2A64-4959-BDE6-5885F122A66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8" i="40"/>
  <c r="H7" i="40"/>
  <c r="H7" i="39"/>
  <c r="H7" i="38"/>
  <c r="L8" i="37"/>
  <c r="H7" i="37"/>
  <c r="H8" i="36"/>
  <c r="H7" i="36"/>
  <c r="H7" i="33"/>
  <c r="V2" i="14"/>
  <c r="L8" i="49" s="1"/>
  <c r="U2" i="14"/>
  <c r="R8" i="49" s="1"/>
  <c r="T2" i="14"/>
  <c r="L7" i="49" s="1"/>
  <c r="R2" i="14"/>
  <c r="O2" i="14"/>
  <c r="H8" i="43" s="1"/>
  <c r="L8" i="36" l="1"/>
  <c r="L8" i="40"/>
  <c r="L8" i="44"/>
  <c r="L7" i="43"/>
  <c r="H8" i="44"/>
  <c r="Q8" i="45"/>
  <c r="L7" i="30"/>
  <c r="H8" i="33"/>
  <c r="Q8" i="36"/>
  <c r="L7" i="38"/>
  <c r="H8" i="39"/>
  <c r="Q8" i="40"/>
  <c r="L7" i="42"/>
  <c r="Q8" i="44"/>
  <c r="L7" i="46"/>
  <c r="L8" i="33"/>
  <c r="L8" i="39"/>
  <c r="L8" i="43"/>
  <c r="Q8" i="37"/>
  <c r="Q2" i="14"/>
  <c r="H8" i="49"/>
  <c r="H8" i="30"/>
  <c r="Q8" i="33"/>
  <c r="L7" i="37"/>
  <c r="H8" i="38"/>
  <c r="Q8" i="39"/>
  <c r="L7" i="41"/>
  <c r="H8" i="42"/>
  <c r="Q8" i="43"/>
  <c r="L7" i="45"/>
  <c r="H8" i="46"/>
  <c r="L7" i="33"/>
  <c r="L7" i="39"/>
  <c r="Q8" i="41"/>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8" i="1" l="1"/>
  <c r="I33" i="48" s="1"/>
  <c r="L16" i="1"/>
  <c r="I41" i="48" s="1"/>
  <c r="L9" i="1"/>
  <c r="I34" i="48" s="1"/>
  <c r="L7" i="1"/>
  <c r="I32" i="48" s="1"/>
  <c r="L15" i="1"/>
  <c r="I40" i="48" s="1"/>
  <c r="L11" i="1"/>
  <c r="I36" i="48" s="1"/>
  <c r="L10" i="1"/>
  <c r="I35"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H40" i="11"/>
  <c r="G41" i="11"/>
  <c r="I41" i="11" s="1"/>
  <c r="Y41" i="11" s="1"/>
  <c r="H41" i="11"/>
  <c r="G42" i="11"/>
  <c r="I42" i="11" s="1"/>
  <c r="H42" i="11"/>
  <c r="G43" i="11"/>
  <c r="I43" i="11" s="1"/>
  <c r="Y43" i="11" s="1"/>
  <c r="H43" i="11"/>
  <c r="G44" i="11"/>
  <c r="I44" i="11" s="1"/>
  <c r="H44" i="11"/>
  <c r="G45" i="11"/>
  <c r="I45" i="11" s="1"/>
  <c r="Y45" i="11" s="1"/>
  <c r="H45" i="11"/>
  <c r="G46" i="11"/>
  <c r="I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8" i="11"/>
  <c r="Y40" i="11"/>
  <c r="Y46" i="1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Y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CB7" i="1"/>
  <c r="CA6" i="1" s="1"/>
  <c r="CA7" i="1"/>
  <c r="CD7" i="1"/>
  <c r="AS7" i="1"/>
  <c r="A71" i="32"/>
  <c r="A67" i="32"/>
  <c r="B53" i="24"/>
  <c r="D53" i="24" s="1"/>
  <c r="H4" i="21"/>
  <c r="H6" i="21"/>
  <c r="I6" i="21" s="1"/>
  <c r="H5" i="21"/>
  <c r="A9" i="17"/>
  <c r="C8" i="17"/>
  <c r="B8" i="17" s="1"/>
  <c r="V21" i="11"/>
  <c r="V52" i="11"/>
  <c r="X52" i="11" s="1"/>
  <c r="B46" i="25"/>
  <c r="G46" i="25" s="1"/>
  <c r="BW6" i="1"/>
  <c r="BY6" i="1"/>
  <c r="CC6" i="1"/>
  <c r="BZ6" i="1"/>
  <c r="BV6" i="1"/>
  <c r="CE6" i="1"/>
  <c r="H7" i="21"/>
  <c r="I5" i="21"/>
  <c r="B27" i="21"/>
  <c r="C26" i="21"/>
  <c r="B83" i="23"/>
  <c r="E82" i="23"/>
  <c r="C28" i="23"/>
  <c r="H20" i="18"/>
  <c r="F15" i="13"/>
  <c r="L14" i="13"/>
  <c r="M17" i="1"/>
  <c r="A50" i="6"/>
  <c r="A54" i="6"/>
  <c r="K24" i="1"/>
  <c r="I24" i="1"/>
  <c r="F9" i="11"/>
  <c r="A10" i="11"/>
  <c r="B9" i="11"/>
  <c r="E9" i="11" s="1"/>
  <c r="CD6" i="1" l="1"/>
  <c r="CB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4"/>
  <c r="O7" i="40"/>
  <c r="O7" i="46"/>
  <c r="O7" i="42"/>
  <c r="O7" i="38"/>
  <c r="O7" i="30"/>
  <c r="O7" i="39"/>
  <c r="O7" i="33"/>
  <c r="O7" i="43"/>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9" i="1"/>
  <c r="A212" i="17"/>
  <c r="C211" i="17"/>
  <c r="B211" i="17" s="1"/>
  <c r="F209" i="11"/>
  <c r="B209" i="11"/>
  <c r="E209" i="11" s="1"/>
  <c r="A210" i="11"/>
  <c r="L34" i="48" l="1"/>
  <c r="L34" i="18"/>
  <c r="L33" i="48"/>
  <c r="L33" i="18"/>
  <c r="C212" i="17"/>
  <c r="B212" i="17" s="1"/>
  <c r="A213" i="17"/>
  <c r="F210" i="11"/>
  <c r="B210" i="11"/>
  <c r="E210" i="11" s="1"/>
  <c r="A211" i="11"/>
  <c r="Y11" i="1" l="1"/>
  <c r="Y14" i="1"/>
  <c r="Y10" i="1"/>
  <c r="C213" i="17"/>
  <c r="B213" i="17" s="1"/>
  <c r="A214" i="17"/>
  <c r="F211" i="11"/>
  <c r="A212" i="11"/>
  <c r="B211" i="11"/>
  <c r="E211" i="11" s="1"/>
  <c r="L35" i="48" l="1"/>
  <c r="L35" i="18"/>
  <c r="L39" i="48"/>
  <c r="L39" i="18"/>
  <c r="Y12" i="1"/>
  <c r="Y16" i="1"/>
  <c r="L36" i="48"/>
  <c r="L36" i="18"/>
  <c r="C214" i="17"/>
  <c r="B214" i="17" s="1"/>
  <c r="A215" i="17"/>
  <c r="F212" i="11"/>
  <c r="A213" i="11"/>
  <c r="B212" i="11"/>
  <c r="E212" i="11" s="1"/>
  <c r="L41" i="48" l="1"/>
  <c r="L41" i="18"/>
  <c r="L37" i="48"/>
  <c r="L37" i="18"/>
  <c r="Y13" i="1"/>
  <c r="Y7" i="1"/>
  <c r="C215" i="17"/>
  <c r="B215" i="17" s="1"/>
  <c r="A216" i="17"/>
  <c r="F213" i="11"/>
  <c r="B213" i="11"/>
  <c r="E213" i="11" s="1"/>
  <c r="A214" i="11"/>
  <c r="L32" i="48" l="1"/>
  <c r="L32" i="18"/>
  <c r="L38" i="48"/>
  <c r="L38"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K12"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CB31" i="11" s="1"/>
  <c r="A473" i="17"/>
  <c r="F470" i="11"/>
  <c r="J28" i="48" l="1"/>
  <c r="J28" i="18"/>
  <c r="C473" i="17"/>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AY15" i="11" s="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<sst xmlns="http://schemas.openxmlformats.org/spreadsheetml/2006/main" count="7386" uniqueCount="2660">
  <si>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</si>
  <si>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</si>
  <si>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</si>
  <si>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</si>
  <si>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</si>
  <si>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</si>
  <si>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</si>
  <si>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</si>
  <si>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</si>
  <si>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</si>
  <si>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</si>
  <si>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</si>
  <si>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</si>
  <si>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</si>
  <si>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</si>
  <si>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</si>
  <si>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</si>
  <si>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</si>
  <si>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</si>
  <si>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</si>
  <si>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</si>
  <si>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</si>
  <si>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</si>
  <si>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</si>
  <si>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</si>
  <si>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</si>
  <si>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</si>
  <si>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</si>
  <si>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</si>
  <si>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</si>
  <si>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</si>
  <si>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</si>
  <si>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</si>
  <si>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</si>
  <si>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</si>
  <si>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</si>
  <si>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</si>
  <si>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</si>
  <si>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</si>
  <si>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</si>
  <si>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</si>
  <si>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</si>
  <si>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</si>
  <si>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</si>
  <si>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</si>
  <si>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</si>
  <si>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</si>
  <si>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</si>
  <si>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</si>
  <si>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</si>
  <si>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</si>
  <si>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</si>
  <si>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</si>
  <si>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</si>
  <si>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</si>
  <si>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</si>
  <si>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</si>
  <si>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</si>
  <si>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</si>
  <si>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</si>
  <si>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</si>
  <si>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</si>
  <si>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</si>
  <si>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</si>
  <si>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</si>
  <si>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</si>
  <si>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</si>
  <si>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</si>
  <si>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</si>
  <si>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</si>
  <si>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</si>
  <si>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</si>
  <si>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</si>
  <si>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</si>
  <si>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</si>
  <si>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</si>
  <si>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</si>
  <si>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</si>
  <si>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</si>
  <si>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</si>
  <si>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</si>
  <si>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</si>
  <si>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</si>
  <si>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</si>
  <si>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</si>
  <si>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</si>
  <si>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</si>
  <si>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</si>
  <si>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</si>
  <si>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</si>
  <si>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</si>
  <si>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</si>
  <si>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</si>
  <si>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</si>
  <si>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</si>
  <si>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</si>
  <si>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</si>
  <si>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</si>
  <si>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</si>
  <si>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</si>
  <si>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</si>
  <si>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</si>
  <si>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</si>
  <si>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</si>
  <si>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</si>
  <si>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</si>
  <si>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</si>
  <si>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</si>
  <si>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</si>
  <si>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</si>
  <si>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</si>
  <si>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</si>
  <si>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</si>
  <si>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</si>
  <si>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</si>
  <si>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</si>
  <si>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</si>
  <si>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</si>
  <si>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</si>
  <si>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</si>
  <si>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</si>
  <si>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</si>
  <si>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</si>
  <si>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</si>
  <si>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</si>
  <si>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</si>
  <si>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</si>
  <si>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</si>
  <si>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</si>
  <si>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</si>
  <si>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</si>
  <si>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</si>
  <si>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</si>
  <si>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</si>
  <si>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</si>
  <si>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</si>
  <si>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</si>
  <si>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</si>
  <si>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</si>
  <si>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</si>
  <si>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</si>
  <si>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</si>
  <si>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</si>
  <si>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</si>
  <si>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</si>
  <si>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</si>
  <si>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</si>
  <si>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</si>
  <si>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</si>
  <si>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</si>
  <si>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</si>
  <si>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</si>
  <si>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</si>
  <si>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</si>
  <si>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</si>
  <si>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</si>
  <si>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</si>
  <si>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</si>
  <si>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</si>
  <si>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</si>
  <si>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</si>
  <si>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</si>
  <si>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</si>
  <si>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</si>
  <si>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</si>
  <si>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</si>
  <si>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</si>
  <si>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</si>
  <si>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</si>
  <si>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</si>
  <si>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</si>
  <si>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</si>
  <si>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</si>
  <si>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</si>
  <si>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</si>
  <si>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</si>
  <si>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</si>
  <si>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</si>
  <si>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</si>
  <si>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</si>
  <si>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</si>
  <si>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</si>
  <si>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</si>
  <si>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</si>
  <si>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</si>
  <si>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</si>
  <si>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</si>
  <si>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</si>
  <si>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</si>
  <si>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</si>
  <si>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</si>
  <si>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</si>
  <si>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</si>
  <si>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</si>
  <si>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</si>
  <si>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</si>
  <si>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</si>
  <si>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</si>
  <si>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</si>
  <si>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</si>
  <si>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</si>
  <si>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</si>
  <si>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</si>
  <si>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</si>
  <si>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</si>
  <si>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</si>
  <si>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</si>
  <si>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</si>
  <si>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</si>
  <si>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</si>
  <si>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</si>
  <si>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</si>
  <si>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</si>
  <si>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</si>
  <si>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</si>
  <si>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</si>
  <si>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</si>
  <si>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</si>
  <si>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</si>
  <si>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</si>
  <si>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</si>
  <si>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</si>
  <si>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</si>
  <si>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</si>
  <si>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</si>
  <si>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</si>
  <si>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</si>
  <si>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</si>
  <si>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</si>
  <si>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</si>
  <si>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</si>
  <si>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</si>
  <si>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</si>
  <si>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</si>
  <si>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</si>
  <si>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</si>
  <si>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</si>
  <si>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</si>
  <si>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</si>
  <si>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</si>
  <si>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</si>
  <si>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</si>
  <si>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</si>
  <si>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</si>
  <si>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</si>
  <si>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</si>
  <si>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</si>
  <si>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</si>
  <si>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</si>
  <si>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</si>
  <si>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</si>
  <si>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</si>
  <si>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</si>
  <si>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</si>
  <si>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</si>
  <si>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</si>
  <si>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</si>
  <si>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</si>
  <si>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</si>
  <si>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</si>
  <si>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</si>
  <si>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</si>
  <si>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</si>
  <si>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</si>
  <si>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</si>
  <si>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</si>
  <si>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</si>
  <si>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</si>
  <si>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</si>
  <si>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</si>
  <si>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</si>
  <si>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</si>
  <si>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</si>
  <si>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</si>
  <si>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</si>
  <si>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</si>
  <si>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</si>
  <si>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</si>
  <si>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</si>
  <si>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</si>
  <si>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</si>
  <si>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</si>
  <si>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</si>
  <si>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</si>
  <si>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</si>
  <si>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</si>
  <si>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</si>
  <si>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</si>
  <si>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</si>
  <si>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</si>
  <si>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</si>
  <si>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</si>
  <si>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</si>
  <si>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</si>
  <si>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</si>
  <si>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</si>
  <si>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</si>
  <si>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</si>
  <si>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</si>
  <si>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</si>
  <si>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</si>
  <si>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</si>
  <si>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</si>
  <si>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</si>
  <si>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</si>
  <si>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</si>
  <si>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</si>
  <si>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</si>
  <si>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</si>
  <si>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</si>
  <si>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</si>
  <si>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</si>
  <si>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</si>
  <si>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</si>
  <si>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</si>
  <si>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</si>
  <si>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</si>
  <si>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</si>
  <si>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</si>
  <si>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</si>
  <si>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</si>
  <si>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</si>
  <si>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</si>
  <si>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</si>
  <si>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</si>
  <si>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</si>
  <si>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</si>
  <si>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</si>
  <si>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</si>
  <si>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</si>
  <si>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</si>
  <si>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</si>
  <si>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</si>
  <si>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</si>
  <si>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</si>
  <si>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</si>
  <si>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</si>
  <si>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</si>
  <si>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</si>
  <si>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</si>
  <si>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</si>
  <si>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</si>
  <si>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</si>
  <si>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</si>
  <si>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</si>
  <si>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</si>
  <si>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</si>
  <si>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</si>
  <si>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</si>
  <si>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</si>
  <si>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</si>
  <si>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</si>
  <si>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</si>
  <si>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</si>
  <si>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</si>
  <si>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</si>
  <si>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</si>
  <si>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</si>
  <si>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</si>
  <si>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</si>
  <si>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</si>
  <si>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</si>
  <si>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</si>
  <si>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</si>
  <si>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</si>
  <si>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</si>
  <si>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</si>
  <si>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</si>
  <si>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</si>
  <si>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</si>
  <si>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</si>
  <si>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</si>
  <si>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</si>
  <si>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</si>
  <si>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</si>
  <si>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</si>
  <si>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</si>
  <si>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</si>
  <si>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</si>
  <si>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</si>
  <si>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</si>
  <si>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</si>
  <si>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</si>
  <si>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</si>
  <si>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</si>
  <si>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</si>
  <si>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</si>
  <si>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</si>
  <si>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</si>
  <si>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</si>
  <si>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</si>
  <si>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</si>
  <si>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</si>
  <si>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</si>
  <si>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</si>
  <si>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</si>
  <si>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</si>
  <si>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</si>
  <si>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</si>
  <si>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</si>
  <si>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</si>
  <si>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</si>
  <si>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</si>
  <si>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</si>
  <si>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</si>
  <si>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</si>
  <si>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</si>
  <si>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</si>
  <si>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</si>
  <si>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</si>
  <si>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</si>
  <si>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</si>
  <si>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</si>
  <si>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</si>
  <si>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</si>
  <si>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</si>
  <si>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</si>
  <si>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</si>
  <si>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</si>
  <si>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</si>
  <si>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</si>
  <si>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</si>
  <si>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</si>
  <si>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</si>
  <si>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</si>
  <si>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</si>
  <si>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</si>
  <si>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</si>
  <si>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</si>
  <si>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</si>
  <si>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</si>
  <si>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</si>
  <si>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</si>
  <si>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</si>
  <si>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</si>
  <si>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</si>
  <si>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</si>
  <si>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</si>
  <si>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</si>
  <si>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</si>
  <si>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</si>
  <si>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</si>
  <si>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</si>
  <si>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</si>
  <si>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</si>
  <si>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</si>
  <si>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</si>
  <si>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</si>
  <si>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</si>
  <si>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</si>
  <si>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</si>
  <si>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</si>
  <si>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</si>
  <si>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</si>
  <si>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</si>
  <si>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</si>
  <si>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</si>
  <si>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</si>
  <si>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</si>
  <si>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</si>
  <si>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</si>
  <si>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</si>
  <si>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</si>
  <si>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</si>
  <si>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</si>
  <si>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</si>
  <si>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</si>
  <si>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</si>
  <si>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</si>
  <si>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</si>
  <si>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</si>
  <si>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</si>
  <si>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</si>
  <si>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</si>
  <si>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</si>
  <si>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</si>
  <si>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</si>
  <si>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</si>
  <si>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</si>
  <si>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</si>
  <si>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</si>
  <si>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</si>
  <si>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</si>
  <si>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</si>
  <si>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</si>
  <si>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</si>
  <si>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</si>
  <si>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</si>
  <si>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</si>
  <si>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</si>
  <si>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</si>
  <si>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</si>
  <si>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</si>
  <si>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</si>
  <si>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</si>
  <si>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</si>
  <si>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</si>
  <si>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</si>
  <si>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</si>
  <si>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</si>
  <si>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</si>
  <si>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</si>
  <si>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</si>
  <si>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</si>
  <si>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</si>
  <si>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</si>
  <si>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</si>
  <si>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</si>
  <si>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</si>
  <si>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</si>
  <si>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</si>
  <si>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</si>
  <si>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</si>
  <si>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</si>
  <si>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</si>
  <si>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</si>
  <si>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</si>
  <si>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</si>
  <si>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</si>
  <si>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</si>
  <si>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</si>
  <si>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</si>
  <si>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</si>
  <si>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</si>
  <si>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</si>
  <si>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</si>
  <si>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</si>
  <si>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</si>
  <si>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</si>
  <si>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</si>
  <si>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</si>
  <si>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</si>
  <si>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</si>
  <si>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</si>
  <si>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</si>
  <si>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</si>
  <si>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</si>
  <si>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</si>
  <si>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</si>
  <si>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</si>
  <si>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</si>
  <si>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</si>
  <si>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</si>
  <si>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</si>
  <si>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</si>
  <si>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</si>
  <si>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</si>
  <si>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</si>
  <si>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</si>
  <si>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</si>
  <si>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</si>
  <si>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</si>
  <si>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</si>
  <si>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</si>
  <si>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</si>
  <si>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</si>
  <si>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</si>
  <si>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</si>
  <si>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</si>
  <si>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</si>
  <si>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</si>
  <si>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</si>
  <si>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</si>
  <si>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</si>
  <si>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</si>
  <si>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</si>
  <si>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</si>
  <si>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</si>
  <si>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</si>
  <si>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</si>
  <si>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</si>
  <si>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</si>
  <si>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</si>
  <si>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</si>
  <si>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</si>
  <si>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</si>
  <si>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</si>
  <si>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</si>
  <si>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</si>
  <si>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</si>
  <si>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</si>
  <si>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</si>
  <si>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</si>
  <si>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</si>
  <si>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</si>
  <si>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</si>
  <si>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</si>
  <si>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</si>
  <si>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</si>
  <si>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</si>
  <si>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</si>
  <si>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</si>
  <si>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</si>
  <si>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</si>
  <si>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</si>
  <si>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</si>
  <si>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</si>
  <si>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</si>
  <si>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</si>
  <si>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</si>
  <si>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</si>
  <si>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</si>
  <si>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</si>
  <si>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</si>
  <si>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</si>
  <si>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</si>
  <si>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</si>
  <si>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</si>
  <si>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</si>
  <si>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</si>
  <si>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</si>
  <si>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</si>
  <si>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</si>
  <si>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</si>
  <si>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</si>
  <si>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</si>
  <si>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</si>
  <si>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</si>
  <si>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</si>
  <si>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</si>
  <si>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</si>
  <si>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</si>
  <si>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</si>
  <si>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</si>
  <si>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</si>
  <si>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</si>
  <si>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</si>
  <si>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</si>
  <si>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</si>
  <si>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</si>
  <si>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</si>
  <si>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</si>
  <si>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</si>
  <si>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</si>
  <si>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</si>
  <si>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</si>
  <si>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</si>
  <si>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</si>
  <si>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</si>
  <si>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</si>
  <si>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</si>
  <si>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</si>
  <si>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</si>
  <si>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</si>
  <si>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</si>
  <si>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</si>
  <si>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</si>
  <si>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</si>
  <si>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</si>
  <si>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</si>
  <si>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</si>
  <si>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</si>
  <si>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</si>
  <si>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</si>
  <si>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</si>
  <si>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</si>
  <si>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</si>
  <si>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</si>
  <si>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</si>
  <si>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</si>
  <si>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</si>
  <si>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</si>
  <si>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</si>
  <si>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</si>
  <si>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</si>
  <si>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</si>
  <si>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</si>
  <si>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</si>
  <si>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</si>
  <si>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</si>
  <si>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</si>
  <si>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</si>
  <si>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</si>
  <si>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</si>
  <si>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</si>
  <si>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</si>
  <si>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</si>
  <si>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</si>
  <si>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</si>
  <si>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</si>
  <si>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</si>
  <si>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</si>
  <si>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</si>
  <si>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</si>
  <si>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</si>
  <si>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</si>
  <si>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</si>
  <si>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</si>
  <si>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</si>
  <si>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</si>
  <si>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</si>
  <si>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</si>
  <si>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</si>
  <si>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</si>
  <si>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</si>
  <si>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</si>
  <si>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</si>
  <si>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</si>
  <si>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</si>
  <si>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</si>
  <si>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</si>
  <si>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</si>
  <si>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</si>
  <si>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</si>
  <si>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</si>
  <si>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</si>
  <si>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</si>
  <si>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</si>
  <si>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</si>
  <si>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</si>
  <si>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</si>
  <si>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</si>
  <si>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</si>
  <si>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</si>
  <si>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</si>
  <si>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</si>
  <si>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</si>
  <si>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</si>
  <si>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</si>
  <si>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</si>
  <si>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</si>
  <si>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</si>
  <si>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</si>
  <si>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</si>
  <si>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</si>
  <si>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</si>
  <si>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</si>
  <si>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</si>
  <si>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</si>
  <si>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</si>
  <si>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</si>
  <si>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</si>
  <si>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</si>
  <si>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</si>
  <si>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</si>
  <si>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</si>
  <si>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</si>
  <si>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</si>
  <si>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</si>
  <si>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</si>
  <si>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</si>
  <si>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</si>
  <si>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</si>
  <si>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</si>
  <si>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</si>
  <si>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</si>
  <si>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</si>
  <si>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</si>
  <si>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</si>
  <si>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</si>
  <si>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</si>
  <si>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</si>
  <si>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</si>
  <si>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</si>
  <si>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</si>
  <si>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</si>
  <si>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</si>
  <si>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</si>
  <si>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</si>
  <si>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</si>
  <si>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</si>
  <si>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</si>
  <si>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</si>
  <si>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</si>
  <si>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</si>
  <si>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</si>
  <si>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</si>
  <si>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</si>
  <si>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</si>
  <si>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</si>
  <si>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</si>
  <si>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</si>
  <si>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</si>
  <si>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</si>
  <si>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</si>
  <si>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</si>
  <si>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</si>
  <si>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</si>
  <si>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</si>
  <si>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</si>
  <si>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</si>
  <si>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</si>
  <si>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</si>
  <si>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</si>
  <si>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</si>
  <si>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</si>
  <si>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</si>
  <si>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</si>
  <si>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</si>
  <si>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</si>
  <si>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</si>
  <si>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</si>
  <si>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</si>
  <si>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</si>
  <si>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</si>
  <si>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</si>
  <si>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</si>
  <si>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</si>
  <si>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</si>
  <si>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</si>
  <si>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</si>
  <si>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</si>
  <si>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</si>
  <si>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</si>
  <si>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</si>
  <si>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</si>
  <si>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</si>
  <si>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</si>
  <si>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</si>
  <si>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</si>
  <si>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</si>
  <si>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</si>
  <si>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</si>
  <si>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</si>
  <si>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</si>
  <si>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</si>
  <si>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</si>
  <si>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</si>
  <si>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</si>
  <si>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</si>
  <si>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</si>
  <si>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</si>
  <si>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</si>
  <si>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</si>
  <si>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</si>
  <si>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</si>
  <si>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</si>
  <si>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</si>
  <si>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</si>
  <si>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</si>
  <si>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</si>
  <si>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</si>
  <si>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</si>
  <si>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</si>
  <si>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</si>
  <si>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</si>
  <si>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</si>
  <si>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</si>
  <si>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</si>
  <si>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</si>
  <si>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</si>
  <si>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</si>
  <si>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</si>
  <si>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</si>
  <si>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</si>
  <si>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</si>
  <si>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</si>
  <si>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</si>
  <si>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</si>
  <si>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</si>
  <si>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</si>
  <si>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</si>
  <si>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</si>
  <si>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</si>
  <si>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</si>
  <si>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</si>
  <si>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</si>
  <si>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</si>
  <si>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</si>
  <si>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</si>
  <si>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</si>
  <si>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</si>
  <si>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</si>
  <si>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</si>
  <si>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</si>
  <si>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</si>
  <si>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</si>
  <si>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</si>
  <si>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</si>
  <si>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</si>
  <si>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</si>
  <si>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</si>
  <si>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</si>
  <si>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</si>
  <si>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</si>
  <si>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</si>
  <si>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</si>
  <si>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</si>
  <si>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</si>
  <si>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</si>
  <si>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</si>
  <si>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</si>
  <si>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</si>
  <si>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</si>
  <si>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</si>
  <si>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</si>
  <si>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</si>
  <si>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</si>
  <si>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</si>
  <si>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</si>
  <si>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</si>
  <si>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</si>
  <si>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</si>
  <si>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</si>
  <si>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</si>
  <si>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</si>
  <si>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</si>
  <si>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</si>
  <si>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</si>
  <si>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</si>
  <si>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</si>
  <si>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</si>
  <si>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</si>
  <si>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</si>
  <si>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</si>
  <si>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</si>
  <si>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</si>
  <si>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</si>
  <si>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</si>
  <si>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</si>
  <si>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</si>
  <si>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</si>
  <si>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</si>
  <si>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</si>
  <si>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</si>
  <si>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</si>
  <si>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</si>
  <si>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</si>
  <si>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</si>
  <si>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</si>
  <si>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</si>
  <si>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</si>
  <si>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</si>
  <si>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</si>
  <si>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</si>
  <si>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</si>
  <si>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</si>
  <si>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</si>
  <si>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</si>
  <si>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</si>
  <si>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</si>
  <si>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</si>
  <si>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</si>
  <si>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</si>
  <si>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</si>
  <si>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</si>
  <si>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</si>
  <si>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</si>
  <si>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</si>
  <si>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</si>
  <si>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</si>
  <si>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</si>
  <si>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</si>
  <si>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</si>
  <si>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</si>
  <si>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</si>
  <si>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</si>
  <si>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</si>
  <si>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</si>
  <si>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</si>
  <si>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</si>
  <si>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</si>
  <si>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</si>
  <si>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</si>
  <si>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</si>
  <si>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</si>
  <si>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</si>
  <si>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</si>
  <si>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</si>
  <si>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</si>
  <si>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</si>
  <si>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</si>
  <si>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</si>
  <si>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</si>
  <si>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</si>
  <si>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</si>
  <si>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</si>
  <si>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</si>
  <si>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</si>
  <si>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</si>
  <si>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</si>
  <si>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</si>
  <si>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</si>
  <si>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</si>
  <si>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</si>
  <si>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</si>
  <si>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</si>
  <si>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</si>
  <si>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</si>
  <si>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</si>
  <si>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</si>
  <si>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</si>
  <si>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</si>
  <si>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</si>
  <si>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</si>
  <si>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</si>
  <si>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</si>
  <si>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</si>
  <si>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</si>
  <si>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</si>
  <si>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</si>
  <si>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</si>
  <si>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</si>
  <si>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</si>
  <si>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</si>
  <si>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</si>
  <si>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</si>
  <si>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</si>
  <si>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</si>
  <si>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</si>
  <si>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</si>
  <si>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</si>
  <si>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</si>
  <si>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</si>
  <si>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</si>
  <si>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</si>
  <si>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</si>
  <si>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</si>
  <si>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</si>
  <si>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</si>
  <si>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</si>
  <si>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</si>
  <si>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</si>
  <si>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</si>
  <si>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</si>
  <si>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</si>
  <si>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</si>
  <si>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</si>
  <si>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</si>
  <si>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</si>
  <si>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</si>
  <si>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</si>
  <si>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</si>
  <si>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</si>
  <si>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</si>
  <si>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</si>
  <si>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</si>
  <si>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</si>
  <si>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</si>
  <si>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</si>
  <si>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</si>
  <si>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</si>
  <si>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</si>
  <si>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</si>
  <si>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</si>
  <si>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</si>
  <si>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</si>
  <si>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</si>
  <si>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</si>
  <si>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</si>
  <si>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</si>
  <si>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</si>
  <si>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</si>
  <si>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</si>
  <si>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</si>
  <si>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</si>
  <si>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</si>
  <si>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</si>
  <si>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</si>
  <si>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</si>
  <si>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</si>
  <si>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</si>
  <si>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</si>
  <si>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</si>
  <si>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</si>
  <si>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</si>
  <si>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</si>
  <si>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</si>
  <si>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</si>
  <si>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</si>
  <si>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</si>
  <si>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</si>
  <si>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</si>
  <si>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</si>
  <si>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</si>
  <si>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</si>
  <si>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</si>
  <si>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</si>
  <si>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</si>
  <si>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</si>
  <si>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</si>
  <si>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</si>
  <si>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</si>
  <si>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</si>
  <si>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</si>
  <si>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</si>
  <si>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</si>
  <si>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</si>
  <si>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</si>
  <si>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</si>
  <si>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</si>
  <si>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</si>
  <si>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</si>
  <si>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</si>
  <si>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</si>
  <si>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</si>
  <si>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</si>
  <si>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</si>
  <si>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</si>
  <si>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</si>
  <si>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</si>
  <si>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</si>
  <si>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</si>
  <si>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</si>
  <si>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</si>
  <si>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</si>
  <si>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</si>
  <si>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</si>
  <si>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</si>
  <si>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</si>
  <si>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</si>
  <si>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</si>
  <si>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</si>
  <si>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</si>
  <si>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</si>
  <si>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</si>
  <si>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</si>
  <si>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</si>
  <si>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</si>
  <si>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</si>
  <si>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</si>
  <si>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</si>
  <si>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</si>
  <si>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</si>
  <si>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</si>
  <si>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</si>
  <si>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</si>
  <si>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</si>
  <si>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</si>
  <si>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</si>
  <si>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</si>
  <si>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</si>
  <si>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</si>
  <si>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</si>
  <si>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</si>
  <si>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</si>
  <si>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</si>
  <si>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</si>
  <si>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</si>
  <si>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</si>
  <si>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</si>
  <si>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</si>
  <si>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</si>
  <si>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</si>
  <si>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</si>
  <si>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</si>
  <si>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</si>
  <si>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</si>
  <si>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</si>
  <si>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</si>
  <si>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</si>
  <si>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</si>
  <si>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</si>
  <si>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</si>
  <si>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</si>
  <si>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</si>
  <si>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</si>
  <si>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</si>
  <si>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</si>
  <si>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</si>
  <si>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</si>
  <si>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</si>
  <si>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</si>
  <si>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</si>
  <si>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</si>
  <si>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</si>
  <si>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</si>
  <si>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</si>
  <si>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</si>
  <si>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</si>
  <si>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</si>
  <si>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</si>
  <si>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</si>
  <si>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</si>
  <si>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</si>
  <si>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</si>
  <si>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</si>
  <si>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</si>
  <si>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</si>
  <si>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</si>
  <si>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</si>
  <si>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</si>
  <si>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</si>
  <si>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</si>
  <si>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</si>
  <si>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</si>
  <si>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</si>
  <si>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</si>
  <si>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</si>
  <si>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</si>
  <si>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</si>
  <si>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</si>
  <si>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</si>
  <si>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</si>
  <si>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</si>
  <si>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</si>
  <si>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</si>
  <si>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</si>
  <si>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</si>
  <si>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</si>
  <si>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</si>
  <si>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</si>
  <si>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</si>
  <si>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</si>
  <si>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</si>
  <si>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</si>
  <si>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</si>
  <si>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</si>
  <si>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</si>
  <si>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</si>
  <si>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</si>
  <si>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</si>
  <si>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</si>
  <si>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</si>
  <si>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</si>
  <si>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</si>
  <si>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</si>
  <si>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</si>
  <si>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</si>
  <si>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</si>
  <si>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</si>
  <si>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</si>
  <si>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</si>
  <si>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</si>
  <si>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</si>
  <si>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</si>
  <si>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</si>
  <si>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</si>
  <si>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</si>
  <si>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</si>
  <si>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</si>
  <si>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</si>
  <si>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</si>
  <si>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</si>
  <si>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</si>
  <si>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</si>
  <si>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</si>
  <si>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</si>
  <si>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</si>
  <si>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</si>
  <si>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</si>
  <si>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</si>
  <si>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</si>
  <si>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</si>
  <si>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</si>
  <si>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</si>
  <si>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</si>
  <si>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</si>
  <si>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</si>
  <si>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</si>
  <si>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</si>
  <si>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</si>
  <si>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</si>
  <si>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</si>
  <si>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</si>
  <si>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</si>
  <si>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</si>
  <si>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</si>
  <si>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</si>
  <si>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</si>
  <si>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</si>
  <si>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</si>
  <si>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</si>
  <si>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</si>
  <si>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</si>
  <si>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</si>
  <si>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</si>
  <si>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</si>
  <si>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</si>
  <si>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</si>
  <si>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</si>
  <si>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</si>
  <si>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</si>
  <si>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</si>
  <si>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</si>
  <si>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</si>
  <si>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</si>
  <si>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</si>
  <si>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</si>
  <si>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</si>
  <si>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</si>
  <si>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</si>
  <si>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</si>
  <si>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</si>
  <si>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</si>
  <si>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</si>
  <si>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</si>
  <si>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</si>
  <si>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</si>
  <si>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</si>
  <si>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</si>
  <si>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</si>
  <si>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</si>
  <si>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</si>
  <si>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</si>
  <si>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</si>
  <si>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</si>
  <si>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</si>
  <si>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</si>
  <si>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</si>
  <si>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</si>
  <si>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</si>
  <si>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</si>
  <si>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</si>
  <si>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</si>
  <si>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</si>
  <si>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</si>
  <si>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</si>
  <si>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</si>
  <si>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</si>
  <si>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</si>
  <si>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</si>
  <si>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</si>
  <si>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</si>
  <si>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</si>
  <si>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</si>
  <si>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</si>
  <si>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</si>
  <si>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</si>
  <si>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</si>
  <si>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</si>
  <si>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</si>
  <si>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</si>
  <si>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</si>
  <si>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</si>
  <si>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</si>
  <si>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</si>
  <si>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</si>
  <si>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</si>
  <si>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</si>
  <si>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</si>
  <si>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</si>
  <si>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</si>
  <si>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</si>
  <si>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</si>
  <si>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</si>
  <si>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</si>
  <si>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</si>
  <si>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</si>
  <si>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</si>
  <si>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</si>
  <si>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</si>
  <si>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</si>
  <si>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</si>
  <si>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</si>
  <si>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</si>
  <si>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</si>
  <si>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</si>
  <si>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</si>
  <si>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</si>
  <si>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</si>
  <si>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</si>
  <si>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</si>
  <si>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</si>
  <si>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</si>
  <si>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</si>
  <si>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</si>
  <si>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</si>
  <si>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</si>
  <si>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</si>
  <si>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</si>
  <si>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</si>
  <si>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</si>
  <si>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</si>
  <si>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</si>
  <si>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</si>
  <si>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</si>
  <si>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</si>
  <si>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</si>
  <si>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</si>
  <si>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</si>
  <si>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</si>
  <si>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</si>
  <si>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</si>
  <si>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</si>
  <si>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</si>
  <si>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</si>
  <si>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</si>
  <si>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</si>
  <si>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</si>
  <si>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</si>
  <si>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</si>
  <si>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</si>
  <si>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</si>
  <si>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</si>
  <si>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</si>
  <si>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</si>
  <si>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</si>
  <si>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</si>
  <si>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</si>
  <si>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</si>
  <si>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</si>
  <si>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</si>
  <si>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</si>
  <si>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</si>
  <si>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</si>
  <si>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</si>
  <si>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</si>
  <si>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</si>
  <si>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</si>
  <si>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</si>
  <si>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</si>
  <si>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</si>
  <si>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</si>
  <si>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</si>
  <si>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</si>
  <si>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</si>
  <si>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</si>
  <si>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</si>
  <si>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</si>
  <si>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</si>
  <si>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</si>
  <si>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</si>
  <si>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</si>
  <si>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</si>
  <si>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</si>
  <si>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</si>
  <si>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</si>
  <si>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</si>
  <si>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</si>
  <si>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</si>
  <si>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</si>
  <si>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</si>
  <si>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</si>
  <si>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</si>
  <si>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</si>
  <si>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</si>
  <si>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</si>
  <si>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</si>
  <si>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</si>
  <si>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</si>
  <si>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</si>
  <si>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</si>
  <si>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</si>
  <si>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</si>
  <si>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</si>
  <si>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</si>
  <si>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</si>
  <si>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</si>
  <si>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</si>
  <si>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</si>
  <si>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</si>
  <si>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</si>
  <si>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</si>
  <si>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</si>
  <si>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</si>
  <si>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</si>
  <si>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</si>
  <si>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</si>
  <si>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</si>
  <si>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</si>
  <si>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</si>
  <si>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</si>
  <si>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</si>
  <si>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</si>
  <si>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</si>
  <si>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</si>
  <si>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</si>
  <si>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</si>
  <si>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</si>
  <si>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</si>
  <si>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</si>
  <si>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</si>
  <si>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</si>
  <si>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</si>
  <si>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</si>
  <si>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</si>
  <si>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</si>
  <si>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</si>
  <si>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</si>
  <si>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</si>
  <si>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</si>
  <si>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</si>
  <si>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</si>
  <si>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</si>
  <si>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</si>
  <si>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</si>
  <si>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</si>
  <si>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</si>
  <si>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</si>
  <si>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</si>
  <si>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</si>
  <si>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</si>
  <si>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</si>
  <si>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</si>
  <si>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</si>
  <si>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</si>
  <si>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</si>
  <si>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</si>
  <si>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</si>
  <si>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</si>
  <si>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</si>
  <si>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</si>
  <si>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</si>
  <si>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</si>
  <si>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</si>
  <si>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</si>
  <si>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</si>
  <si>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</si>
  <si>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</si>
  <si>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</si>
  <si>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</si>
  <si>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</si>
  <si>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</si>
  <si>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</si>
  <si>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</si>
  <si>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</si>
  <si>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</si>
  <si>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</si>
  <si>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</si>
  <si>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</si>
  <si>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</si>
  <si>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</si>
  <si>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</si>
  <si>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</si>
  <si>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</si>
  <si>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</si>
  <si>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</si>
  <si>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</si>
  <si>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</si>
  <si>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</si>
  <si>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</si>
  <si>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</si>
  <si>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</si>
  <si>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</si>
  <si>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</si>
  <si>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</si>
  <si>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</si>
  <si>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</si>
  <si>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</si>
  <si>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</si>
  <si>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</si>
  <si>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</si>
  <si>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</si>
  <si>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</si>
  <si>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</si>
  <si>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</si>
  <si>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</si>
  <si>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</si>
  <si>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</si>
  <si>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</si>
  <si>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</si>
  <si>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</si>
  <si>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</si>
  <si>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</si>
  <si>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</si>
  <si>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</si>
  <si>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</si>
  <si>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</si>
  <si>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</si>
  <si>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</si>
  <si>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</si>
  <si>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</si>
  <si>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</si>
  <si>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</si>
  <si>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</si>
  <si>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</si>
  <si>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</si>
  <si>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</si>
  <si>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</si>
  <si>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</si>
  <si>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</si>
  <si>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</si>
  <si>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</si>
  <si>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</si>
  <si>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</si>
  <si>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</si>
  <si>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</si>
  <si>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</si>
  <si>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</si>
  <si>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</si>
  <si>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</si>
  <si>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</si>
  <si>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</si>
  <si>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</si>
  <si>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</si>
  <si>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</si>
  <si>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</si>
  <si>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</si>
  <si>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</si>
  <si>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</si>
  <si>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</si>
  <si>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</si>
  <si>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</si>
  <si>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</si>
  <si>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</si>
  <si>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</si>
  <si>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</si>
  <si>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</si>
  <si>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</si>
  <si>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</si>
  <si>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</si>
  <si>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</si>
  <si>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</si>
  <si>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</si>
  <si>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</si>
  <si>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</si>
  <si>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</si>
  <si>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</si>
  <si>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</si>
  <si>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</si>
  <si>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</si>
  <si>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</si>
  <si>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</si>
  <si>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</si>
  <si>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</si>
  <si>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</si>
  <si>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</si>
  <si>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</si>
  <si>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</si>
  <si>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</si>
  <si>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</si>
  <si>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</si>
  <si>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</si>
  <si>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</si>
  <si>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</si>
  <si>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</si>
  <si>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</si>
  <si>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</si>
  <si>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</si>
  <si>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</si>
  <si>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</si>
  <si>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</si>
  <si>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</si>
  <si>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</si>
  <si>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</si>
  <si>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</si>
  <si>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</si>
  <si>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</si>
  <si>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</si>
  <si>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</si>
  <si>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</si>
  <si>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</si>
  <si>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</si>
  <si>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</si>
  <si>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</si>
  <si>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</si>
  <si>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</si>
  <si>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</si>
  <si>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</si>
  <si>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</si>
  <si>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</si>
  <si>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</si>
  <si>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</si>
  <si>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</si>
  <si>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</si>
  <si>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</si>
  <si>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</si>
  <si>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</si>
  <si>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</si>
  <si>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</si>
  <si>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</si>
  <si>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</si>
  <si>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</si>
  <si>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</si>
  <si>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</si>
  <si>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</si>
  <si>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</si>
  <si>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</si>
  <si>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</si>
  <si>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</si>
  <si>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</si>
  <si>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</si>
  <si>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</si>
  <si>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</si>
  <si>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</si>
  <si>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</si>
  <si>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</si>
  <si>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</si>
  <si>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</si>
  <si>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</si>
  <si>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</si>
  <si>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</si>
  <si>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</si>
  <si>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</si>
  <si>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</si>
  <si>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</si>
  <si>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</si>
  <si>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</si>
  <si>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</si>
  <si>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</si>
  <si>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</si>
  <si>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</si>
  <si>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</si>
  <si>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</si>
  <si>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</si>
  <si>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</si>
  <si>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</si>
  <si>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</si>
  <si>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</si>
  <si>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</si>
  <si>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</si>
  <si>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</si>
  <si>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</si>
  <si>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</si>
  <si>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</si>
  <si>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</si>
  <si>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</si>
  <si>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</si>
  <si>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</si>
  <si>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</si>
  <si>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</si>
  <si>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</si>
  <si>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</si>
  <si>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</si>
  <si>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</si>
  <si>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</si>
  <si>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</si>
  <si>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</si>
  <si>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</si>
  <si>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</si>
  <si>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</si>
  <si>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</si>
  <si>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</si>
  <si>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</si>
  <si>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</si>
  <si>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</si>
  <si>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</si>
  <si>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</si>
  <si>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</si>
  <si>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</si>
  <si>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</si>
  <si>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</si>
  <si>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</si>
  <si>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</si>
  <si>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</si>
  <si>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</si>
  <si>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</si>
  <si>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</si>
  <si>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</si>
  <si>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</si>
  <si>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</si>
  <si>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</si>
  <si>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</si>
  <si>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</si>
  <si>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</si>
  <si>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</si>
  <si>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</si>
  <si>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</si>
  <si>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</si>
  <si>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</si>
  <si>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</si>
  <si>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</si>
  <si>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</si>
  <si>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</si>
  <si>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</si>
  <si>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</si>
  <si>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</si>
  <si>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</si>
  <si>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</si>
  <si>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</si>
  <si>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</si>
  <si>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</si>
  <si>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</si>
  <si>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</si>
  <si>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</si>
  <si>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</si>
  <si>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</si>
  <si>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</si>
  <si>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</si>
  <si>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</si>
  <si>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</si>
  <si>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</si>
  <si>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</si>
  <si>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</si>
  <si>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</si>
  <si>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</si>
  <si>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</si>
  <si>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</si>
  <si>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</si>
  <si>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</si>
  <si>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</si>
  <si>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</si>
  <si>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</si>
  <si>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</si>
  <si>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</si>
  <si>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</si>
  <si>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</si>
  <si>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</si>
  <si>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</si>
  <si>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</si>
  <si>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</si>
  <si>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</si>
  <si>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</si>
  <si>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</si>
  <si>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</si>
  <si>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</si>
  <si>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</si>
  <si>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</si>
  <si>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</si>
  <si>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</si>
  <si>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</si>
  <si>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</si>
  <si>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</si>
  <si>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</si>
  <si>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</si>
  <si>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</si>
  <si>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</si>
  <si>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</si>
  <si>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</si>
  <si>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</si>
  <si>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</si>
  <si>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</si>
  <si>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</si>
  <si>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</si>
  <si>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</si>
  <si>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</si>
  <si>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</si>
  <si>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</si>
  <si>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</si>
  <si>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</si>
  <si>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</si>
  <si>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</si>
  <si>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</si>
  <si>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</si>
  <si>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</si>
  <si>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</si>
  <si>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</si>
  <si>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</si>
  <si>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</si>
  <si>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</si>
  <si>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</si>
  <si>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</si>
  <si>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</si>
  <si>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</si>
  <si>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</si>
  <si>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</si>
  <si>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</si>
  <si>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</si>
  <si>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</si>
  <si>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</si>
  <si>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</si>
  <si>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</si>
  <si>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</si>
  <si>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</si>
  <si>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</si>
  <si>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</si>
  <si>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</si>
  <si>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</si>
  <si>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</si>
  <si>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</si>
  <si>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</si>
  <si>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</si>
  <si>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</si>
  <si>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</si>
  <si>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</si>
  <si>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</si>
  <si>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</si>
  <si>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</si>
  <si>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</si>
  <si>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</si>
  <si>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</si>
  <si>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</si>
  <si>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</si>
  <si>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</si>
  <si>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</si>
  <si>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</si>
  <si>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</si>
  <si>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</si>
  <si>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</si>
  <si>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</si>
  <si>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</si>
  <si>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</si>
  <si>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</si>
  <si>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</si>
  <si>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</si>
  <si>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</si>
  <si>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</si>
  <si>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</si>
  <si>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</si>
  <si>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</si>
  <si>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</si>
  <si>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</si>
  <si>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</si>
  <si>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</si>
  <si>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</si>
  <si>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</si>
  <si>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</si>
  <si>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</si>
  <si>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</si>
  <si>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</si>
  <si>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</si>
  <si>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</si>
  <si>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</si>
  <si>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</si>
  <si>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</si>
  <si>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</si>
  <si>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</si>
  <si>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</si>
  <si>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</si>
  <si>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</si>
  <si>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</si>
  <si>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</si>
  <si>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</si>
  <si>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</si>
  <si>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</si>
  <si>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</si>
  <si>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</si>
  <si>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</si>
  <si>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</si>
  <si>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</si>
  <si>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</si>
  <si>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</si>
  <si>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</si>
  <si>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</si>
  <si>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</si>
  <si>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</si>
  <si>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</si>
  <si>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</si>
  <si>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</si>
  <si>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</si>
  <si>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</si>
  <si>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</si>
  <si>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</si>
  <si>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</si>
  <si>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</si>
  <si>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</si>
  <si>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</si>
  <si>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</si>
  <si>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</si>
  <si>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</si>
  <si>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</si>
  <si>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</si>
  <si>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</si>
  <si>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</si>
  <si>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</si>
  <si>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</si>
  <si>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</si>
  <si>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</si>
  <si>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</si>
  <si>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</si>
  <si>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</si>
  <si>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</si>
  <si>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</si>
  <si>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</si>
  <si>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</si>
  <si>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</si>
  <si>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</si>
  <si>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</si>
  <si>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</si>
  <si>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</si>
  <si>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</si>
  <si>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</si>
  <si>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</si>
  <si>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</si>
  <si>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</si>
  <si>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</si>
  <si>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</si>
  <si>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</si>
  <si>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</si>
  <si>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</si>
  <si>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</si>
  <si>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</si>
  <si>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</si>
  <si>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</si>
  <si>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</si>
  <si>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</si>
  <si>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</si>
  <si>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</si>
  <si>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</si>
  <si>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</si>
  <si>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</si>
  <si>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</si>
  <si>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</si>
  <si>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</si>
  <si>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</si>
  <si>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</si>
  <si>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</si>
  <si>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</si>
  <si>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</si>
  <si>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</si>
  <si>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</si>
  <si>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</si>
  <si>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</si>
  <si>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</si>
  <si>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</si>
  <si>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</si>
  <si>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</si>
  <si>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</si>
  <si>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</si>
  <si>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</si>
  <si>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</si>
  <si>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</si>
  <si>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</si>
  <si>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</si>
  <si>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</si>
  <si>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</si>
  <si>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</si>
  <si>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</si>
  <si>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</si>
  <si>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</si>
  <si>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</si>
  <si>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</si>
  <si>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</si>
  <si>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</si>
  <si>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</si>
  <si>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</si>
  <si>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</si>
  <si>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</si>
  <si>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</si>
  <si>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</si>
  <si>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</si>
  <si>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</si>
  <si>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</si>
  <si>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</si>
  <si>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</si>
  <si>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</si>
  <si>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</si>
  <si>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</si>
  <si>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</si>
  <si>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</si>
  <si>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</si>
  <si>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</si>
  <si>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</si>
  <si>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</si>
  <si>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</si>
  <si>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</si>
  <si>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</si>
  <si>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</si>
  <si>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</si>
  <si>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</si>
  <si>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</si>
  <si>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</si>
  <si>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</si>
  <si>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</si>
  <si>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</si>
  <si>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</si>
  <si>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</si>
  <si>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</si>
  <si>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</si>
  <si>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</si>
  <si>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</si>
  <si>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</si>
  <si>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</si>
  <si>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</si>
  <si>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</si>
  <si>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</si>
  <si>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</si>
  <si>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</si>
  <si>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</si>
  <si>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</si>
  <si>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</si>
  <si>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</si>
  <si>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</si>
  <si>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</si>
  <si>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</si>
  <si>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</si>
  <si>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</si>
  <si>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</si>
  <si>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</si>
  <si>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</si>
  <si>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</si>
  <si>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</si>
  <si>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</si>
  <si>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</si>
  <si>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</si>
  <si>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</si>
  <si>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</si>
  <si>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</si>
  <si>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</si>
  <si>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</si>
  <si>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</si>
  <si>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</si>
  <si>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</si>
  <si>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</si>
  <si>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</si>
  <si>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</si>
  <si>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</si>
  <si>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</si>
  <si>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</si>
  <si>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</si>
  <si>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</si>
  <si>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</si>
  <si>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</si>
  <si>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</si>
  <si>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</si>
  <si>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</si>
  <si>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</si>
  <si>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</si>
  <si>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</si>
  <si>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</si>
  <si>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</si>
  <si>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</si>
  <si>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</si>
  <si>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</si>
  <si>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</si>
  <si>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</si>
  <si>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</si>
  <si>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</si>
  <si>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</si>
  <si>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</si>
  <si>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</si>
  <si>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</si>
  <si>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</si>
  <si>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</si>
  <si>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</si>
  <si>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</si>
  <si>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</si>
  <si>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</si>
  <si>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</si>
  <si>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</si>
  <si>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</si>
  <si>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</si>
  <si>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</si>
  <si>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</si>
  <si>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</si>
  <si>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</si>
  <si>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</si>
  <si>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</si>
  <si>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</si>
  <si>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</si>
  <si>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</si>
  <si>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</si>
  <si>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</si>
  <si>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</si>
  <si>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</si>
  <si>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</si>
  <si>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</si>
  <si>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</si>
  <si>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</si>
  <si>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</si>
  <si>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</si>
  <si>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</si>
  <si>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</si>
  <si>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</si>
  <si>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</si>
  <si>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</si>
  <si>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</si>
  <si>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</si>
  <si>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</si>
  <si>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</si>
  <si>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</si>
  <si>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</si>
  <si>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</si>
  <si>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</si>
  <si>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</si>
  <si>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</si>
  <si>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</si>
  <si>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</si>
  <si>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</si>
  <si>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</si>
  <si>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</si>
  <si>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</si>
  <si>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</si>
  <si>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</si>
  <si>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</si>
  <si>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</si>
  <si>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</si>
  <si>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</si>
  <si>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</si>
  <si>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</si>
  <si>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</si>
  <si>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</si>
  <si>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</si>
  <si>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</si>
  <si>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</si>
  <si>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</si>
  <si>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</si>
  <si>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</si>
  <si>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</si>
  <si>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</si>
  <si>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</si>
  <si>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</si>
  <si>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</si>
  <si>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</si>
  <si>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</si>
  <si>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</si>
  <si>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</si>
  <si>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</si>
  <si>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</si>
  <si>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</si>
  <si>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</si>
  <si>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</si>
  <si>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</si>
  <si>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</si>
  <si>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</si>
  <si>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</si>
  <si>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</si>
  <si>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</si>
  <si>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</si>
  <si>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</si>
  <si>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</si>
  <si>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</si>
  <si>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</si>
  <si>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</si>
  <si>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</si>
  <si>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</si>
  <si>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</si>
  <si>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</si>
  <si>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</si>
  <si>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</si>
  <si>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</si>
  <si>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</si>
  <si>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</si>
  <si>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</si>
  <si>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</si>
  <si>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</si>
  <si>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</si>
  <si>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</si>
  <si>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</si>
  <si>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</si>
  <si>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</si>
  <si>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</si>
  <si>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</si>
  <si>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</si>
  <si>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</si>
  <si>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</si>
  <si>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</si>
  <si>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</si>
  <si>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</si>
  <si>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</si>
  <si>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</si>
  <si>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</si>
  <si>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</si>
  <si>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</si>
  <si>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</si>
  <si>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</si>
  <si>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</si>
  <si>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</si>
  <si>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</si>
  <si>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</si>
  <si>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</si>
  <si>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</si>
  <si>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</si>
  <si>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</si>
  <si>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</si>
  <si>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</si>
  <si>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</si>
  <si>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</si>
  <si>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</si>
  <si>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</si>
  <si>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</si>
  <si>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</si>
  <si>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</si>
  <si>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</si>
  <si>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</si>
  <si>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</si>
  <si>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</si>
  <si>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</si>
  <si>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</si>
  <si>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</si>
  <si>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</si>
  <si>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</si>
  <si>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</si>
  <si>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</si>
  <si>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</si>
  <si>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</si>
  <si>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</si>
  <si>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</si>
  <si>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</si>
  <si>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</si>
  <si>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</si>
  <si>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</si>
  <si>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</si>
  <si>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</si>
  <si>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</si>
  <si>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</si>
  <si>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</si>
  <si>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</si>
  <si>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</si>
  <si>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</si>
  <si>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</si>
  <si>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</si>
  <si>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</si>
  <si>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</si>
  <si>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</si>
  <si>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</si>
  <si>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</si>
  <si>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</si>
  <si>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</si>
  <si>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</si>
  <si>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</si>
  <si>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</si>
  <si>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</si>
  <si>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</si>
  <si>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</si>
  <si>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</si>
  <si>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</si>
  <si>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</si>
  <si>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</si>
  <si>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</si>
  <si>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</si>
  <si>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</si>
  <si>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</si>
  <si>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</si>
  <si>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</si>
  <si>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</si>
  <si>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</si>
  <si>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</si>
  <si>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</si>
  <si>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</si>
  <si>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</si>
  <si>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</si>
  <si>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</si>
  <si>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</si>
  <si>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</si>
  <si>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</si>
  <si>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</si>
  <si>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</si>
  <si>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</si>
  <si>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</si>
  <si>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</si>
  <si>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</si>
  <si>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</si>
  <si>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</si>
  <si>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</si>
  <si>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</si>
  <si>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</si>
  <si>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</si>
  <si>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</si>
  <si>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</si>
  <si>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</si>
  <si>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</si>
  <si>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</si>
  <si>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</si>
  <si>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</si>
  <si>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</si>
  <si>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</si>
  <si>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</si>
  <si>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</si>
  <si>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</si>
  <si>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</si>
  <si>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</si>
  <si>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</si>
  <si>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</si>
  <si>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</si>
  <si>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</si>
  <si>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</si>
  <si>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</si>
  <si>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</si>
  <si>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</si>
  <si>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</si>
  <si>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</si>
  <si>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</si>
  <si>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</si>
  <si>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</si>
  <si>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</si>
  <si>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</si>
  <si>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</si>
  <si>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</si>
  <si>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</si>
  <si>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</si>
  <si>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</si>
  <si>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</si>
  <si>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</si>
  <si>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</si>
  <si>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</si>
  <si>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</si>
  <si>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</si>
  <si>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</si>
  <si>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</si>
  <si>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</si>
  <si>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</si>
  <si>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</si>
  <si>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</si>
  <si>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</si>
  <si>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</si>
  <si>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</si>
  <si>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</si>
  <si>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</si>
  <si>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</si>
  <si>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</si>
  <si>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</si>
  <si>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</si>
  <si>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</si>
  <si>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</si>
  <si>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</si>
  <si>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</si>
  <si>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</si>
  <si>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</si>
  <si>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</si>
  <si>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</si>
  <si>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</si>
  <si>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</si>
  <si>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</si>
  <si>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</si>
  <si>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</si>
  <si>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</si>
  <si>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</si>
  <si>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</si>
  <si>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</si>
  <si>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</si>
  <si>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</si>
  <si>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</si>
  <si>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</si>
  <si>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</si>
  <si>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</si>
  <si>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</si>
  <si>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</si>
  <si>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</si>
  <si>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</si>
  <si>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</si>
  <si>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</si>
  <si>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</si>
  <si>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</si>
  <si>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</si>
  <si>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</si>
  <si>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</si>
  <si>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</si>
  <si>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</si>
  <si>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</si>
  <si>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</si>
  <si>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</si>
  <si>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</si>
  <si>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</si>
  <si>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</si>
  <si>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</si>
  <si>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</si>
  <si>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</si>
  <si>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</si>
  <si>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</si>
  <si>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</si>
  <si>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</si>
  <si>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</si>
  <si>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</si>
  <si>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</si>
  <si>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</si>
  <si>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</si>
  <si>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</si>
  <si>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</si>
  <si>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</si>
  <si>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</si>
  <si>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</si>
  <si>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</si>
  <si>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</si>
  <si>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</si>
  <si>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</si>
  <si>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</si>
  <si>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</si>
  <si>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</si>
  <si>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</si>
  <si>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</si>
  <si>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</si>
  <si>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</si>
  <si>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</si>
  <si>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</si>
  <si>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</si>
  <si>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</si>
  <si>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</si>
  <si>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</si>
  <si>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</si>
  <si>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</si>
  <si>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</si>
  <si>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</si>
  <si>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</si>
  <si>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</si>
  <si>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</si>
  <si>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</si>
  <si>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</si>
  <si>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</si>
  <si>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</si>
  <si>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</si>
  <si>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</si>
  <si>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</si>
  <si>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</si>
  <si>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</si>
  <si>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</si>
  <si>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</si>
  <si>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</si>
  <si>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</si>
  <si>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</si>
  <si>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</si>
  <si>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</si>
  <si>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</si>
  <si>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</si>
  <si>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</si>
  <si>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</si>
  <si>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</si>
  <si>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</si>
  <si>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</si>
  <si>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</si>
  <si>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</si>
  <si>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</si>
  <si>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</si>
  <si>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</si>
  <si>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</si>
  <si>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</si>
  <si>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</si>
  <si>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</si>
  <si>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</si>
  <si>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</si>
  <si>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</si>
  <si>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</si>
  <si>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</si>
  <si>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</si>
  <si>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</si>
  <si>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</si>
  <si>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</si>
  <si>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</si>
  <si>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</si>
  <si>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</si>
  <si>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</si>
  <si>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</si>
  <si>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</si>
  <si>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</si>
  <si>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</si>
  <si>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</si>
  <si>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</si>
  <si>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</si>
  <si>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</si>
  <si>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</si>
  <si>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</si>
  <si>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</si>
  <si>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</si>
  <si>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</si>
  <si>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</si>
  <si>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</si>
  <si>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</si>
  <si>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</si>
  <si>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</si>
  <si>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</si>
  <si>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</si>
  <si>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</si>
  <si>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</si>
  <si>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</si>
  <si>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</si>
  <si>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</si>
  <si>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</si>
  <si>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</si>
  <si>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</si>
  <si>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</si>
  <si>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</si>
  <si>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</si>
  <si>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</si>
  <si>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</si>
  <si>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</si>
  <si>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</si>
  <si>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</si>
  <si>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</si>
  <si>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</si>
  <si>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</si>
  <si>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</si>
  <si>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</si>
  <si>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</si>
  <si>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</si>
  <si>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</si>
  <si>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</si>
  <si>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</si>
  <si>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</si>
  <si>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</si>
  <si>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</si>
  <si>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</si>
  <si>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</si>
  <si>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</si>
  <si>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</si>
  <si>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</si>
  <si>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</si>
  <si>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</si>
  <si>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</si>
  <si>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</si>
  <si>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</si>
  <si>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</si>
  <si>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</si>
  <si>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</si>
  <si>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</si>
  <si>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</si>
  <si>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</si>
  <si>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</si>
  <si>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</si>
  <si>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</si>
  <si>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</si>
  <si>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</si>
  <si>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</si>
  <si>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</si>
  <si>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</si>
  <si>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</si>
  <si>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</si>
  <si>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</si>
  <si>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</si>
  <si>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</si>
  <si>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[0.376742]</t>
  </si>
  <si>
    <t>0 [0.768752]</t>
  </si>
  <si>
    <t>0 [1.178728]</t>
  </si>
  <si>
    <t>0 [1.579949]</t>
  </si>
  <si>
    <t>0 [1.983872]</t>
  </si>
  <si>
    <t>0 [2.391015]</t>
  </si>
  <si>
    <t>0 [2.796592]</t>
  </si>
  <si>
    <t>0 [3.215251]</t>
  </si>
  <si>
    <t>0 [3.611620]</t>
  </si>
  <si>
    <t>0 [4.017627]</t>
  </si>
  <si>
    <t>0 [4.428137]</t>
  </si>
  <si>
    <t>0 [4.832009]</t>
  </si>
  <si>
    <t>0 [5.241779]</t>
  </si>
  <si>
    <t>0 [5.650643]</t>
  </si>
  <si>
    <t>0 [6.054432]</t>
  </si>
  <si>
    <t>0 [6.466126]</t>
  </si>
  <si>
    <t>0 [6.878008]</t>
  </si>
  <si>
    <t>0 [7.281612]</t>
  </si>
  <si>
    <t>0 [7.672665]</t>
  </si>
  <si>
    <t>0 [8.086395]</t>
  </si>
  <si>
    <t>0 [8.497235]</t>
  </si>
  <si>
    <t>0 [8.891798]</t>
  </si>
  <si>
    <t>0 [9.293041]</t>
  </si>
  <si>
    <t>0 [9.709867]</t>
  </si>
  <si>
    <t>0 [10.112611]</t>
  </si>
  <si>
    <t>0 [10.518589]</t>
  </si>
  <si>
    <t>0 [10.919101]</t>
  </si>
  <si>
    <t>0 [11.322685]</t>
  </si>
  <si>
    <t>0 [11.744966]</t>
  </si>
  <si>
    <t>0 [12.143665]</t>
  </si>
  <si>
    <t>0 [12.551964]</t>
  </si>
  <si>
    <t>0 [12.952443]</t>
  </si>
  <si>
    <t>0 [13.365008]</t>
  </si>
  <si>
    <t>0 [13.770811]</t>
  </si>
  <si>
    <t>0 [14.168755]</t>
  </si>
  <si>
    <t>0 [14.578869]</t>
  </si>
  <si>
    <t>0 [14.987267]</t>
  </si>
  <si>
    <t>0 [15.388821]</t>
  </si>
  <si>
    <t>0 [15.803013]</t>
  </si>
  <si>
    <t>0 [16.208298]</t>
  </si>
  <si>
    <t>0 [16.632428]</t>
  </si>
  <si>
    <t>0 [17.037268]</t>
  </si>
  <si>
    <t>0 [17.427086]</t>
  </si>
  <si>
    <t>0 [17.828696]</t>
  </si>
  <si>
    <t>0 [18.237422]</t>
  </si>
  <si>
    <t>0 [18.644661]</t>
  </si>
  <si>
    <t>0 [19.055297]</t>
  </si>
  <si>
    <t>0 [19.455896]</t>
  </si>
  <si>
    <t>0 [19.859701]</t>
  </si>
  <si>
    <t>0 [20.264898]</t>
  </si>
  <si>
    <t>0 [20.675369]</t>
  </si>
  <si>
    <t>0 [21.080165]</t>
  </si>
  <si>
    <t>0 [21.488506]</t>
  </si>
  <si>
    <t>0 [21.900408]</t>
  </si>
  <si>
    <t>0 [22.308202]</t>
  </si>
  <si>
    <t>0 [22.703451]</t>
  </si>
  <si>
    <t>0 [23.107783]</t>
  </si>
  <si>
    <t>0 [23.515579]</t>
  </si>
  <si>
    <t>0 [23.927986]</t>
  </si>
  <si>
    <t>0 [24.335881]</t>
  </si>
  <si>
    <t>0 [24.749261]</t>
  </si>
  <si>
    <t>0 [25.146538]</t>
  </si>
  <si>
    <t>0 [25.558514]</t>
  </si>
  <si>
    <t>0 [25.963713]</t>
  </si>
  <si>
    <t>0 [26.370731]</t>
  </si>
  <si>
    <t>0 [26.767468]</t>
  </si>
  <si>
    <t>0 [27.182540]</t>
  </si>
  <si>
    <t>0 [27.580527]</t>
  </si>
  <si>
    <t>0 [27.982063]</t>
  </si>
  <si>
    <t>0 [28.392256]</t>
  </si>
  <si>
    <t>0 [28.802640]</t>
  </si>
  <si>
    <t>0 [29.212487]</t>
  </si>
  <si>
    <t>0 [29.626482]</t>
  </si>
  <si>
    <t>0 [30.031515]</t>
  </si>
  <si>
    <t>0 [30.434239]</t>
  </si>
  <si>
    <t>0 [30.833001]</t>
  </si>
  <si>
    <t>0 [31.230584]</t>
  </si>
  <si>
    <t>0 [31.644632]</t>
  </si>
  <si>
    <t>0 [32.052764]</t>
  </si>
  <si>
    <t>0 [32.463998]</t>
  </si>
  <si>
    <t>0 [32.861379]</t>
  </si>
  <si>
    <t>0 [33.266992]</t>
  </si>
  <si>
    <t>0 [33.675164]</t>
  </si>
  <si>
    <t>0 [34.076841]</t>
  </si>
  <si>
    <t>0 [34.498725]</t>
  </si>
  <si>
    <t>0 [34.898277]</t>
  </si>
  <si>
    <t>0 [35.303824]</t>
  </si>
  <si>
    <t>0 [35.709635]</t>
  </si>
  <si>
    <t>0 [36.109842]</t>
  </si>
  <si>
    <t>0 [36.522219]</t>
  </si>
  <si>
    <t>0 [36.930406]</t>
  </si>
  <si>
    <t>0 [37.335417]</t>
  </si>
  <si>
    <t>0 [37.741020]</t>
  </si>
  <si>
    <t>0 [38.157047]</t>
  </si>
  <si>
    <t>0 [38.556755]</t>
  </si>
  <si>
    <t>0 [38.962299]</t>
  </si>
  <si>
    <t>0 [39.368149]</t>
  </si>
  <si>
    <t>0 [39.766665]</t>
  </si>
  <si>
    <t>0 [40.174267]</t>
  </si>
  <si>
    <t>vision^TrZN^2^6^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</si>
</sst>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35.35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35.35098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5.2300800000000001</c:v>
                </c:pt>
                <c:pt idx="1">
                  <c:v>6.4413400000000003</c:v>
                </c:pt>
              </c:numCache>
            </c:numRef>
          </c:xVal>
          <c:yVal>
            <c:numRef>
              <c:f>info!$W$2:$W$3</c:f>
              <c:numCache>
                <c:formatCode>0.00</c:formatCode>
                <c:ptCount val="2"/>
                <c:pt idx="0">
                  <c:v>16.251300000000001</c:v>
                </c:pt>
                <c:pt idx="1">
                  <c:v>47.167299999999997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5.2300800000000001</c:v>
                </c:pt>
                <c:pt idx="1">
                  <c:v>6.5923600000000002</c:v>
                </c:pt>
              </c:numCache>
            </c:numRef>
          </c:xVal>
          <c:yVal>
            <c:numRef>
              <c:f>info!$W$15:$W$16</c:f>
              <c:numCache>
                <c:formatCode>0.00_ </c:formatCode>
                <c:ptCount val="2"/>
                <c:pt idx="0">
                  <c:v>16.251300000000001</c:v>
                </c:pt>
                <c:pt idx="1">
                  <c:v>48.729900000000001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5.8951883999999994</c:v>
                </c:pt>
              </c:numCache>
            </c:numRef>
          </c:xVal>
          <c:yVal>
            <c:numRef>
              <c:f>info!$N$9</c:f>
              <c:numCache>
                <c:formatCode>0.0</c:formatCode>
                <c:ptCount val="1"/>
                <c:pt idx="0">
                  <c:v>36.890272000000003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54.923099999999998</c:v>
                </c:pt>
                <c:pt idx="1">
                  <c:v>16.184699999999999</c:v>
                </c:pt>
                <c:pt idx="2">
                  <c:v>12.237500000000001</c:v>
                </c:pt>
                <c:pt idx="3">
                  <c:v>32.810899999999997</c:v>
                </c:pt>
                <c:pt idx="4">
                  <c:v>65.636700000000005</c:v>
                </c:pt>
                <c:pt idx="5">
                  <c:v>75.194699999999997</c:v>
                </c:pt>
                <c:pt idx="6">
                  <c:v>45.9833</c:v>
                </c:pt>
                <c:pt idx="7">
                  <c:v>70.585599999999999</c:v>
                </c:pt>
                <c:pt idx="8">
                  <c:v>31.0443</c:v>
                </c:pt>
                <c:pt idx="9">
                  <c:v>46.481699999999996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35.35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35.35098</c:v>
                </c:pt>
                <c:pt idx="1">
                  <c:v>35.35098</c:v>
                </c:pt>
                <c:pt idx="2">
                  <c:v>0</c:v>
                </c:pt>
              </c:numCache>
            </c:numRef>
          </c:xVal>
          <c:yVal>
            <c:numRef>
              <c:f>'R2'!$I$5:$I$7</c:f>
              <c:numCache>
                <c:formatCode>0.0_ </c:formatCode>
                <c:ptCount val="3"/>
                <c:pt idx="0">
                  <c:v>0</c:v>
                </c:pt>
                <c:pt idx="1">
                  <c:v>25.466998748618053</c:v>
                </c:pt>
                <c:pt idx="2">
                  <c:v>25.466998748618053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97.643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97.64266666666667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2.9292799999999999</c:v>
                </c:pt>
                <c:pt idx="1">
                  <c:v>2.9292799999999999</c:v>
                </c:pt>
                <c:pt idx="2">
                  <c:v>0</c:v>
                </c:pt>
              </c:numCache>
            </c:numRef>
          </c:xVal>
          <c:yVal>
            <c:numRef>
              <c:f>'R3'!$I$6:$I$8</c:f>
              <c:numCache>
                <c:formatCode>0.0_ </c:formatCode>
                <c:ptCount val="3"/>
                <c:pt idx="0">
                  <c:v>0</c:v>
                </c:pt>
                <c:pt idx="1">
                  <c:v>92.559860459211379</c:v>
                </c:pt>
                <c:pt idx="2">
                  <c:v>92.559860459211379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0.13338824717569686</c:v>
                </c:pt>
              </c:numCache>
            </c:numRef>
          </c:xVal>
          <c:yVal>
            <c:numRef>
              <c:f>'R'!$I$4</c:f>
              <c:numCache>
                <c:formatCode>0.00_ </c:formatCode>
                <c:ptCount val="1"/>
                <c:pt idx="0">
                  <c:v>64.209626473818318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35.35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35.35098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5.2300800000000001</c:v>
                </c:pt>
                <c:pt idx="1">
                  <c:v>6.4413400000000003</c:v>
                </c:pt>
              </c:numCache>
            </c:numRef>
          </c:xVal>
          <c:yVal>
            <c:numRef>
              <c:f>info!$W$2:$W$3</c:f>
              <c:numCache>
                <c:formatCode>0.00</c:formatCode>
                <c:ptCount val="2"/>
                <c:pt idx="0">
                  <c:v>16.251300000000001</c:v>
                </c:pt>
                <c:pt idx="1">
                  <c:v>47.167299999999997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5.2300800000000001</c:v>
                </c:pt>
                <c:pt idx="1">
                  <c:v>6.5923600000000002</c:v>
                </c:pt>
              </c:numCache>
            </c:numRef>
          </c:xVal>
          <c:yVal>
            <c:numRef>
              <c:f>info!$W$15:$W$16</c:f>
              <c:numCache>
                <c:formatCode>0.00_ </c:formatCode>
                <c:ptCount val="2"/>
                <c:pt idx="0">
                  <c:v>16.251300000000001</c:v>
                </c:pt>
                <c:pt idx="1">
                  <c:v>48.729900000000001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5.8951883999999994</c:v>
                </c:pt>
              </c:numCache>
            </c:numRef>
          </c:xVal>
          <c:yVal>
            <c:numRef>
              <c:f>info!$N$9</c:f>
              <c:numCache>
                <c:formatCode>0.0</c:formatCode>
                <c:ptCount val="1"/>
                <c:pt idx="0">
                  <c:v>36.890272000000003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54.923099999999998</c:v>
                </c:pt>
                <c:pt idx="1">
                  <c:v>16.184699999999999</c:v>
                </c:pt>
                <c:pt idx="2">
                  <c:v>12.237500000000001</c:v>
                </c:pt>
                <c:pt idx="3">
                  <c:v>32.810899999999997</c:v>
                </c:pt>
                <c:pt idx="4">
                  <c:v>65.636700000000005</c:v>
                </c:pt>
                <c:pt idx="5">
                  <c:v>75.194699999999997</c:v>
                </c:pt>
                <c:pt idx="6">
                  <c:v>45.9833</c:v>
                </c:pt>
                <c:pt idx="7">
                  <c:v>70.585599999999999</c:v>
                </c:pt>
                <c:pt idx="8">
                  <c:v>31.0443</c:v>
                </c:pt>
                <c:pt idx="9">
                  <c:v>46.481699999999996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35.35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35.35098</c:v>
                </c:pt>
                <c:pt idx="1">
                  <c:v>35.35098</c:v>
                </c:pt>
                <c:pt idx="2">
                  <c:v>0</c:v>
                </c:pt>
              </c:numCache>
            </c:numRef>
          </c:xVal>
          <c:yVal>
            <c:numRef>
              <c:f>'R2'!$I$5:$I$7</c:f>
              <c:numCache>
                <c:formatCode>0.0_ </c:formatCode>
                <c:ptCount val="3"/>
                <c:pt idx="0">
                  <c:v>0</c:v>
                </c:pt>
                <c:pt idx="1">
                  <c:v>25.466998748618053</c:v>
                </c:pt>
                <c:pt idx="2">
                  <c:v>25.466998748618053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97.643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97.64266666666667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2.9292799999999999</c:v>
                </c:pt>
                <c:pt idx="1">
                  <c:v>2.9292799999999999</c:v>
                </c:pt>
                <c:pt idx="2">
                  <c:v>0</c:v>
                </c:pt>
              </c:numCache>
            </c:numRef>
          </c:xVal>
          <c:yVal>
            <c:numRef>
              <c:f>'R3'!$I$6:$I$8</c:f>
              <c:numCache>
                <c:formatCode>0.0_ </c:formatCode>
                <c:ptCount val="3"/>
                <c:pt idx="0">
                  <c:v>0</c:v>
                </c:pt>
                <c:pt idx="1">
                  <c:v>92.559860459211379</c:v>
                </c:pt>
                <c:pt idx="2">
                  <c:v>92.559860459211379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0.13338824717569686</c:v>
                </c:pt>
              </c:numCache>
            </c:numRef>
          </c:xVal>
          <c:yVal>
            <c:numRef>
              <c:f>'R'!$I$4</c:f>
              <c:numCache>
                <c:formatCode>0.00_ </c:formatCode>
                <c:ptCount val="1"/>
                <c:pt idx="0">
                  <c:v>64.209626473818318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FT!$J$2:$J$2000</c:f>
              <c:numCache>
                <c:formatCode>General</c:formatCode>
                <c:ptCount val="1999"/>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4.6520600000000005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4.6520600000000005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4.6520600000000005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4.6520600000000005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4.6520600000000005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4.6520600000000005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4.6520600000000005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4.6520600000000005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4.6520600000000005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4.6520600000000005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4.6520600000000005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4.6520600000000005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4.6520600000000005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4.6520600000000005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4.6520600000000005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4.6520600000000005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4.6520600000000005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4.6520600000000005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4.6520600000000005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4.6520600000000005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4.6520600000000005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4.6520600000000005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4.6520600000000005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4.6520600000000005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FT!$K$2:$K$2000</c:f>
              <c:numCache>
                <c:formatCode>General</c:formatCode>
                <c:ptCount val="1999"/>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28.202100000000002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28.202100000000002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28.202100000000002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28.202100000000002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28.202100000000002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28.202100000000002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28.202100000000002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28.202100000000002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28.202100000000002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28.202100000000002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28.202100000000002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28.202100000000002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28.202100000000002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28.202100000000002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28.202100000000002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28.202100000000002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28.202100000000002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28.202100000000002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28.202100000000002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28.202100000000002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28.202100000000002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28.202100000000002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28.202100000000002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28.202100000000002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FT!$L$2:$L$2000</c:f>
              <c:numCache>
                <c:formatCode>General</c:formatCode>
                <c:ptCount val="1999"/>
                <c:pt idx="0">
                  <c:v>6.0622820857856512</c:v>
                </c:pt>
                <c:pt idx="1">
                  <c:v>5.4791991657623429</c:v>
                </c:pt>
                <c:pt idx="2">
                  <c:v>4.979938300614279</c:v>
                </c:pt>
                <c:pt idx="3">
                  <c:v>4.5304253097720544</c:v>
                </c:pt>
                <c:pt idx="4">
                  <c:v>4.1198327442231273</c:v>
                </c:pt>
                <c:pt idx="5">
                  <c:v>3.7621788882526093</c:v>
                </c:pt>
                <c:pt idx="6">
                  <c:v>3.4719067015596696</c:v>
                </c:pt>
                <c:pt idx="7">
                  <c:v>3.2663442523446826</c:v>
                </c:pt>
                <c:pt idx="8">
                  <c:v>3.1459605169269804</c:v>
                </c:pt>
                <c:pt idx="9">
                  <c:v>3.1072756057268722</c:v>
                </c:pt>
                <c:pt idx="10">
                  <c:v>3.1080252984521342</c:v>
                </c:pt>
                <c:pt idx="11">
                  <c:v>3.1546035946837758</c:v>
                </c:pt>
                <c:pt idx="12">
                  <c:v>3.244671683805366</c:v>
                </c:pt>
                <c:pt idx="13">
                  <c:v>3.3786953447151635</c:v>
                </c:pt>
                <c:pt idx="14">
                  <c:v>3.5049180028988416</c:v>
                </c:pt>
                <c:pt idx="15">
                  <c:v>3.7039074303601636</c:v>
                </c:pt>
                <c:pt idx="16">
                  <c:v>3.9712546681987928</c:v>
                </c:pt>
                <c:pt idx="17">
                  <c:v>4.265662731120516</c:v>
                </c:pt>
                <c:pt idx="18">
                  <c:v>4.5803805739420538</c:v>
                </c:pt>
                <c:pt idx="19">
                  <c:v>4.9103739451486081</c:v>
                </c:pt>
                <c:pt idx="20">
                  <c:v>5.2763951985484967</c:v>
                </c:pt>
                <c:pt idx="21">
                  <c:v>5.6248114255617123</c:v>
                </c:pt>
                <c:pt idx="22">
                  <c:v>6.0646670440850103</c:v>
                </c:pt>
                <c:pt idx="23">
                  <c:v>6.6122194535247365</c:v>
                </c:pt>
                <c:pt idx="24">
                  <c:v>6.7133592691773396</c:v>
                </c:pt>
                <c:pt idx="25">
                  <c:v>6.802843493136395</c:v>
                </c:pt>
                <c:pt idx="26">
                  <c:v>6.8718502457004593</c:v>
                </c:pt>
                <c:pt idx="27">
                  <c:v>6.9220910647566152</c:v>
                </c:pt>
                <c:pt idx="28">
                  <c:v>7.0002880690241485</c:v>
                </c:pt>
                <c:pt idx="29">
                  <c:v>7.0771928712536587</c:v>
                </c:pt>
                <c:pt idx="30">
                  <c:v>7.1264260332896958</c:v>
                </c:pt>
                <c:pt idx="31">
                  <c:v>7.1528584384795311</c:v>
                </c:pt>
                <c:pt idx="32">
                  <c:v>7.1425684622515924</c:v>
                </c:pt>
                <c:pt idx="33">
                  <c:v>7.1444266560646357</c:v>
                </c:pt>
                <c:pt idx="34">
                  <c:v>7.1285187242356525</c:v>
                </c:pt>
                <c:pt idx="35">
                  <c:v>7.1030259825931523</c:v>
                </c:pt>
                <c:pt idx="36">
                  <c:v>7.058213918123891</c:v>
                </c:pt>
                <c:pt idx="37">
                  <c:v>6.9938719786802199</c:v>
                </c:pt>
                <c:pt idx="38">
                  <c:v>6.9142832926318913</c:v>
                </c:pt>
                <c:pt idx="39">
                  <c:v>6.8110944474955284</c:v>
                </c:pt>
                <c:pt idx="40">
                  <c:v>6.6857337251958722</c:v>
                </c:pt>
                <c:pt idx="41">
                  <c:v>6.557064961104377</c:v>
                </c:pt>
                <c:pt idx="42">
                  <c:v>6.4283899440679679</c:v>
                </c:pt>
                <c:pt idx="43">
                  <c:v>6.3052525707943889</c:v>
                </c:pt>
                <c:pt idx="44">
                  <c:v>6.1923555432679018</c:v>
                </c:pt>
                <c:pt idx="45">
                  <c:v>6.1036185003754913</c:v>
                </c:pt>
                <c:pt idx="46">
                  <c:v>6.0421976120970617</c:v>
                </c:pt>
                <c:pt idx="47">
                  <c:v>5.9997469189952675</c:v>
                </c:pt>
                <c:pt idx="48">
                  <c:v>5.950547699898963</c:v>
                </c:pt>
                <c:pt idx="49">
                  <c:v>5.9052920535164066</c:v>
                </c:pt>
                <c:pt idx="50">
                  <c:v>5.9057269244106871</c:v>
                </c:pt>
                <c:pt idx="51">
                  <c:v>5.9205317218913773</c:v>
                </c:pt>
                <c:pt idx="52">
                  <c:v>5.9278017784800552</c:v>
                </c:pt>
                <c:pt idx="53">
                  <c:v>5.9413930591837207</c:v>
                </c:pt>
                <c:pt idx="54">
                  <c:v>5.9798700820851085</c:v>
                </c:pt>
                <c:pt idx="55">
                  <c:v>6.0522588384070106</c:v>
                </c:pt>
                <c:pt idx="56">
                  <c:v>6.1266663338159661</c:v>
                </c:pt>
                <c:pt idx="57">
                  <c:v>6.2045733189328365</c:v>
                </c:pt>
                <c:pt idx="58">
                  <c:v>6.2459806542105545</c:v>
                </c:pt>
                <c:pt idx="59">
                  <c:v>6.267591462408868</c:v>
                </c:pt>
                <c:pt idx="60">
                  <c:v>6.2924216704170117</c:v>
                </c:pt>
                <c:pt idx="61">
                  <c:v>6.3250724583005953</c:v>
                </c:pt>
                <c:pt idx="62">
                  <c:v>6.361526420899227</c:v>
                </c:pt>
                <c:pt idx="63">
                  <c:v>6.3949111922121276</c:v>
                </c:pt>
                <c:pt idx="64">
                  <c:v>6.4318611386513362</c:v>
                </c:pt>
                <c:pt idx="65">
                  <c:v>6.4732660720378226</c:v>
                </c:pt>
                <c:pt idx="66">
                  <c:v>6.5139804298303217</c:v>
                </c:pt>
                <c:pt idx="67">
                  <c:v>6.5614043603122596</c:v>
                </c:pt>
                <c:pt idx="68">
                  <c:v>6.6161756441642501</c:v>
                </c:pt>
                <c:pt idx="69">
                  <c:v>6.6797983184608229</c:v>
                </c:pt>
                <c:pt idx="70">
                  <c:v>6.7407260847114916</c:v>
                </c:pt>
                <c:pt idx="71">
                  <c:v>6.7974804646115725</c:v>
                </c:pt>
                <c:pt idx="72">
                  <c:v>6.8559804588956084</c:v>
                </c:pt>
                <c:pt idx="73">
                  <c:v>6.9149661874491759</c:v>
                </c:pt>
                <c:pt idx="74">
                  <c:v>6.9705290250242085</c:v>
                </c:pt>
                <c:pt idx="75">
                  <c:v>7.0097275893628925</c:v>
                </c:pt>
                <c:pt idx="76">
                  <c:v>7.0520429288722832</c:v>
                </c:pt>
                <c:pt idx="77">
                  <c:v>7.0945255826989984</c:v>
                </c:pt>
                <c:pt idx="78">
                  <c:v>7.1305618758690423</c:v>
                </c:pt>
                <c:pt idx="79">
                  <c:v>7.1666656156194044</c:v>
                </c:pt>
                <c:pt idx="80">
                  <c:v>7.1976120041456504</c:v>
                </c:pt>
                <c:pt idx="81">
                  <c:v>7.2270020269719044</c:v>
                </c:pt>
                <c:pt idx="82">
                  <c:v>7.2460021576526978</c:v>
                </c:pt>
                <c:pt idx="83">
                  <c:v>7.2669331553268295</c:v>
                </c:pt>
                <c:pt idx="84">
                  <c:v>7.2841156046261837</c:v>
                </c:pt>
                <c:pt idx="85">
                  <c:v>7.2950415749190638</c:v>
                </c:pt>
                <c:pt idx="86">
                  <c:v>7.297378141781941</c:v>
                </c:pt>
                <c:pt idx="87">
                  <c:v>7.3037435901426306</c:v>
                </c:pt>
                <c:pt idx="88">
                  <c:v>7.3121415136865995</c:v>
                </c:pt>
                <c:pt idx="89">
                  <c:v>7.3225912620665881</c:v>
                </c:pt>
                <c:pt idx="90">
                  <c:v>7.3356735777818463</c:v>
                </c:pt>
                <c:pt idx="91">
                  <c:v>7.3582380914724999</c:v>
                </c:pt>
                <c:pt idx="92">
                  <c:v>7.3832821579529027</c:v>
                </c:pt>
                <c:pt idx="93">
                  <c:v>7.396282016953954</c:v>
                </c:pt>
                <c:pt idx="94">
                  <c:v>7.4021674341323012</c:v>
                </c:pt>
                <c:pt idx="95">
                  <c:v>7.3959093666940774</c:v>
                </c:pt>
                <c:pt idx="96">
                  <c:v>7.3886778552846648</c:v>
                </c:pt>
                <c:pt idx="97">
                  <c:v>7.4055303405927004</c:v>
                </c:pt>
                <c:pt idx="98">
                  <c:v>7.3918748369324492</c:v>
                </c:pt>
                <c:pt idx="99">
                  <c:v>7.1770431869073947</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2.8093378265055751E-4</c:v>
                </c:pt>
                <c:pt idx="7">
                  <c:v>0</c:v>
                </c:pt>
                <c:pt idx="8">
                  <c:v>4.682229710842625E-4</c:v>
                </c:pt>
                <c:pt idx="9">
                  <c:v>0</c:v>
                </c:pt>
                <c:pt idx="10">
                  <c:v>0</c:v>
                </c:pt>
                <c:pt idx="11">
                  <c:v>2.4581715687796999E-4</c:v>
                </c:pt>
                <c:pt idx="12">
                  <c:v>0</c:v>
                </c:pt>
                <c:pt idx="13">
                  <c:v>2.9576086281330556E-3</c:v>
                </c:pt>
                <c:pt idx="14">
                  <c:v>0</c:v>
                </c:pt>
                <c:pt idx="15">
                  <c:v>0</c:v>
                </c:pt>
                <c:pt idx="16">
                  <c:v>2.0445732521663512E-3</c:v>
                </c:pt>
                <c:pt idx="17">
                  <c:v>0</c:v>
                </c:pt>
                <c:pt idx="18">
                  <c:v>0</c:v>
                </c:pt>
                <c:pt idx="19">
                  <c:v>9.4815122526943499E-4</c:v>
                </c:pt>
                <c:pt idx="20">
                  <c:v>0</c:v>
                </c:pt>
                <c:pt idx="21">
                  <c:v>2.867864242010125E-3</c:v>
                </c:pt>
                <c:pt idx="22">
                  <c:v>0</c:v>
                </c:pt>
                <c:pt idx="23">
                  <c:v>0</c:v>
                </c:pt>
                <c:pt idx="24">
                  <c:v>4.0189303351243905E-3</c:v>
                </c:pt>
                <c:pt idx="25">
                  <c:v>0</c:v>
                </c:pt>
                <c:pt idx="26">
                  <c:v>7.3589154269031272E-3</c:v>
                </c:pt>
                <c:pt idx="27">
                  <c:v>0</c:v>
                </c:pt>
                <c:pt idx="28">
                  <c:v>0</c:v>
                </c:pt>
                <c:pt idx="29">
                  <c:v>1.5349916141255396E-2</c:v>
                </c:pt>
                <c:pt idx="30">
                  <c:v>0</c:v>
                </c:pt>
                <c:pt idx="31">
                  <c:v>1.6688239587539212E-2</c:v>
                </c:pt>
                <c:pt idx="32">
                  <c:v>0</c:v>
                </c:pt>
                <c:pt idx="33">
                  <c:v>0</c:v>
                </c:pt>
                <c:pt idx="34">
                  <c:v>2.6821365344597323E-2</c:v>
                </c:pt>
                <c:pt idx="35">
                  <c:v>0</c:v>
                </c:pt>
                <c:pt idx="36">
                  <c:v>0</c:v>
                </c:pt>
                <c:pt idx="37">
                  <c:v>3.4488539304904184E-2</c:v>
                </c:pt>
                <c:pt idx="38">
                  <c:v>0</c:v>
                </c:pt>
                <c:pt idx="39">
                  <c:v>4.8624871882473518E-2</c:v>
                </c:pt>
                <c:pt idx="40">
                  <c:v>0</c:v>
                </c:pt>
                <c:pt idx="41">
                  <c:v>0</c:v>
                </c:pt>
                <c:pt idx="42">
                  <c:v>6.9835310743236942E-2</c:v>
                </c:pt>
                <c:pt idx="43">
                  <c:v>0</c:v>
                </c:pt>
                <c:pt idx="44">
                  <c:v>6.2886293754076464E-2</c:v>
                </c:pt>
                <c:pt idx="45">
                  <c:v>0</c:v>
                </c:pt>
                <c:pt idx="46">
                  <c:v>0</c:v>
                </c:pt>
                <c:pt idx="47">
                  <c:v>8.3296968661676546E-2</c:v>
                </c:pt>
                <c:pt idx="48">
                  <c:v>0</c:v>
                </c:pt>
                <c:pt idx="49">
                  <c:v>9.0370997297884892E-2</c:v>
                </c:pt>
                <c:pt idx="50">
                  <c:v>0</c:v>
                </c:pt>
                <c:pt idx="51">
                  <c:v>0</c:v>
                </c:pt>
                <c:pt idx="52">
                  <c:v>8.5033155262912691E-2</c:v>
                </c:pt>
                <c:pt idx="53">
                  <c:v>0</c:v>
                </c:pt>
                <c:pt idx="54">
                  <c:v>0</c:v>
                </c:pt>
                <c:pt idx="55">
                  <c:v>9.0745644004099763E-2</c:v>
                </c:pt>
                <c:pt idx="56">
                  <c:v>0</c:v>
                </c:pt>
                <c:pt idx="57">
                  <c:v>8.0140230456253694E-2</c:v>
                </c:pt>
                <c:pt idx="58">
                  <c:v>0</c:v>
                </c:pt>
                <c:pt idx="59">
                  <c:v>0</c:v>
                </c:pt>
                <c:pt idx="60">
                  <c:v>8.200919340311208E-2</c:v>
                </c:pt>
                <c:pt idx="61">
                  <c:v>0</c:v>
                </c:pt>
                <c:pt idx="62">
                  <c:v>8.5739354598254491E-2</c:v>
                </c:pt>
                <c:pt idx="63">
                  <c:v>0</c:v>
                </c:pt>
                <c:pt idx="64">
                  <c:v>0</c:v>
                </c:pt>
                <c:pt idx="65">
                  <c:v>8.3285321613814953E-2</c:v>
                </c:pt>
                <c:pt idx="66">
                  <c:v>0</c:v>
                </c:pt>
                <c:pt idx="67">
                  <c:v>7.9156831381805751E-2</c:v>
                </c:pt>
                <c:pt idx="68">
                  <c:v>0</c:v>
                </c:pt>
                <c:pt idx="69">
                  <c:v>0</c:v>
                </c:pt>
                <c:pt idx="70">
                  <c:v>7.0826474516259272E-2</c:v>
                </c:pt>
                <c:pt idx="71">
                  <c:v>0</c:v>
                </c:pt>
                <c:pt idx="72">
                  <c:v>0</c:v>
                </c:pt>
                <c:pt idx="73">
                  <c:v>7.1021756685405474E-2</c:v>
                </c:pt>
                <c:pt idx="74">
                  <c:v>0</c:v>
                </c:pt>
                <c:pt idx="75">
                  <c:v>6.9039429139360814E-2</c:v>
                </c:pt>
                <c:pt idx="76">
                  <c:v>0</c:v>
                </c:pt>
                <c:pt idx="77">
                  <c:v>0</c:v>
                </c:pt>
                <c:pt idx="78">
                  <c:v>7.126750939528527E-2</c:v>
                </c:pt>
                <c:pt idx="79">
                  <c:v>0</c:v>
                </c:pt>
                <c:pt idx="80">
                  <c:v>6.7182113240364008E-2</c:v>
                </c:pt>
                <c:pt idx="81">
                  <c:v>0</c:v>
                </c:pt>
                <c:pt idx="82">
                  <c:v>0</c:v>
                </c:pt>
                <c:pt idx="83">
                  <c:v>5.5289312668882193E-2</c:v>
                </c:pt>
                <c:pt idx="84">
                  <c:v>0</c:v>
                </c:pt>
                <c:pt idx="85">
                  <c:v>0</c:v>
                </c:pt>
                <c:pt idx="86">
                  <c:v>5.3279808677827126E-2</c:v>
                </c:pt>
                <c:pt idx="87">
                  <c:v>0</c:v>
                </c:pt>
                <c:pt idx="88">
                  <c:v>7.2281967264030814E-2</c:v>
                </c:pt>
                <c:pt idx="89">
                  <c:v>0</c:v>
                </c:pt>
                <c:pt idx="90">
                  <c:v>0</c:v>
                </c:pt>
                <c:pt idx="91">
                  <c:v>7.4642435630648818E-2</c:v>
                </c:pt>
                <c:pt idx="92">
                  <c:v>0</c:v>
                </c:pt>
                <c:pt idx="93">
                  <c:v>7.7690079821101349E-2</c:v>
                </c:pt>
                <c:pt idx="94">
                  <c:v>0</c:v>
                </c:pt>
                <c:pt idx="95">
                  <c:v>0</c:v>
                </c:pt>
                <c:pt idx="96">
                  <c:v>8.6668012547752887E-2</c:v>
                </c:pt>
                <c:pt idx="97">
                  <c:v>0</c:v>
                </c:pt>
                <c:pt idx="98">
                  <c:v>9.1537643258688697E-2</c:v>
                </c:pt>
                <c:pt idx="99">
                  <c:v>0</c:v>
                </c:pt>
                <c:pt idx="100">
                  <c:v>0</c:v>
                </c:pt>
                <c:pt idx="101">
                  <c:v>0.1250465881914464</c:v>
                </c:pt>
                <c:pt idx="102">
                  <c:v>0</c:v>
                </c:pt>
                <c:pt idx="103">
                  <c:v>0</c:v>
                </c:pt>
                <c:pt idx="104">
                  <c:v>0.13017788924433954</c:v>
                </c:pt>
                <c:pt idx="105">
                  <c:v>0</c:v>
                </c:pt>
                <c:pt idx="106">
                  <c:v>0.15339394974687082</c:v>
                </c:pt>
                <c:pt idx="107">
                  <c:v>0</c:v>
                </c:pt>
                <c:pt idx="108">
                  <c:v>0</c:v>
                </c:pt>
                <c:pt idx="109">
                  <c:v>0.15839208621921297</c:v>
                </c:pt>
                <c:pt idx="110">
                  <c:v>0</c:v>
                </c:pt>
                <c:pt idx="111">
                  <c:v>0.19942774171506661</c:v>
                </c:pt>
                <c:pt idx="112">
                  <c:v>0</c:v>
                </c:pt>
                <c:pt idx="113">
                  <c:v>0</c:v>
                </c:pt>
                <c:pt idx="114">
                  <c:v>0.25274287977140725</c:v>
                </c:pt>
                <c:pt idx="115">
                  <c:v>0</c:v>
                </c:pt>
                <c:pt idx="116">
                  <c:v>0.3213998975059788</c:v>
                </c:pt>
                <c:pt idx="117">
                  <c:v>0</c:v>
                </c:pt>
                <c:pt idx="118">
                  <c:v>0</c:v>
                </c:pt>
                <c:pt idx="119">
                  <c:v>0.38813748175295837</c:v>
                </c:pt>
                <c:pt idx="120">
                  <c:v>0</c:v>
                </c:pt>
                <c:pt idx="121">
                  <c:v>0</c:v>
                </c:pt>
                <c:pt idx="122">
                  <c:v>0.42614606950958162</c:v>
                </c:pt>
                <c:pt idx="123">
                  <c:v>0</c:v>
                </c:pt>
                <c:pt idx="124">
                  <c:v>0.45459592508618818</c:v>
                </c:pt>
                <c:pt idx="125">
                  <c:v>0</c:v>
                </c:pt>
                <c:pt idx="126">
                  <c:v>0</c:v>
                </c:pt>
                <c:pt idx="127">
                  <c:v>0.49386588812622295</c:v>
                </c:pt>
                <c:pt idx="128">
                  <c:v>0</c:v>
                </c:pt>
                <c:pt idx="129">
                  <c:v>0.52459856508370339</c:v>
                </c:pt>
                <c:pt idx="130">
                  <c:v>0</c:v>
                </c:pt>
                <c:pt idx="131">
                  <c:v>0</c:v>
                </c:pt>
                <c:pt idx="132">
                  <c:v>0.54655713265211037</c:v>
                </c:pt>
                <c:pt idx="133">
                  <c:v>0</c:v>
                </c:pt>
                <c:pt idx="134">
                  <c:v>0.62001894586452155</c:v>
                </c:pt>
                <c:pt idx="135">
                  <c:v>0</c:v>
                </c:pt>
                <c:pt idx="136">
                  <c:v>0</c:v>
                </c:pt>
                <c:pt idx="137">
                  <c:v>0.66583066745348951</c:v>
                </c:pt>
                <c:pt idx="138">
                  <c:v>0</c:v>
                </c:pt>
                <c:pt idx="139">
                  <c:v>0</c:v>
                </c:pt>
                <c:pt idx="140">
                  <c:v>0.75177811597353794</c:v>
                </c:pt>
                <c:pt idx="141">
                  <c:v>0</c:v>
                </c:pt>
                <c:pt idx="142">
                  <c:v>0.86241730596018262</c:v>
                </c:pt>
                <c:pt idx="143">
                  <c:v>0</c:v>
                </c:pt>
                <c:pt idx="144">
                  <c:v>0</c:v>
                </c:pt>
                <c:pt idx="145">
                  <c:v>0.89268410100319906</c:v>
                </c:pt>
                <c:pt idx="146">
                  <c:v>0</c:v>
                </c:pt>
                <c:pt idx="147">
                  <c:v>0.8931538652669504</c:v>
                </c:pt>
                <c:pt idx="148">
                  <c:v>0</c:v>
                </c:pt>
                <c:pt idx="149">
                  <c:v>0</c:v>
                </c:pt>
                <c:pt idx="150">
                  <c:v>0.87989952480044731</c:v>
                </c:pt>
                <c:pt idx="151">
                  <c:v>0</c:v>
                </c:pt>
                <c:pt idx="152">
                  <c:v>0.84395673509954339</c:v>
                </c:pt>
                <c:pt idx="153">
                  <c:v>0</c:v>
                </c:pt>
                <c:pt idx="154">
                  <c:v>0</c:v>
                </c:pt>
                <c:pt idx="155">
                  <c:v>0.84344038264434584</c:v>
                </c:pt>
                <c:pt idx="156">
                  <c:v>0</c:v>
                </c:pt>
                <c:pt idx="157">
                  <c:v>0</c:v>
                </c:pt>
                <c:pt idx="158">
                  <c:v>0.85701307575239927</c:v>
                </c:pt>
                <c:pt idx="159">
                  <c:v>0</c:v>
                </c:pt>
                <c:pt idx="160">
                  <c:v>0.87490682361710714</c:v>
                </c:pt>
                <c:pt idx="161">
                  <c:v>0</c:v>
                </c:pt>
                <c:pt idx="162">
                  <c:v>0</c:v>
                </c:pt>
                <c:pt idx="163">
                  <c:v>0.97812684411591133</c:v>
                </c:pt>
                <c:pt idx="164">
                  <c:v>0</c:v>
                </c:pt>
                <c:pt idx="165">
                  <c:v>1</c:v>
                </c:pt>
                <c:pt idx="166">
                  <c:v>0</c:v>
                </c:pt>
                <c:pt idx="167">
                  <c:v>0</c:v>
                </c:pt>
                <c:pt idx="168">
                  <c:v>0.97207814392645275</c:v>
                </c:pt>
                <c:pt idx="169">
                  <c:v>0</c:v>
                </c:pt>
                <c:pt idx="170">
                  <c:v>0</c:v>
                </c:pt>
                <c:pt idx="171">
                  <c:v>0.96232956486629184</c:v>
                </c:pt>
                <c:pt idx="172">
                  <c:v>0</c:v>
                </c:pt>
                <c:pt idx="173">
                  <c:v>0.88302093362735656</c:v>
                </c:pt>
                <c:pt idx="174">
                  <c:v>0</c:v>
                </c:pt>
                <c:pt idx="175">
                  <c:v>0</c:v>
                </c:pt>
                <c:pt idx="176">
                  <c:v>0.8680428300773364</c:v>
                </c:pt>
                <c:pt idx="177">
                  <c:v>0</c:v>
                </c:pt>
                <c:pt idx="178">
                  <c:v>0.76766080690747585</c:v>
                </c:pt>
                <c:pt idx="179">
                  <c:v>0</c:v>
                </c:pt>
                <c:pt idx="180">
                  <c:v>0</c:v>
                </c:pt>
                <c:pt idx="181">
                  <c:v>0.69099993788241143</c:v>
                </c:pt>
                <c:pt idx="182">
                  <c:v>0</c:v>
                </c:pt>
                <c:pt idx="183">
                  <c:v>0.61857859427897011</c:v>
                </c:pt>
                <c:pt idx="184">
                  <c:v>0</c:v>
                </c:pt>
                <c:pt idx="185">
                  <c:v>0</c:v>
                </c:pt>
                <c:pt idx="186">
                  <c:v>0.61179224772494334</c:v>
                </c:pt>
                <c:pt idx="187">
                  <c:v>0</c:v>
                </c:pt>
                <c:pt idx="188">
                  <c:v>0</c:v>
                </c:pt>
                <c:pt idx="189">
                  <c:v>0.54018619747181418</c:v>
                </c:pt>
                <c:pt idx="190">
                  <c:v>0</c:v>
                </c:pt>
                <c:pt idx="191">
                  <c:v>0.54079184396061752</c:v>
                </c:pt>
                <c:pt idx="192">
                  <c:v>0</c:v>
                </c:pt>
                <c:pt idx="193">
                  <c:v>0</c:v>
                </c:pt>
                <c:pt idx="194">
                  <c:v>0.40332562039941611</c:v>
                </c:pt>
                <c:pt idx="195">
                  <c:v>0</c:v>
                </c:pt>
                <c:pt idx="196">
                  <c:v>0.3752845762027518</c:v>
                </c:pt>
                <c:pt idx="197">
                  <c:v>0</c:v>
                </c:pt>
                <c:pt idx="198">
                  <c:v>0</c:v>
                </c:pt>
                <c:pt idx="199">
                  <c:v>0.27148725036494087</c:v>
                </c:pt>
                <c:pt idx="200">
                  <c:v>0</c:v>
                </c:pt>
                <c:pt idx="201">
                  <c:v>0.18921677485480015</c:v>
                </c:pt>
                <c:pt idx="202">
                  <c:v>0</c:v>
                </c:pt>
                <c:pt idx="203">
                  <c:v>0</c:v>
                </c:pt>
                <c:pt idx="204">
                  <c:v>0.13296347485790602</c:v>
                </c:pt>
                <c:pt idx="205">
                  <c:v>0</c:v>
                </c:pt>
                <c:pt idx="206">
                  <c:v>0</c:v>
                </c:pt>
                <c:pt idx="207">
                  <c:v>8.7877752585644633E-2</c:v>
                </c:pt>
                <c:pt idx="208">
                  <c:v>0</c:v>
                </c:pt>
                <c:pt idx="209">
                  <c:v>5.630765288691493E-2</c:v>
                </c:pt>
                <c:pt idx="210">
                  <c:v>0</c:v>
                </c:pt>
                <c:pt idx="211">
                  <c:v>0</c:v>
                </c:pt>
                <c:pt idx="212">
                  <c:v>2.1109070720874614E-2</c:v>
                </c:pt>
                <c:pt idx="213">
                  <c:v>0</c:v>
                </c:pt>
                <c:pt idx="214">
                  <c:v>4.6470944497934586E-3</c:v>
                </c:pt>
                <c:pt idx="215">
                  <c:v>0</c:v>
                </c:pt>
                <c:pt idx="216">
                  <c:v>0</c:v>
                </c:pt>
                <c:pt idx="217">
                  <c:v>4.2140183868062247E-4</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4.3857225812598218E-2</c:v>
                </c:pt>
                <c:pt idx="4">
                  <c:v>0</c:v>
                </c:pt>
                <c:pt idx="5">
                  <c:v>0</c:v>
                </c:pt>
                <c:pt idx="6">
                  <c:v>0.15822622235617018</c:v>
                </c:pt>
                <c:pt idx="7">
                  <c:v>0</c:v>
                </c:pt>
                <c:pt idx="8">
                  <c:v>0.2283683865347417</c:v>
                </c:pt>
                <c:pt idx="9">
                  <c:v>0</c:v>
                </c:pt>
                <c:pt idx="10">
                  <c:v>0</c:v>
                </c:pt>
                <c:pt idx="11">
                  <c:v>0.32143837108500112</c:v>
                </c:pt>
                <c:pt idx="12">
                  <c:v>0</c:v>
                </c:pt>
                <c:pt idx="13">
                  <c:v>0.45256810197267416</c:v>
                </c:pt>
                <c:pt idx="14">
                  <c:v>0</c:v>
                </c:pt>
                <c:pt idx="15">
                  <c:v>0</c:v>
                </c:pt>
                <c:pt idx="16">
                  <c:v>0.59506678555229431</c:v>
                </c:pt>
                <c:pt idx="17">
                  <c:v>0</c:v>
                </c:pt>
                <c:pt idx="18">
                  <c:v>0</c:v>
                </c:pt>
                <c:pt idx="19">
                  <c:v>0.7784588694533755</c:v>
                </c:pt>
                <c:pt idx="20">
                  <c:v>0</c:v>
                </c:pt>
                <c:pt idx="21">
                  <c:v>0.90398664805186379</c:v>
                </c:pt>
                <c:pt idx="22">
                  <c:v>0</c:v>
                </c:pt>
                <c:pt idx="23">
                  <c:v>0</c:v>
                </c:pt>
                <c:pt idx="24">
                  <c:v>0.98326867627375281</c:v>
                </c:pt>
                <c:pt idx="25">
                  <c:v>0</c:v>
                </c:pt>
                <c:pt idx="26">
                  <c:v>0.98809531294061448</c:v>
                </c:pt>
                <c:pt idx="27">
                  <c:v>0</c:v>
                </c:pt>
                <c:pt idx="28">
                  <c:v>0</c:v>
                </c:pt>
                <c:pt idx="29">
                  <c:v>0.99066677942048986</c:v>
                </c:pt>
                <c:pt idx="30">
                  <c:v>0</c:v>
                </c:pt>
                <c:pt idx="31">
                  <c:v>0.99527067142708536</c:v>
                </c:pt>
                <c:pt idx="32">
                  <c:v>0</c:v>
                </c:pt>
                <c:pt idx="33">
                  <c:v>0</c:v>
                </c:pt>
                <c:pt idx="34">
                  <c:v>1</c:v>
                </c:pt>
                <c:pt idx="35">
                  <c:v>0</c:v>
                </c:pt>
                <c:pt idx="36">
                  <c:v>0</c:v>
                </c:pt>
                <c:pt idx="37">
                  <c:v>0.97911922611228286</c:v>
                </c:pt>
                <c:pt idx="38">
                  <c:v>0</c:v>
                </c:pt>
                <c:pt idx="39">
                  <c:v>0.95356110677812178</c:v>
                </c:pt>
                <c:pt idx="40">
                  <c:v>0</c:v>
                </c:pt>
                <c:pt idx="41">
                  <c:v>0</c:v>
                </c:pt>
                <c:pt idx="42">
                  <c:v>0.95057699189707678</c:v>
                </c:pt>
                <c:pt idx="43">
                  <c:v>0</c:v>
                </c:pt>
                <c:pt idx="44">
                  <c:v>0.93929286325096284</c:v>
                </c:pt>
                <c:pt idx="45">
                  <c:v>0</c:v>
                </c:pt>
                <c:pt idx="46">
                  <c:v>0</c:v>
                </c:pt>
                <c:pt idx="47">
                  <c:v>0.91321699332678141</c:v>
                </c:pt>
                <c:pt idx="48">
                  <c:v>0</c:v>
                </c:pt>
                <c:pt idx="49">
                  <c:v>0.86796488320492549</c:v>
                </c:pt>
                <c:pt idx="50">
                  <c:v>0</c:v>
                </c:pt>
                <c:pt idx="51">
                  <c:v>0</c:v>
                </c:pt>
                <c:pt idx="52">
                  <c:v>0.8400137855382469</c:v>
                </c:pt>
                <c:pt idx="53">
                  <c:v>0</c:v>
                </c:pt>
                <c:pt idx="54">
                  <c:v>0</c:v>
                </c:pt>
                <c:pt idx="55">
                  <c:v>0.82087720187539193</c:v>
                </c:pt>
                <c:pt idx="56">
                  <c:v>0</c:v>
                </c:pt>
                <c:pt idx="57">
                  <c:v>0.79963809081924575</c:v>
                </c:pt>
                <c:pt idx="58">
                  <c:v>0</c:v>
                </c:pt>
                <c:pt idx="59">
                  <c:v>0</c:v>
                </c:pt>
                <c:pt idx="60">
                  <c:v>0.77305809028906725</c:v>
                </c:pt>
                <c:pt idx="61">
                  <c:v>0</c:v>
                </c:pt>
                <c:pt idx="62">
                  <c:v>0.74654254568658307</c:v>
                </c:pt>
                <c:pt idx="63">
                  <c:v>0</c:v>
                </c:pt>
                <c:pt idx="64">
                  <c:v>0</c:v>
                </c:pt>
                <c:pt idx="65">
                  <c:v>0.72841075919354259</c:v>
                </c:pt>
                <c:pt idx="66">
                  <c:v>0</c:v>
                </c:pt>
                <c:pt idx="67">
                  <c:v>0.70927975398822318</c:v>
                </c:pt>
                <c:pt idx="68">
                  <c:v>0</c:v>
                </c:pt>
                <c:pt idx="69">
                  <c:v>0</c:v>
                </c:pt>
                <c:pt idx="70">
                  <c:v>0.69190075559644981</c:v>
                </c:pt>
                <c:pt idx="71">
                  <c:v>0</c:v>
                </c:pt>
                <c:pt idx="72">
                  <c:v>0</c:v>
                </c:pt>
                <c:pt idx="73">
                  <c:v>0.688175189479452</c:v>
                </c:pt>
                <c:pt idx="74">
                  <c:v>0</c:v>
                </c:pt>
                <c:pt idx="75">
                  <c:v>0.70302558328987441</c:v>
                </c:pt>
                <c:pt idx="76">
                  <c:v>0</c:v>
                </c:pt>
                <c:pt idx="77">
                  <c:v>0</c:v>
                </c:pt>
                <c:pt idx="78">
                  <c:v>0.72384085528910935</c:v>
                </c:pt>
                <c:pt idx="79">
                  <c:v>0</c:v>
                </c:pt>
                <c:pt idx="80">
                  <c:v>0.74121409527310411</c:v>
                </c:pt>
                <c:pt idx="81">
                  <c:v>0</c:v>
                </c:pt>
                <c:pt idx="82">
                  <c:v>0</c:v>
                </c:pt>
                <c:pt idx="83">
                  <c:v>0.75163929891520254</c:v>
                </c:pt>
                <c:pt idx="84">
                  <c:v>0</c:v>
                </c:pt>
                <c:pt idx="85">
                  <c:v>0</c:v>
                </c:pt>
                <c:pt idx="86">
                  <c:v>0.74816343625426285</c:v>
                </c:pt>
                <c:pt idx="87">
                  <c:v>0</c:v>
                </c:pt>
                <c:pt idx="88">
                  <c:v>0.73899075378536305</c:v>
                </c:pt>
                <c:pt idx="89">
                  <c:v>0</c:v>
                </c:pt>
                <c:pt idx="90">
                  <c:v>0</c:v>
                </c:pt>
                <c:pt idx="91">
                  <c:v>0.72029608293195901</c:v>
                </c:pt>
                <c:pt idx="92">
                  <c:v>0</c:v>
                </c:pt>
                <c:pt idx="93">
                  <c:v>0.70223546676005788</c:v>
                </c:pt>
                <c:pt idx="94">
                  <c:v>0</c:v>
                </c:pt>
                <c:pt idx="95">
                  <c:v>0</c:v>
                </c:pt>
                <c:pt idx="96">
                  <c:v>0.68166663661872506</c:v>
                </c:pt>
                <c:pt idx="97">
                  <c:v>0</c:v>
                </c:pt>
                <c:pt idx="98">
                  <c:v>0.65994491025752045</c:v>
                </c:pt>
                <c:pt idx="99">
                  <c:v>0</c:v>
                </c:pt>
                <c:pt idx="100">
                  <c:v>0</c:v>
                </c:pt>
                <c:pt idx="101">
                  <c:v>0.63542556494844593</c:v>
                </c:pt>
                <c:pt idx="102">
                  <c:v>0</c:v>
                </c:pt>
                <c:pt idx="103">
                  <c:v>0</c:v>
                </c:pt>
                <c:pt idx="104">
                  <c:v>0.61758539907121157</c:v>
                </c:pt>
                <c:pt idx="105">
                  <c:v>0</c:v>
                </c:pt>
                <c:pt idx="106">
                  <c:v>0.60179229092483821</c:v>
                </c:pt>
                <c:pt idx="107">
                  <c:v>0</c:v>
                </c:pt>
                <c:pt idx="108">
                  <c:v>0</c:v>
                </c:pt>
                <c:pt idx="109">
                  <c:v>0.59154461944443126</c:v>
                </c:pt>
                <c:pt idx="110">
                  <c:v>0</c:v>
                </c:pt>
                <c:pt idx="111">
                  <c:v>0.58574368717395764</c:v>
                </c:pt>
                <c:pt idx="112">
                  <c:v>0</c:v>
                </c:pt>
                <c:pt idx="113">
                  <c:v>0</c:v>
                </c:pt>
                <c:pt idx="114">
                  <c:v>0.57857957557767936</c:v>
                </c:pt>
                <c:pt idx="115">
                  <c:v>0</c:v>
                </c:pt>
                <c:pt idx="116">
                  <c:v>0.5698262334096138</c:v>
                </c:pt>
                <c:pt idx="117">
                  <c:v>0</c:v>
                </c:pt>
                <c:pt idx="118">
                  <c:v>0</c:v>
                </c:pt>
                <c:pt idx="119">
                  <c:v>0.56030761909216753</c:v>
                </c:pt>
                <c:pt idx="120">
                  <c:v>0</c:v>
                </c:pt>
                <c:pt idx="121">
                  <c:v>0</c:v>
                </c:pt>
                <c:pt idx="122">
                  <c:v>0.55189112128537288</c:v>
                </c:pt>
                <c:pt idx="123">
                  <c:v>0</c:v>
                </c:pt>
                <c:pt idx="124">
                  <c:v>0.5400801770557434</c:v>
                </c:pt>
                <c:pt idx="125">
                  <c:v>0</c:v>
                </c:pt>
                <c:pt idx="126">
                  <c:v>0</c:v>
                </c:pt>
                <c:pt idx="127">
                  <c:v>0.52496978888473667</c:v>
                </c:pt>
                <c:pt idx="128">
                  <c:v>0</c:v>
                </c:pt>
                <c:pt idx="129">
                  <c:v>0.50966727008856827</c:v>
                </c:pt>
                <c:pt idx="130">
                  <c:v>0</c:v>
                </c:pt>
                <c:pt idx="131">
                  <c:v>0</c:v>
                </c:pt>
                <c:pt idx="132">
                  <c:v>0.49297661511725777</c:v>
                </c:pt>
                <c:pt idx="133">
                  <c:v>0</c:v>
                </c:pt>
                <c:pt idx="134">
                  <c:v>0.47004654536753132</c:v>
                </c:pt>
                <c:pt idx="135">
                  <c:v>0</c:v>
                </c:pt>
                <c:pt idx="136">
                  <c:v>0</c:v>
                </c:pt>
                <c:pt idx="137">
                  <c:v>0.43831672878080435</c:v>
                </c:pt>
                <c:pt idx="138">
                  <c:v>0</c:v>
                </c:pt>
                <c:pt idx="139">
                  <c:v>0</c:v>
                </c:pt>
                <c:pt idx="140">
                  <c:v>0.40678249561452823</c:v>
                </c:pt>
                <c:pt idx="141">
                  <c:v>0</c:v>
                </c:pt>
                <c:pt idx="142">
                  <c:v>0.37337754470872231</c:v>
                </c:pt>
                <c:pt idx="143">
                  <c:v>0</c:v>
                </c:pt>
                <c:pt idx="144">
                  <c:v>0</c:v>
                </c:pt>
                <c:pt idx="145">
                  <c:v>0.33738297484226998</c:v>
                </c:pt>
                <c:pt idx="146">
                  <c:v>0</c:v>
                </c:pt>
                <c:pt idx="147">
                  <c:v>0.30569725731198855</c:v>
                </c:pt>
                <c:pt idx="148">
                  <c:v>0</c:v>
                </c:pt>
                <c:pt idx="149">
                  <c:v>0</c:v>
                </c:pt>
                <c:pt idx="150">
                  <c:v>0.27529786910682497</c:v>
                </c:pt>
                <c:pt idx="151">
                  <c:v>0</c:v>
                </c:pt>
                <c:pt idx="152">
                  <c:v>0.24867155388283307</c:v>
                </c:pt>
                <c:pt idx="153">
                  <c:v>0</c:v>
                </c:pt>
                <c:pt idx="154">
                  <c:v>0</c:v>
                </c:pt>
                <c:pt idx="155">
                  <c:v>0.2237125226485657</c:v>
                </c:pt>
                <c:pt idx="156">
                  <c:v>0</c:v>
                </c:pt>
                <c:pt idx="157">
                  <c:v>0</c:v>
                </c:pt>
                <c:pt idx="158">
                  <c:v>0.19923047202737018</c:v>
                </c:pt>
                <c:pt idx="159">
                  <c:v>0</c:v>
                </c:pt>
                <c:pt idx="160">
                  <c:v>0.17493039608949226</c:v>
                </c:pt>
                <c:pt idx="161">
                  <c:v>0</c:v>
                </c:pt>
                <c:pt idx="162">
                  <c:v>0</c:v>
                </c:pt>
                <c:pt idx="163">
                  <c:v>0.15120907387403981</c:v>
                </c:pt>
                <c:pt idx="164">
                  <c:v>0</c:v>
                </c:pt>
                <c:pt idx="165">
                  <c:v>0.12853443224747946</c:v>
                </c:pt>
                <c:pt idx="166">
                  <c:v>0</c:v>
                </c:pt>
                <c:pt idx="167">
                  <c:v>0</c:v>
                </c:pt>
                <c:pt idx="168">
                  <c:v>0.10819395896461893</c:v>
                </c:pt>
                <c:pt idx="169">
                  <c:v>0</c:v>
                </c:pt>
                <c:pt idx="170">
                  <c:v>8.962019218078629E-2</c:v>
                </c:pt>
                <c:pt idx="171">
                  <c:v>0</c:v>
                </c:pt>
                <c:pt idx="172">
                  <c:v>0</c:v>
                </c:pt>
                <c:pt idx="173">
                  <c:v>7.337945780474403E-2</c:v>
                </c:pt>
                <c:pt idx="174">
                  <c:v>0</c:v>
                </c:pt>
                <c:pt idx="175">
                  <c:v>0</c:v>
                </c:pt>
                <c:pt idx="176">
                  <c:v>5.8933704609674037E-2</c:v>
                </c:pt>
                <c:pt idx="177">
                  <c:v>0</c:v>
                </c:pt>
                <c:pt idx="178">
                  <c:v>4.6195892912375129E-2</c:v>
                </c:pt>
                <c:pt idx="179">
                  <c:v>0</c:v>
                </c:pt>
                <c:pt idx="180">
                  <c:v>0</c:v>
                </c:pt>
                <c:pt idx="181">
                  <c:v>3.5554861447479047E-2</c:v>
                </c:pt>
                <c:pt idx="182">
                  <c:v>0</c:v>
                </c:pt>
                <c:pt idx="183">
                  <c:v>2.6178688994322987E-2</c:v>
                </c:pt>
                <c:pt idx="184">
                  <c:v>0</c:v>
                </c:pt>
                <c:pt idx="185">
                  <c:v>0</c:v>
                </c:pt>
                <c:pt idx="186">
                  <c:v>1.8703747093789514E-2</c:v>
                </c:pt>
                <c:pt idx="187">
                  <c:v>0</c:v>
                </c:pt>
                <c:pt idx="188">
                  <c:v>0</c:v>
                </c:pt>
                <c:pt idx="189">
                  <c:v>1.2927704191312213E-2</c:v>
                </c:pt>
                <c:pt idx="190">
                  <c:v>0</c:v>
                </c:pt>
                <c:pt idx="191">
                  <c:v>8.4832031125273745E-3</c:v>
                </c:pt>
                <c:pt idx="192">
                  <c:v>0</c:v>
                </c:pt>
                <c:pt idx="193">
                  <c:v>0</c:v>
                </c:pt>
                <c:pt idx="194">
                  <c:v>5.3295526087178673E-3</c:v>
                </c:pt>
                <c:pt idx="195">
                  <c:v>0</c:v>
                </c:pt>
                <c:pt idx="196">
                  <c:v>3.6600417347351895E-3</c:v>
                </c:pt>
                <c:pt idx="197">
                  <c:v>0</c:v>
                </c:pt>
                <c:pt idx="198">
                  <c:v>0</c:v>
                </c:pt>
                <c:pt idx="199">
                  <c:v>2.2143327286967677E-3</c:v>
                </c:pt>
                <c:pt idx="200">
                  <c:v>0</c:v>
                </c:pt>
                <c:pt idx="201">
                  <c:v>1.4197061959129319E-3</c:v>
                </c:pt>
                <c:pt idx="202">
                  <c:v>0</c:v>
                </c:pt>
                <c:pt idx="203">
                  <c:v>0</c:v>
                </c:pt>
                <c:pt idx="204">
                  <c:v>7.8106278321145653E-4</c:v>
                </c:pt>
                <c:pt idx="205">
                  <c:v>0</c:v>
                </c:pt>
                <c:pt idx="206">
                  <c:v>0</c:v>
                </c:pt>
                <c:pt idx="207">
                  <c:v>3.8205685984553947E-4</c:v>
                </c:pt>
                <c:pt idx="208">
                  <c:v>0</c:v>
                </c:pt>
                <c:pt idx="209">
                  <c:v>1.9781030470895932E-4</c:v>
                </c:pt>
                <c:pt idx="210">
                  <c:v>0</c:v>
                </c:pt>
                <c:pt idx="211">
                  <c:v>0</c:v>
                </c:pt>
                <c:pt idx="212">
                  <c:v>6.6694058842627299E-5</c:v>
                </c:pt>
                <c:pt idx="213">
                  <c:v>0</c:v>
                </c:pt>
                <c:pt idx="214">
                  <c:v>1.2439060553110588E-5</c:v>
                </c:pt>
                <c:pt idx="215">
                  <c:v>0</c:v>
                </c:pt>
                <c:pt idx="216">
                  <c:v>0</c:v>
                </c:pt>
                <c:pt idx="217">
                  <c:v>1.1359359094612744E-6</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(75.5 , 92.6)
흥겨운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75.521038476479447</c:v>
                </c:pt>
              </c:numCache>
            </c:numRef>
          </c:xVal>
          <c:yVal>
            <c:numRef>
              <c:f>info!$W$20:$W$21</c:f>
              <c:numCache>
                <c:formatCode>General</c:formatCode>
                <c:ptCount val="2"/>
                <c:pt idx="0">
                  <c:v>50</c:v>
                </c:pt>
                <c:pt idx="1">
                  <c:v>92.559860459211379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46.1128</c:v>
                      </c:pt>
                    </c:numCache>
                  </c:numRef>
                </c:xVal>
                <c:yVal>
                  <c:numRef>
                    <c:extLst>
                      <c:ext uri="{02D57815-91ED-43cb-92C2-25804820EDAC}">
                        <c15:formulaRef>
                          <c15:sqref>info!$W$18</c15:sqref>
                        </c15:formulaRef>
                      </c:ext>
                    </c:extLst>
                    <c:numCache>
                      <c:formatCode>General</c:formatCode>
                      <c:ptCount val="1"/>
                      <c:pt idx="0">
                        <c:v>73.689899999999994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(75.5 , 92.6)
흥겨운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75.521038476479447</c:v>
                </c:pt>
              </c:numCache>
            </c:numRef>
          </c:xVal>
          <c:yVal>
            <c:numRef>
              <c:f>info!$W$20:$W$21</c:f>
              <c:numCache>
                <c:formatCode>General</c:formatCode>
                <c:ptCount val="2"/>
                <c:pt idx="0">
                  <c:v>50</c:v>
                </c:pt>
                <c:pt idx="1">
                  <c:v>92.559860459211379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54.923099999999998</c:v>
                </c:pt>
                <c:pt idx="1">
                  <c:v>16.184699999999999</c:v>
                </c:pt>
                <c:pt idx="2">
                  <c:v>12.237500000000001</c:v>
                </c:pt>
                <c:pt idx="3">
                  <c:v>32.810899999999997</c:v>
                </c:pt>
                <c:pt idx="4">
                  <c:v>65.636700000000005</c:v>
                </c:pt>
                <c:pt idx="5">
                  <c:v>75.194699999999997</c:v>
                </c:pt>
                <c:pt idx="6">
                  <c:v>45.9833</c:v>
                </c:pt>
                <c:pt idx="7">
                  <c:v>70.585599999999999</c:v>
                </c:pt>
                <c:pt idx="8">
                  <c:v>31.0443</c:v>
                </c:pt>
                <c:pt idx="9">
                  <c:v>46.481699999999996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0.48693938898069172</c:v>
                </c:pt>
                <c:pt idx="1">
                  <c:v>0.21973956150913193</c:v>
                </c:pt>
                <c:pt idx="2">
                  <c:v>0.29332104951017618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2.8093378265055751E-4</c:v>
                </c:pt>
                <c:pt idx="7">
                  <c:v>0</c:v>
                </c:pt>
                <c:pt idx="8">
                  <c:v>4.682229710842625E-4</c:v>
                </c:pt>
                <c:pt idx="9">
                  <c:v>0</c:v>
                </c:pt>
                <c:pt idx="10">
                  <c:v>0</c:v>
                </c:pt>
                <c:pt idx="11">
                  <c:v>2.4581715687796999E-4</c:v>
                </c:pt>
                <c:pt idx="12">
                  <c:v>0</c:v>
                </c:pt>
                <c:pt idx="13">
                  <c:v>2.9576086281330556E-3</c:v>
                </c:pt>
                <c:pt idx="14">
                  <c:v>0</c:v>
                </c:pt>
                <c:pt idx="15">
                  <c:v>0</c:v>
                </c:pt>
                <c:pt idx="16">
                  <c:v>2.0445732521663512E-3</c:v>
                </c:pt>
                <c:pt idx="17">
                  <c:v>0</c:v>
                </c:pt>
                <c:pt idx="18">
                  <c:v>0</c:v>
                </c:pt>
                <c:pt idx="19">
                  <c:v>9.4815122526943499E-4</c:v>
                </c:pt>
                <c:pt idx="20">
                  <c:v>0</c:v>
                </c:pt>
                <c:pt idx="21">
                  <c:v>2.867864242010125E-3</c:v>
                </c:pt>
                <c:pt idx="22">
                  <c:v>0</c:v>
                </c:pt>
                <c:pt idx="23">
                  <c:v>0</c:v>
                </c:pt>
                <c:pt idx="24">
                  <c:v>4.0189303351243905E-3</c:v>
                </c:pt>
                <c:pt idx="25">
                  <c:v>0</c:v>
                </c:pt>
                <c:pt idx="26">
                  <c:v>7.3589154269031272E-3</c:v>
                </c:pt>
                <c:pt idx="27">
                  <c:v>0</c:v>
                </c:pt>
                <c:pt idx="28">
                  <c:v>0</c:v>
                </c:pt>
                <c:pt idx="29">
                  <c:v>1.5349916141255396E-2</c:v>
                </c:pt>
                <c:pt idx="30">
                  <c:v>0</c:v>
                </c:pt>
                <c:pt idx="31">
                  <c:v>1.6688239587539212E-2</c:v>
                </c:pt>
                <c:pt idx="32">
                  <c:v>0</c:v>
                </c:pt>
                <c:pt idx="33">
                  <c:v>0</c:v>
                </c:pt>
                <c:pt idx="34">
                  <c:v>2.6821365344597323E-2</c:v>
                </c:pt>
                <c:pt idx="35">
                  <c:v>0</c:v>
                </c:pt>
                <c:pt idx="36">
                  <c:v>0</c:v>
                </c:pt>
                <c:pt idx="37">
                  <c:v>3.4488539304904184E-2</c:v>
                </c:pt>
                <c:pt idx="38">
                  <c:v>0</c:v>
                </c:pt>
                <c:pt idx="39">
                  <c:v>4.8624871882473518E-2</c:v>
                </c:pt>
                <c:pt idx="40">
                  <c:v>0</c:v>
                </c:pt>
                <c:pt idx="41">
                  <c:v>0</c:v>
                </c:pt>
                <c:pt idx="42">
                  <c:v>6.9835310743236942E-2</c:v>
                </c:pt>
                <c:pt idx="43">
                  <c:v>0</c:v>
                </c:pt>
                <c:pt idx="44">
                  <c:v>6.2886293754076464E-2</c:v>
                </c:pt>
                <c:pt idx="45">
                  <c:v>0</c:v>
                </c:pt>
                <c:pt idx="46">
                  <c:v>0</c:v>
                </c:pt>
                <c:pt idx="47">
                  <c:v>8.3296968661676546E-2</c:v>
                </c:pt>
                <c:pt idx="48">
                  <c:v>0</c:v>
                </c:pt>
                <c:pt idx="49">
                  <c:v>9.0370997297884892E-2</c:v>
                </c:pt>
                <c:pt idx="50">
                  <c:v>0</c:v>
                </c:pt>
                <c:pt idx="51">
                  <c:v>0</c:v>
                </c:pt>
                <c:pt idx="52">
                  <c:v>8.5033155262912691E-2</c:v>
                </c:pt>
                <c:pt idx="53">
                  <c:v>0</c:v>
                </c:pt>
                <c:pt idx="54">
                  <c:v>0</c:v>
                </c:pt>
                <c:pt idx="55">
                  <c:v>9.0745644004099763E-2</c:v>
                </c:pt>
                <c:pt idx="56">
                  <c:v>0</c:v>
                </c:pt>
                <c:pt idx="57">
                  <c:v>8.0140230456253694E-2</c:v>
                </c:pt>
                <c:pt idx="58">
                  <c:v>0</c:v>
                </c:pt>
                <c:pt idx="59">
                  <c:v>0</c:v>
                </c:pt>
                <c:pt idx="60">
                  <c:v>8.200919340311208E-2</c:v>
                </c:pt>
                <c:pt idx="61">
                  <c:v>0</c:v>
                </c:pt>
                <c:pt idx="62">
                  <c:v>8.5739354598254491E-2</c:v>
                </c:pt>
                <c:pt idx="63">
                  <c:v>0</c:v>
                </c:pt>
                <c:pt idx="64">
                  <c:v>0</c:v>
                </c:pt>
                <c:pt idx="65">
                  <c:v>8.3285321613814953E-2</c:v>
                </c:pt>
                <c:pt idx="66">
                  <c:v>0</c:v>
                </c:pt>
                <c:pt idx="67">
                  <c:v>7.9156831381805751E-2</c:v>
                </c:pt>
                <c:pt idx="68">
                  <c:v>0</c:v>
                </c:pt>
                <c:pt idx="69">
                  <c:v>0</c:v>
                </c:pt>
                <c:pt idx="70">
                  <c:v>7.0826474516259272E-2</c:v>
                </c:pt>
                <c:pt idx="71">
                  <c:v>0</c:v>
                </c:pt>
                <c:pt idx="72">
                  <c:v>0</c:v>
                </c:pt>
                <c:pt idx="73">
                  <c:v>7.1021756685405474E-2</c:v>
                </c:pt>
                <c:pt idx="74">
                  <c:v>0</c:v>
                </c:pt>
                <c:pt idx="75">
                  <c:v>6.9039429139360814E-2</c:v>
                </c:pt>
                <c:pt idx="76">
                  <c:v>0</c:v>
                </c:pt>
                <c:pt idx="77">
                  <c:v>0</c:v>
                </c:pt>
                <c:pt idx="78">
                  <c:v>7.126750939528527E-2</c:v>
                </c:pt>
                <c:pt idx="79">
                  <c:v>0</c:v>
                </c:pt>
                <c:pt idx="80">
                  <c:v>6.7182113240364008E-2</c:v>
                </c:pt>
                <c:pt idx="81">
                  <c:v>0</c:v>
                </c:pt>
                <c:pt idx="82">
                  <c:v>0</c:v>
                </c:pt>
                <c:pt idx="83">
                  <c:v>5.5289312668882193E-2</c:v>
                </c:pt>
                <c:pt idx="84">
                  <c:v>0</c:v>
                </c:pt>
                <c:pt idx="85">
                  <c:v>0</c:v>
                </c:pt>
                <c:pt idx="86">
                  <c:v>5.3279808677827126E-2</c:v>
                </c:pt>
                <c:pt idx="87">
                  <c:v>0</c:v>
                </c:pt>
                <c:pt idx="88">
                  <c:v>7.2281967264030814E-2</c:v>
                </c:pt>
                <c:pt idx="89">
                  <c:v>0</c:v>
                </c:pt>
                <c:pt idx="90">
                  <c:v>0</c:v>
                </c:pt>
                <c:pt idx="91">
                  <c:v>7.4642435630648818E-2</c:v>
                </c:pt>
                <c:pt idx="92">
                  <c:v>0</c:v>
                </c:pt>
                <c:pt idx="93">
                  <c:v>7.7690079821101349E-2</c:v>
                </c:pt>
                <c:pt idx="94">
                  <c:v>0</c:v>
                </c:pt>
                <c:pt idx="95">
                  <c:v>0</c:v>
                </c:pt>
                <c:pt idx="96">
                  <c:v>8.6668012547752887E-2</c:v>
                </c:pt>
                <c:pt idx="97">
                  <c:v>0</c:v>
                </c:pt>
                <c:pt idx="98">
                  <c:v>9.1537643258688697E-2</c:v>
                </c:pt>
                <c:pt idx="99">
                  <c:v>0</c:v>
                </c:pt>
                <c:pt idx="100">
                  <c:v>0</c:v>
                </c:pt>
                <c:pt idx="101">
                  <c:v>0.1250465881914464</c:v>
                </c:pt>
                <c:pt idx="102">
                  <c:v>0</c:v>
                </c:pt>
                <c:pt idx="103">
                  <c:v>0</c:v>
                </c:pt>
                <c:pt idx="104">
                  <c:v>0.13017788924433954</c:v>
                </c:pt>
                <c:pt idx="105">
                  <c:v>0</c:v>
                </c:pt>
                <c:pt idx="106">
                  <c:v>0.15339394974687082</c:v>
                </c:pt>
                <c:pt idx="107">
                  <c:v>0</c:v>
                </c:pt>
                <c:pt idx="108">
                  <c:v>0</c:v>
                </c:pt>
                <c:pt idx="109">
                  <c:v>0.15839208621921297</c:v>
                </c:pt>
                <c:pt idx="110">
                  <c:v>0</c:v>
                </c:pt>
                <c:pt idx="111">
                  <c:v>0.19942774171506661</c:v>
                </c:pt>
                <c:pt idx="112">
                  <c:v>0</c:v>
                </c:pt>
                <c:pt idx="113">
                  <c:v>0</c:v>
                </c:pt>
                <c:pt idx="114">
                  <c:v>0.25274287977140725</c:v>
                </c:pt>
                <c:pt idx="115">
                  <c:v>0</c:v>
                </c:pt>
                <c:pt idx="116">
                  <c:v>0.3213998975059788</c:v>
                </c:pt>
                <c:pt idx="117">
                  <c:v>0</c:v>
                </c:pt>
                <c:pt idx="118">
                  <c:v>0</c:v>
                </c:pt>
                <c:pt idx="119">
                  <c:v>0.38813748175295837</c:v>
                </c:pt>
                <c:pt idx="120">
                  <c:v>0</c:v>
                </c:pt>
                <c:pt idx="121">
                  <c:v>0</c:v>
                </c:pt>
                <c:pt idx="122">
                  <c:v>0.42614606950958162</c:v>
                </c:pt>
                <c:pt idx="123">
                  <c:v>0</c:v>
                </c:pt>
                <c:pt idx="124">
                  <c:v>0.45459592508618818</c:v>
                </c:pt>
                <c:pt idx="125">
                  <c:v>0</c:v>
                </c:pt>
                <c:pt idx="126">
                  <c:v>0</c:v>
                </c:pt>
                <c:pt idx="127">
                  <c:v>0.49386588812622295</c:v>
                </c:pt>
                <c:pt idx="128">
                  <c:v>0</c:v>
                </c:pt>
                <c:pt idx="129">
                  <c:v>0.52459856508370339</c:v>
                </c:pt>
                <c:pt idx="130">
                  <c:v>0</c:v>
                </c:pt>
                <c:pt idx="131">
                  <c:v>0</c:v>
                </c:pt>
                <c:pt idx="132">
                  <c:v>0.54655713265211037</c:v>
                </c:pt>
                <c:pt idx="133">
                  <c:v>0</c:v>
                </c:pt>
                <c:pt idx="134">
                  <c:v>0.62001894586452155</c:v>
                </c:pt>
                <c:pt idx="135">
                  <c:v>0</c:v>
                </c:pt>
                <c:pt idx="136">
                  <c:v>0</c:v>
                </c:pt>
                <c:pt idx="137">
                  <c:v>0.66583066745348951</c:v>
                </c:pt>
                <c:pt idx="138">
                  <c:v>0</c:v>
                </c:pt>
                <c:pt idx="139">
                  <c:v>0</c:v>
                </c:pt>
                <c:pt idx="140">
                  <c:v>0.75177811597353794</c:v>
                </c:pt>
                <c:pt idx="141">
                  <c:v>0</c:v>
                </c:pt>
                <c:pt idx="142">
                  <c:v>0.86241730596018262</c:v>
                </c:pt>
                <c:pt idx="143">
                  <c:v>0</c:v>
                </c:pt>
                <c:pt idx="144">
                  <c:v>0</c:v>
                </c:pt>
                <c:pt idx="145">
                  <c:v>0.89268410100319906</c:v>
                </c:pt>
                <c:pt idx="146">
                  <c:v>0</c:v>
                </c:pt>
                <c:pt idx="147">
                  <c:v>0.8931538652669504</c:v>
                </c:pt>
                <c:pt idx="148">
                  <c:v>0</c:v>
                </c:pt>
                <c:pt idx="149">
                  <c:v>0</c:v>
                </c:pt>
                <c:pt idx="150">
                  <c:v>0.87989952480044731</c:v>
                </c:pt>
                <c:pt idx="151">
                  <c:v>0</c:v>
                </c:pt>
                <c:pt idx="152">
                  <c:v>0.84395673509954339</c:v>
                </c:pt>
                <c:pt idx="153">
                  <c:v>0</c:v>
                </c:pt>
                <c:pt idx="154">
                  <c:v>0</c:v>
                </c:pt>
                <c:pt idx="155">
                  <c:v>0.84344038264434584</c:v>
                </c:pt>
                <c:pt idx="156">
                  <c:v>0</c:v>
                </c:pt>
                <c:pt idx="157">
                  <c:v>0</c:v>
                </c:pt>
                <c:pt idx="158">
                  <c:v>0.85701307575239927</c:v>
                </c:pt>
                <c:pt idx="159">
                  <c:v>0</c:v>
                </c:pt>
                <c:pt idx="160">
                  <c:v>0.87490682361710714</c:v>
                </c:pt>
                <c:pt idx="161">
                  <c:v>0</c:v>
                </c:pt>
                <c:pt idx="162">
                  <c:v>0</c:v>
                </c:pt>
                <c:pt idx="163">
                  <c:v>0.97812684411591133</c:v>
                </c:pt>
                <c:pt idx="164">
                  <c:v>0</c:v>
                </c:pt>
                <c:pt idx="165">
                  <c:v>1</c:v>
                </c:pt>
                <c:pt idx="166">
                  <c:v>0</c:v>
                </c:pt>
                <c:pt idx="167">
                  <c:v>0</c:v>
                </c:pt>
                <c:pt idx="168">
                  <c:v>0.97207814392645275</c:v>
                </c:pt>
                <c:pt idx="169">
                  <c:v>0</c:v>
                </c:pt>
                <c:pt idx="170">
                  <c:v>0</c:v>
                </c:pt>
                <c:pt idx="171">
                  <c:v>0.96232956486629184</c:v>
                </c:pt>
                <c:pt idx="172">
                  <c:v>0</c:v>
                </c:pt>
                <c:pt idx="173">
                  <c:v>0.88302093362735656</c:v>
                </c:pt>
                <c:pt idx="174">
                  <c:v>0</c:v>
                </c:pt>
                <c:pt idx="175">
                  <c:v>0</c:v>
                </c:pt>
                <c:pt idx="176">
                  <c:v>0.8680428300773364</c:v>
                </c:pt>
                <c:pt idx="177">
                  <c:v>0</c:v>
                </c:pt>
                <c:pt idx="178">
                  <c:v>0.76766080690747585</c:v>
                </c:pt>
                <c:pt idx="179">
                  <c:v>0</c:v>
                </c:pt>
                <c:pt idx="180">
                  <c:v>0</c:v>
                </c:pt>
                <c:pt idx="181">
                  <c:v>0.69099993788241143</c:v>
                </c:pt>
                <c:pt idx="182">
                  <c:v>0</c:v>
                </c:pt>
                <c:pt idx="183">
                  <c:v>0.61857859427897011</c:v>
                </c:pt>
                <c:pt idx="184">
                  <c:v>0</c:v>
                </c:pt>
                <c:pt idx="185">
                  <c:v>0</c:v>
                </c:pt>
                <c:pt idx="186">
                  <c:v>0.61179224772494334</c:v>
                </c:pt>
                <c:pt idx="187">
                  <c:v>0</c:v>
                </c:pt>
                <c:pt idx="188">
                  <c:v>0</c:v>
                </c:pt>
                <c:pt idx="189">
                  <c:v>0.54018619747181418</c:v>
                </c:pt>
                <c:pt idx="190">
                  <c:v>0</c:v>
                </c:pt>
                <c:pt idx="191">
                  <c:v>0.54079184396061752</c:v>
                </c:pt>
                <c:pt idx="192">
                  <c:v>0</c:v>
                </c:pt>
                <c:pt idx="193">
                  <c:v>0</c:v>
                </c:pt>
                <c:pt idx="194">
                  <c:v>0.40332562039941611</c:v>
                </c:pt>
                <c:pt idx="195">
                  <c:v>0</c:v>
                </c:pt>
                <c:pt idx="196">
                  <c:v>0.3752845762027518</c:v>
                </c:pt>
                <c:pt idx="197">
                  <c:v>0</c:v>
                </c:pt>
                <c:pt idx="198">
                  <c:v>0</c:v>
                </c:pt>
                <c:pt idx="199">
                  <c:v>0.27148725036494087</c:v>
                </c:pt>
                <c:pt idx="200">
                  <c:v>0</c:v>
                </c:pt>
                <c:pt idx="201">
                  <c:v>0.18921677485480015</c:v>
                </c:pt>
                <c:pt idx="202">
                  <c:v>0</c:v>
                </c:pt>
                <c:pt idx="203">
                  <c:v>0</c:v>
                </c:pt>
                <c:pt idx="204">
                  <c:v>0.13296347485790602</c:v>
                </c:pt>
                <c:pt idx="205">
                  <c:v>0</c:v>
                </c:pt>
                <c:pt idx="206">
                  <c:v>0</c:v>
                </c:pt>
                <c:pt idx="207">
                  <c:v>8.7877752585644633E-2</c:v>
                </c:pt>
                <c:pt idx="208">
                  <c:v>0</c:v>
                </c:pt>
                <c:pt idx="209">
                  <c:v>5.630765288691493E-2</c:v>
                </c:pt>
                <c:pt idx="210">
                  <c:v>0</c:v>
                </c:pt>
                <c:pt idx="211">
                  <c:v>0</c:v>
                </c:pt>
                <c:pt idx="212">
                  <c:v>2.1109070720874614E-2</c:v>
                </c:pt>
                <c:pt idx="213">
                  <c:v>0</c:v>
                </c:pt>
                <c:pt idx="214">
                  <c:v>4.6470944497934586E-3</c:v>
                </c:pt>
                <c:pt idx="215">
                  <c:v>0</c:v>
                </c:pt>
                <c:pt idx="216">
                  <c:v>0</c:v>
                </c:pt>
                <c:pt idx="217">
                  <c:v>4.2140183868062247E-4</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extLst xmlns:c15="http://schemas.microsoft.com/office/drawing/2012/chart"/>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4.6520600000000005</c:v>
                </c:pt>
              </c:numCache>
            </c:numRef>
          </c:xVal>
          <c:yVal>
            <c:numRef>
              <c:f>[0]!FT_PH01</c:f>
              <c:numCache>
                <c:formatCode>0.00</c:formatCode>
                <c:ptCount val="1"/>
                <c:pt idx="0">
                  <c:v>28.202100000000002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4.6520600000000005</c:v>
                </c:pt>
              </c:numCache>
            </c:numRef>
          </c:xVal>
          <c:yVal>
            <c:numRef>
              <c:f>[0]!FT_PH02</c:f>
              <c:numCache>
                <c:formatCode>0.00</c:formatCode>
                <c:ptCount val="1"/>
                <c:pt idx="0">
                  <c:v>28.202100000000002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4.6520600000000005</c:v>
                </c:pt>
              </c:numCache>
            </c:numRef>
          </c:xVal>
          <c:yVal>
            <c:numRef>
              <c:f>[0]!FT_PH03</c:f>
              <c:numCache>
                <c:formatCode>0.00</c:formatCode>
                <c:ptCount val="1"/>
                <c:pt idx="0">
                  <c:v>28.202100000000002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4.6520600000000005</c:v>
                </c:pt>
              </c:numCache>
            </c:numRef>
          </c:xVal>
          <c:yVal>
            <c:numRef>
              <c:f>[0]!FT_PH04</c:f>
              <c:numCache>
                <c:formatCode>0.00</c:formatCode>
                <c:ptCount val="1"/>
                <c:pt idx="0">
                  <c:v>28.202100000000002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4.6520600000000005</c:v>
                </c:pt>
              </c:numCache>
            </c:numRef>
          </c:xVal>
          <c:yVal>
            <c:numRef>
              <c:f>[0]!FT_PH05</c:f>
              <c:numCache>
                <c:formatCode>0.00</c:formatCode>
                <c:ptCount val="1"/>
                <c:pt idx="0">
                  <c:v>28.202100000000002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4.6520600000000005</c:v>
                </c:pt>
              </c:numCache>
            </c:numRef>
          </c:xVal>
          <c:yVal>
            <c:numRef>
              <c:f>[0]!FT_PH06</c:f>
              <c:numCache>
                <c:formatCode>0.00</c:formatCode>
                <c:ptCount val="1"/>
                <c:pt idx="0">
                  <c:v>28.202100000000002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4.6520600000000005</c:v>
                </c:pt>
              </c:numCache>
            </c:numRef>
          </c:xVal>
          <c:yVal>
            <c:numRef>
              <c:f>[0]!FT_PH07</c:f>
              <c:numCache>
                <c:formatCode>0.00</c:formatCode>
                <c:ptCount val="1"/>
                <c:pt idx="0">
                  <c:v>28.202100000000002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4.6520600000000005</c:v>
                </c:pt>
              </c:numCache>
            </c:numRef>
          </c:xVal>
          <c:yVal>
            <c:numRef>
              <c:f>[0]!FT_PH08</c:f>
              <c:numCache>
                <c:formatCode>0.00</c:formatCode>
                <c:ptCount val="1"/>
                <c:pt idx="0">
                  <c:v>28.202100000000002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4.6520600000000005</c:v>
                </c:pt>
              </c:numCache>
            </c:numRef>
          </c:xVal>
          <c:yVal>
            <c:numRef>
              <c:f>[0]!FT_PH09</c:f>
              <c:numCache>
                <c:formatCode>0.00</c:formatCode>
                <c:ptCount val="1"/>
                <c:pt idx="0">
                  <c:v>28.202100000000002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4.6520600000000005</c:v>
                </c:pt>
              </c:numCache>
            </c:numRef>
          </c:xVal>
          <c:yVal>
            <c:numRef>
              <c:f>[0]!FT_PH10</c:f>
              <c:numCache>
                <c:formatCode>0.00</c:formatCode>
                <c:ptCount val="1"/>
                <c:pt idx="0">
                  <c:v>28.202100000000002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4.6520600000000005</c:v>
                </c:pt>
              </c:numCache>
            </c:numRef>
          </c:xVal>
          <c:yVal>
            <c:numRef>
              <c:f>[0]!FT_PH11</c:f>
              <c:numCache>
                <c:formatCode>0.00</c:formatCode>
                <c:ptCount val="1"/>
                <c:pt idx="0">
                  <c:v>28.202100000000002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4.6520600000000005</c:v>
                </c:pt>
              </c:numCache>
            </c:numRef>
          </c:xVal>
          <c:yVal>
            <c:numRef>
              <c:f>[0]!FT_PH12</c:f>
              <c:numCache>
                <c:formatCode>0.00</c:formatCode>
                <c:ptCount val="1"/>
                <c:pt idx="0">
                  <c:v>28.202100000000002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4.6520600000000005</c:v>
                </c:pt>
              </c:numCache>
            </c:numRef>
          </c:xVal>
          <c:yVal>
            <c:numRef>
              <c:f>[0]!FT_PH13</c:f>
              <c:numCache>
                <c:formatCode>0.00</c:formatCode>
                <c:ptCount val="1"/>
                <c:pt idx="0">
                  <c:v>28.202100000000002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4.6520600000000005</c:v>
                </c:pt>
              </c:numCache>
            </c:numRef>
          </c:xVal>
          <c:yVal>
            <c:numRef>
              <c:f>[0]!FT_PH14</c:f>
              <c:numCache>
                <c:formatCode>0.00</c:formatCode>
                <c:ptCount val="1"/>
                <c:pt idx="0">
                  <c:v>28.202100000000002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4.6520600000000005</c:v>
                </c:pt>
              </c:numCache>
            </c:numRef>
          </c:xVal>
          <c:yVal>
            <c:numRef>
              <c:f>[0]!FT_PH15</c:f>
              <c:numCache>
                <c:formatCode>0.00</c:formatCode>
                <c:ptCount val="1"/>
                <c:pt idx="0">
                  <c:v>28.202100000000002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4.6520600000000005</c:v>
                </c:pt>
              </c:numCache>
            </c:numRef>
          </c:xVal>
          <c:yVal>
            <c:numRef>
              <c:f>[0]!FT_PH16</c:f>
              <c:numCache>
                <c:formatCode>0.00</c:formatCode>
                <c:ptCount val="1"/>
                <c:pt idx="0">
                  <c:v>28.202100000000002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4.6520600000000005</c:v>
                </c:pt>
              </c:numCache>
            </c:numRef>
          </c:xVal>
          <c:yVal>
            <c:numRef>
              <c:f>[0]!FT_PH17</c:f>
              <c:numCache>
                <c:formatCode>0.00</c:formatCode>
                <c:ptCount val="1"/>
                <c:pt idx="0">
                  <c:v>28.202100000000002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4.6520600000000005</c:v>
                </c:pt>
              </c:numCache>
            </c:numRef>
          </c:xVal>
          <c:yVal>
            <c:numRef>
              <c:f>[0]!FT_PH18</c:f>
              <c:numCache>
                <c:formatCode>0.00</c:formatCode>
                <c:ptCount val="1"/>
                <c:pt idx="0">
                  <c:v>28.202100000000002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4.6520600000000005</c:v>
                </c:pt>
              </c:numCache>
            </c:numRef>
          </c:xVal>
          <c:yVal>
            <c:numRef>
              <c:f>[0]!FT_PH19</c:f>
              <c:numCache>
                <c:formatCode>0.00</c:formatCode>
                <c:ptCount val="1"/>
                <c:pt idx="0">
                  <c:v>28.202100000000002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4.6520600000000005</c:v>
                </c:pt>
              </c:numCache>
            </c:numRef>
          </c:xVal>
          <c:yVal>
            <c:numRef>
              <c:f>[0]!FT_PH20</c:f>
              <c:numCache>
                <c:formatCode>0.00</c:formatCode>
                <c:ptCount val="1"/>
                <c:pt idx="0">
                  <c:v>28.202100000000002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4.6520600000000005</c:v>
                </c:pt>
              </c:numCache>
            </c:numRef>
          </c:xVal>
          <c:yVal>
            <c:numRef>
              <c:f>[0]!FT_PH21</c:f>
              <c:numCache>
                <c:formatCode>0.00</c:formatCode>
                <c:ptCount val="1"/>
                <c:pt idx="0">
                  <c:v>28.202100000000002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4.6520600000000005</c:v>
                </c:pt>
              </c:numCache>
            </c:numRef>
          </c:xVal>
          <c:yVal>
            <c:numRef>
              <c:f>[0]!FT_PH22</c:f>
              <c:numCache>
                <c:formatCode>0.00</c:formatCode>
                <c:ptCount val="1"/>
                <c:pt idx="0">
                  <c:v>28.202100000000002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4.6520600000000005</c:v>
                </c:pt>
              </c:numCache>
            </c:numRef>
          </c:xVal>
          <c:yVal>
            <c:numRef>
              <c:f>[0]!FT_PH23</c:f>
              <c:numCache>
                <c:formatCode>0.00</c:formatCode>
                <c:ptCount val="1"/>
                <c:pt idx="0">
                  <c:v>28.202100000000002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4.6520600000000005</c:v>
                </c:pt>
              </c:numCache>
            </c:numRef>
          </c:xVal>
          <c:yVal>
            <c:numRef>
              <c:f>[0]!FT_PH24</c:f>
              <c:numCache>
                <c:formatCode>0.00</c:formatCode>
                <c:ptCount val="1"/>
                <c:pt idx="0">
                  <c:v>28.202100000000002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4.6520600000000005</c:v>
                </c:pt>
              </c:numCache>
            </c:numRef>
          </c:xVal>
          <c:yVal>
            <c:numRef>
              <c:f>info!$H$2</c:f>
              <c:numCache>
                <c:formatCode>0.00</c:formatCode>
                <c:ptCount val="1"/>
                <c:pt idx="0">
                  <c:v>28.202100000000002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0.16807543680972289</c:v>
                </c:pt>
                <c:pt idx="1">
                  <c:v>0.61328942581020496</c:v>
                </c:pt>
                <c:pt idx="2">
                  <c:v>0.21863513738007223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00"/>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[0]!FT_E</c:f>
              <c:numCache>
                <c:formatCode>0.00</c:formatCode>
                <c:ptCount val="100"/>
                <c:pt idx="0">
                  <c:v>4.6520600000000005</c:v>
                </c:pt>
                <c:pt idx="1">
                  <c:v>4.7180800000000005</c:v>
                </c:pt>
                <c:pt idx="2">
                  <c:v>4.7877299999999998</c:v>
                </c:pt>
                <c:pt idx="3">
                  <c:v>4.8559900000000003</c:v>
                </c:pt>
                <c:pt idx="4">
                  <c:v>4.9170199999999999</c:v>
                </c:pt>
                <c:pt idx="5">
                  <c:v>4.9768499999999998</c:v>
                </c:pt>
                <c:pt idx="6">
                  <c:v>5.0401700000000007</c:v>
                </c:pt>
                <c:pt idx="7">
                  <c:v>5.1073000000000004</c:v>
                </c:pt>
                <c:pt idx="8">
                  <c:v>5.1713299999999993</c:v>
                </c:pt>
                <c:pt idx="9">
                  <c:v>5.2300800000000001</c:v>
                </c:pt>
                <c:pt idx="10">
                  <c:v>5.28728</c:v>
                </c:pt>
                <c:pt idx="11">
                  <c:v>5.3428900000000006</c:v>
                </c:pt>
                <c:pt idx="12">
                  <c:v>5.3961699999999997</c:v>
                </c:pt>
                <c:pt idx="13">
                  <c:v>5.44435</c:v>
                </c:pt>
                <c:pt idx="14">
                  <c:v>5.4849499999999995</c:v>
                </c:pt>
                <c:pt idx="15">
                  <c:v>5.5266500000000001</c:v>
                </c:pt>
                <c:pt idx="16">
                  <c:v>5.5696000000000003</c:v>
                </c:pt>
                <c:pt idx="17">
                  <c:v>5.6112500000000001</c:v>
                </c:pt>
                <c:pt idx="18">
                  <c:v>5.6472599999999993</c:v>
                </c:pt>
                <c:pt idx="19">
                  <c:v>5.67971</c:v>
                </c:pt>
                <c:pt idx="20">
                  <c:v>5.7099399999999996</c:v>
                </c:pt>
                <c:pt idx="21">
                  <c:v>5.7338100000000001</c:v>
                </c:pt>
                <c:pt idx="22">
                  <c:v>5.7584199999999992</c:v>
                </c:pt>
                <c:pt idx="23">
                  <c:v>5.7909299999999995</c:v>
                </c:pt>
                <c:pt idx="24">
                  <c:v>5.7732200000000002</c:v>
                </c:pt>
                <c:pt idx="25">
                  <c:v>5.7520800000000003</c:v>
                </c:pt>
                <c:pt idx="26">
                  <c:v>5.7325900000000001</c:v>
                </c:pt>
                <c:pt idx="27">
                  <c:v>5.7115400000000003</c:v>
                </c:pt>
                <c:pt idx="28">
                  <c:v>5.6930800000000001</c:v>
                </c:pt>
                <c:pt idx="29">
                  <c:v>5.6795399999999994</c:v>
                </c:pt>
                <c:pt idx="30">
                  <c:v>5.6678199999999999</c:v>
                </c:pt>
                <c:pt idx="31">
                  <c:v>5.6564099999999993</c:v>
                </c:pt>
                <c:pt idx="32">
                  <c:v>5.6414299999999997</c:v>
                </c:pt>
                <c:pt idx="33">
                  <c:v>5.6341399999999995</c:v>
                </c:pt>
                <c:pt idx="34">
                  <c:v>5.6352100000000007</c:v>
                </c:pt>
                <c:pt idx="35">
                  <c:v>5.6391599999999995</c:v>
                </c:pt>
                <c:pt idx="36">
                  <c:v>5.6448699999999992</c:v>
                </c:pt>
                <c:pt idx="37">
                  <c:v>5.6510899999999999</c:v>
                </c:pt>
                <c:pt idx="38">
                  <c:v>5.6631900000000002</c:v>
                </c:pt>
                <c:pt idx="39">
                  <c:v>5.6810400000000003</c:v>
                </c:pt>
                <c:pt idx="40">
                  <c:v>5.70268</c:v>
                </c:pt>
                <c:pt idx="41">
                  <c:v>5.7255799999999999</c:v>
                </c:pt>
                <c:pt idx="42">
                  <c:v>5.7462599999999995</c:v>
                </c:pt>
                <c:pt idx="43">
                  <c:v>5.7667000000000002</c:v>
                </c:pt>
                <c:pt idx="44">
                  <c:v>5.7872000000000003</c:v>
                </c:pt>
                <c:pt idx="45">
                  <c:v>5.80572</c:v>
                </c:pt>
                <c:pt idx="46">
                  <c:v>5.8268699999999995</c:v>
                </c:pt>
                <c:pt idx="47">
                  <c:v>5.8479299999999999</c:v>
                </c:pt>
                <c:pt idx="48">
                  <c:v>5.8690899999999999</c:v>
                </c:pt>
                <c:pt idx="49">
                  <c:v>5.89053</c:v>
                </c:pt>
                <c:pt idx="50">
                  <c:v>5.9115500000000001</c:v>
                </c:pt>
                <c:pt idx="51">
                  <c:v>5.9309199999999995</c:v>
                </c:pt>
                <c:pt idx="52">
                  <c:v>5.9489000000000001</c:v>
                </c:pt>
                <c:pt idx="53">
                  <c:v>5.9641400000000004</c:v>
                </c:pt>
                <c:pt idx="54">
                  <c:v>5.9791600000000003</c:v>
                </c:pt>
                <c:pt idx="55">
                  <c:v>5.9940099999999994</c:v>
                </c:pt>
                <c:pt idx="56">
                  <c:v>6.0087000000000002</c:v>
                </c:pt>
                <c:pt idx="57">
                  <c:v>6.0275699999999999</c:v>
                </c:pt>
                <c:pt idx="58">
                  <c:v>6.0457599999999996</c:v>
                </c:pt>
                <c:pt idx="59">
                  <c:v>6.0625999999999998</c:v>
                </c:pt>
                <c:pt idx="60">
                  <c:v>6.07944</c:v>
                </c:pt>
                <c:pt idx="61">
                  <c:v>6.0966100000000001</c:v>
                </c:pt>
                <c:pt idx="62">
                  <c:v>6.1139100000000006</c:v>
                </c:pt>
                <c:pt idx="63">
                  <c:v>6.1295299999999999</c:v>
                </c:pt>
                <c:pt idx="64">
                  <c:v>6.1425300000000007</c:v>
                </c:pt>
                <c:pt idx="65">
                  <c:v>6.1551</c:v>
                </c:pt>
                <c:pt idx="66">
                  <c:v>6.1675500000000003</c:v>
                </c:pt>
                <c:pt idx="67">
                  <c:v>6.1807500000000006</c:v>
                </c:pt>
                <c:pt idx="68">
                  <c:v>6.19252</c:v>
                </c:pt>
                <c:pt idx="69">
                  <c:v>6.2038400000000005</c:v>
                </c:pt>
                <c:pt idx="70">
                  <c:v>6.2166299999999994</c:v>
                </c:pt>
                <c:pt idx="71">
                  <c:v>6.2297199999999995</c:v>
                </c:pt>
                <c:pt idx="72">
                  <c:v>6.2432499999999997</c:v>
                </c:pt>
                <c:pt idx="73">
                  <c:v>6.2595100000000006</c:v>
                </c:pt>
                <c:pt idx="74">
                  <c:v>6.2787199999999999</c:v>
                </c:pt>
                <c:pt idx="75">
                  <c:v>6.2934400000000004</c:v>
                </c:pt>
                <c:pt idx="76">
                  <c:v>6.3034500000000007</c:v>
                </c:pt>
                <c:pt idx="77">
                  <c:v>6.31501</c:v>
                </c:pt>
                <c:pt idx="78">
                  <c:v>6.3288000000000002</c:v>
                </c:pt>
                <c:pt idx="79">
                  <c:v>6.3428799999999992</c:v>
                </c:pt>
                <c:pt idx="80">
                  <c:v>6.3584700000000005</c:v>
                </c:pt>
                <c:pt idx="81">
                  <c:v>6.3740399999999999</c:v>
                </c:pt>
                <c:pt idx="82">
                  <c:v>6.3865700000000007</c:v>
                </c:pt>
                <c:pt idx="83">
                  <c:v>6.3967700000000001</c:v>
                </c:pt>
                <c:pt idx="84">
                  <c:v>6.4052799999999994</c:v>
                </c:pt>
                <c:pt idx="85">
                  <c:v>6.4125200000000007</c:v>
                </c:pt>
                <c:pt idx="86">
                  <c:v>6.41873</c:v>
                </c:pt>
                <c:pt idx="87">
                  <c:v>6.425650000000001</c:v>
                </c:pt>
                <c:pt idx="88">
                  <c:v>6.4332999999999991</c:v>
                </c:pt>
                <c:pt idx="89">
                  <c:v>6.4413400000000003</c:v>
                </c:pt>
                <c:pt idx="90">
                  <c:v>6.4466199999999994</c:v>
                </c:pt>
                <c:pt idx="91">
                  <c:v>6.44937</c:v>
                </c:pt>
                <c:pt idx="92">
                  <c:v>6.45167</c:v>
                </c:pt>
                <c:pt idx="93">
                  <c:v>6.4610300000000001</c:v>
                </c:pt>
                <c:pt idx="94">
                  <c:v>6.4758599999999999</c:v>
                </c:pt>
                <c:pt idx="95">
                  <c:v>6.4938599999999997</c:v>
                </c:pt>
                <c:pt idx="96">
                  <c:v>6.5155500000000002</c:v>
                </c:pt>
                <c:pt idx="97">
                  <c:v>6.5547500000000003</c:v>
                </c:pt>
                <c:pt idx="98">
                  <c:v>6.5923600000000002</c:v>
                </c:pt>
                <c:pt idx="99">
                  <c:v>6.61381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4.6520600000000005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4.6520600000000005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4.6520600000000005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4.6520600000000005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4.6520600000000005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4.6520600000000005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4.6520600000000005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4.6520600000000005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4.6520600000000005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4.6520600000000005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4.6520600000000005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4.6520600000000005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4.6520600000000005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4.6520600000000005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4.6520600000000005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4.6520600000000005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4.6520600000000005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4.6520600000000005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4.6520600000000005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4.6520600000000005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4.6520600000000005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4.6520600000000005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4.6520600000000005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4.6520600000000005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00"/>
                <c:pt idx="0">
                  <c:v>0</c:v>
                </c:pt>
                <c:pt idx="1">
                  <c:v>0.37674200000000002</c:v>
                </c:pt>
                <c:pt idx="2">
                  <c:v>0.76875199999999999</c:v>
                </c:pt>
                <c:pt idx="3">
                  <c:v>1.1787300000000001</c:v>
                </c:pt>
                <c:pt idx="4">
                  <c:v>1.57995</c:v>
                </c:pt>
                <c:pt idx="5">
                  <c:v>1.98387</c:v>
                </c:pt>
                <c:pt idx="6">
                  <c:v>2.3910200000000001</c:v>
                </c:pt>
                <c:pt idx="7">
                  <c:v>2.7965900000000001</c:v>
                </c:pt>
                <c:pt idx="8">
                  <c:v>3.2152500000000002</c:v>
                </c:pt>
                <c:pt idx="9">
                  <c:v>3.6116199999999998</c:v>
                </c:pt>
                <c:pt idx="10">
                  <c:v>4.0176299999999996</c:v>
                </c:pt>
                <c:pt idx="11">
                  <c:v>4.42814</c:v>
                </c:pt>
                <c:pt idx="12">
                  <c:v>4.8320100000000004</c:v>
                </c:pt>
                <c:pt idx="13">
                  <c:v>5.2417800000000003</c:v>
                </c:pt>
                <c:pt idx="14">
                  <c:v>5.6506400000000001</c:v>
                </c:pt>
                <c:pt idx="15">
                  <c:v>6.05443</c:v>
                </c:pt>
                <c:pt idx="16">
                  <c:v>6.4661299999999997</c:v>
                </c:pt>
                <c:pt idx="17">
                  <c:v>6.8780099999999997</c:v>
                </c:pt>
                <c:pt idx="18">
                  <c:v>7.2816099999999997</c:v>
                </c:pt>
                <c:pt idx="19">
                  <c:v>7.6726700000000001</c:v>
                </c:pt>
                <c:pt idx="20">
                  <c:v>8.0863999999999994</c:v>
                </c:pt>
                <c:pt idx="21">
                  <c:v>8.4972300000000001</c:v>
                </c:pt>
                <c:pt idx="22">
                  <c:v>8.8917999999999999</c:v>
                </c:pt>
                <c:pt idx="23">
                  <c:v>9.2930399999999995</c:v>
                </c:pt>
                <c:pt idx="24">
                  <c:v>9.7098700000000004</c:v>
                </c:pt>
                <c:pt idx="25">
                  <c:v>10.1126</c:v>
                </c:pt>
                <c:pt idx="26">
                  <c:v>10.518599999999999</c:v>
                </c:pt>
                <c:pt idx="27">
                  <c:v>10.9191</c:v>
                </c:pt>
                <c:pt idx="28">
                  <c:v>11.322699999999999</c:v>
                </c:pt>
                <c:pt idx="29">
                  <c:v>11.744999999999999</c:v>
                </c:pt>
                <c:pt idx="30">
                  <c:v>12.143700000000001</c:v>
                </c:pt>
                <c:pt idx="31">
                  <c:v>12.552</c:v>
                </c:pt>
                <c:pt idx="32">
                  <c:v>12.952400000000001</c:v>
                </c:pt>
                <c:pt idx="33">
                  <c:v>13.365</c:v>
                </c:pt>
                <c:pt idx="34">
                  <c:v>13.770799999999999</c:v>
                </c:pt>
                <c:pt idx="35">
                  <c:v>14.168799999999999</c:v>
                </c:pt>
                <c:pt idx="36">
                  <c:v>14.578900000000001</c:v>
                </c:pt>
                <c:pt idx="37">
                  <c:v>14.987299999999999</c:v>
                </c:pt>
                <c:pt idx="38">
                  <c:v>15.3888</c:v>
                </c:pt>
                <c:pt idx="39">
                  <c:v>15.803000000000001</c:v>
                </c:pt>
                <c:pt idx="40">
                  <c:v>16.208300000000001</c:v>
                </c:pt>
                <c:pt idx="41">
                  <c:v>16.632400000000001</c:v>
                </c:pt>
                <c:pt idx="42">
                  <c:v>17.037299999999998</c:v>
                </c:pt>
                <c:pt idx="43">
                  <c:v>17.427099999999999</c:v>
                </c:pt>
                <c:pt idx="44">
                  <c:v>17.828700000000001</c:v>
                </c:pt>
                <c:pt idx="45">
                  <c:v>18.237400000000001</c:v>
                </c:pt>
                <c:pt idx="46">
                  <c:v>18.6447</c:v>
                </c:pt>
                <c:pt idx="47">
                  <c:v>19.055299999999999</c:v>
                </c:pt>
                <c:pt idx="48">
                  <c:v>19.4559</c:v>
                </c:pt>
                <c:pt idx="49">
                  <c:v>19.8597</c:v>
                </c:pt>
                <c:pt idx="50">
                  <c:v>20.264900000000001</c:v>
                </c:pt>
                <c:pt idx="51">
                  <c:v>20.6754</c:v>
                </c:pt>
                <c:pt idx="52">
                  <c:v>21.080200000000001</c:v>
                </c:pt>
                <c:pt idx="53">
                  <c:v>21.488499999999998</c:v>
                </c:pt>
                <c:pt idx="54">
                  <c:v>21.900400000000001</c:v>
                </c:pt>
                <c:pt idx="55">
                  <c:v>22.308199999999999</c:v>
                </c:pt>
                <c:pt idx="56">
                  <c:v>22.703499999999998</c:v>
                </c:pt>
                <c:pt idx="57">
                  <c:v>23.107800000000001</c:v>
                </c:pt>
                <c:pt idx="58">
                  <c:v>23.515599999999999</c:v>
                </c:pt>
                <c:pt idx="59">
                  <c:v>23.928000000000001</c:v>
                </c:pt>
                <c:pt idx="60">
                  <c:v>24.335899999999999</c:v>
                </c:pt>
                <c:pt idx="61">
                  <c:v>24.749300000000002</c:v>
                </c:pt>
                <c:pt idx="62">
                  <c:v>25.1465</c:v>
                </c:pt>
                <c:pt idx="63">
                  <c:v>25.558499999999999</c:v>
                </c:pt>
                <c:pt idx="64">
                  <c:v>25.963699999999999</c:v>
                </c:pt>
                <c:pt idx="65">
                  <c:v>26.370699999999999</c:v>
                </c:pt>
                <c:pt idx="66">
                  <c:v>26.767499999999998</c:v>
                </c:pt>
                <c:pt idx="67">
                  <c:v>27.182500000000001</c:v>
                </c:pt>
                <c:pt idx="68">
                  <c:v>27.580500000000001</c:v>
                </c:pt>
                <c:pt idx="69">
                  <c:v>27.982099999999999</c:v>
                </c:pt>
                <c:pt idx="70">
                  <c:v>28.392299999999999</c:v>
                </c:pt>
                <c:pt idx="71">
                  <c:v>28.802600000000002</c:v>
                </c:pt>
                <c:pt idx="72">
                  <c:v>29.212499999999999</c:v>
                </c:pt>
                <c:pt idx="73">
                  <c:v>29.6265</c:v>
                </c:pt>
                <c:pt idx="74">
                  <c:v>30.031500000000001</c:v>
                </c:pt>
                <c:pt idx="75">
                  <c:v>30.434200000000001</c:v>
                </c:pt>
                <c:pt idx="76">
                  <c:v>30.832999999999998</c:v>
                </c:pt>
                <c:pt idx="77">
                  <c:v>31.230599999999999</c:v>
                </c:pt>
                <c:pt idx="78">
                  <c:v>31.644600000000001</c:v>
                </c:pt>
                <c:pt idx="79">
                  <c:v>32.052799999999998</c:v>
                </c:pt>
                <c:pt idx="80">
                  <c:v>32.463999999999999</c:v>
                </c:pt>
                <c:pt idx="81">
                  <c:v>32.861400000000003</c:v>
                </c:pt>
                <c:pt idx="82">
                  <c:v>33.267000000000003</c:v>
                </c:pt>
                <c:pt idx="83">
                  <c:v>33.675199999999997</c:v>
                </c:pt>
                <c:pt idx="84">
                  <c:v>34.076799999999999</c:v>
                </c:pt>
                <c:pt idx="85">
                  <c:v>34.498699999999999</c:v>
                </c:pt>
                <c:pt idx="86">
                  <c:v>34.898299999999999</c:v>
                </c:pt>
                <c:pt idx="87">
                  <c:v>35.303800000000003</c:v>
                </c:pt>
                <c:pt idx="88">
                  <c:v>35.709600000000002</c:v>
                </c:pt>
                <c:pt idx="89">
                  <c:v>36.1098</c:v>
                </c:pt>
                <c:pt idx="90">
                  <c:v>36.522199999999998</c:v>
                </c:pt>
                <c:pt idx="91">
                  <c:v>36.930399999999999</c:v>
                </c:pt>
                <c:pt idx="92">
                  <c:v>37.3354</c:v>
                </c:pt>
                <c:pt idx="93">
                  <c:v>37.741</c:v>
                </c:pt>
                <c:pt idx="94">
                  <c:v>38.156999999999996</c:v>
                </c:pt>
                <c:pt idx="95">
                  <c:v>38.556800000000003</c:v>
                </c:pt>
                <c:pt idx="96">
                  <c:v>38.962299999999999</c:v>
                </c:pt>
                <c:pt idx="97">
                  <c:v>39.368099999999998</c:v>
                </c:pt>
                <c:pt idx="98">
                  <c:v>39.7667</c:v>
                </c:pt>
                <c:pt idx="99">
                  <c:v>40.174300000000002</c:v>
                </c:pt>
              </c:numCache>
            </c:numRef>
          </c:xVal>
          <c:yVal>
            <c:numRef>
              <c:f>[0]!FT_PH</c:f>
              <c:numCache>
                <c:formatCode>0.00</c:formatCode>
                <c:ptCount val="100"/>
                <c:pt idx="0">
                  <c:v>28.202100000000002</c:v>
                </c:pt>
                <c:pt idx="1">
                  <c:v>25.851299999999998</c:v>
                </c:pt>
                <c:pt idx="2">
                  <c:v>23.842600000000001</c:v>
                </c:pt>
                <c:pt idx="3">
                  <c:v>21.999700000000001</c:v>
                </c:pt>
                <c:pt idx="4">
                  <c:v>20.257300000000001</c:v>
                </c:pt>
                <c:pt idx="5">
                  <c:v>18.723799999999997</c:v>
                </c:pt>
                <c:pt idx="6">
                  <c:v>17.499000000000002</c:v>
                </c:pt>
                <c:pt idx="7">
                  <c:v>16.682199999999998</c:v>
                </c:pt>
                <c:pt idx="8">
                  <c:v>16.268799999999999</c:v>
                </c:pt>
                <c:pt idx="9">
                  <c:v>16.251300000000001</c:v>
                </c:pt>
                <c:pt idx="10">
                  <c:v>16.433</c:v>
                </c:pt>
                <c:pt idx="11">
                  <c:v>16.854700000000001</c:v>
                </c:pt>
                <c:pt idx="12">
                  <c:v>17.508800000000001</c:v>
                </c:pt>
                <c:pt idx="13">
                  <c:v>18.3948</c:v>
                </c:pt>
                <c:pt idx="14">
                  <c:v>19.224299999999999</c:v>
                </c:pt>
                <c:pt idx="15">
                  <c:v>20.470199999999998</c:v>
                </c:pt>
                <c:pt idx="16">
                  <c:v>22.118299999999998</c:v>
                </c:pt>
                <c:pt idx="17">
                  <c:v>23.935699999999997</c:v>
                </c:pt>
                <c:pt idx="18">
                  <c:v>25.866600000000002</c:v>
                </c:pt>
                <c:pt idx="19">
                  <c:v>27.889500000000002</c:v>
                </c:pt>
                <c:pt idx="20">
                  <c:v>30.1279</c:v>
                </c:pt>
                <c:pt idx="21">
                  <c:v>32.251600000000003</c:v>
                </c:pt>
                <c:pt idx="22">
                  <c:v>34.922899999999998</c:v>
                </c:pt>
                <c:pt idx="23">
                  <c:v>38.290900000000001</c:v>
                </c:pt>
                <c:pt idx="24">
                  <c:v>38.7577</c:v>
                </c:pt>
                <c:pt idx="25">
                  <c:v>39.130499999999998</c:v>
                </c:pt>
                <c:pt idx="26">
                  <c:v>39.393499999999996</c:v>
                </c:pt>
                <c:pt idx="27">
                  <c:v>39.535800000000002</c:v>
                </c:pt>
                <c:pt idx="28">
                  <c:v>39.853200000000001</c:v>
                </c:pt>
                <c:pt idx="29">
                  <c:v>40.1952</c:v>
                </c:pt>
                <c:pt idx="30">
                  <c:v>40.391300000000001</c:v>
                </c:pt>
                <c:pt idx="31">
                  <c:v>40.459499999999998</c:v>
                </c:pt>
                <c:pt idx="32">
                  <c:v>40.2943</c:v>
                </c:pt>
                <c:pt idx="33">
                  <c:v>40.252700000000004</c:v>
                </c:pt>
                <c:pt idx="34">
                  <c:v>40.170699999999997</c:v>
                </c:pt>
                <c:pt idx="35">
                  <c:v>40.055099999999996</c:v>
                </c:pt>
                <c:pt idx="36">
                  <c:v>39.842700000000001</c:v>
                </c:pt>
                <c:pt idx="37">
                  <c:v>39.523000000000003</c:v>
                </c:pt>
                <c:pt idx="38">
                  <c:v>39.1569</c:v>
                </c:pt>
                <c:pt idx="39">
                  <c:v>38.694099999999999</c:v>
                </c:pt>
                <c:pt idx="40">
                  <c:v>38.126599999999996</c:v>
                </c:pt>
                <c:pt idx="41">
                  <c:v>37.542999999999999</c:v>
                </c:pt>
                <c:pt idx="42">
                  <c:v>36.9392</c:v>
                </c:pt>
                <c:pt idx="43">
                  <c:v>36.360500000000002</c:v>
                </c:pt>
                <c:pt idx="44">
                  <c:v>35.836400000000005</c:v>
                </c:pt>
                <c:pt idx="45">
                  <c:v>35.435899999999997</c:v>
                </c:pt>
                <c:pt idx="46">
                  <c:v>35.207100000000004</c:v>
                </c:pt>
                <c:pt idx="47">
                  <c:v>35.086099999999995</c:v>
                </c:pt>
                <c:pt idx="48">
                  <c:v>34.924300000000002</c:v>
                </c:pt>
                <c:pt idx="49">
                  <c:v>34.785299999999999</c:v>
                </c:pt>
                <c:pt idx="50">
                  <c:v>34.911999999999999</c:v>
                </c:pt>
                <c:pt idx="51">
                  <c:v>35.114200000000004</c:v>
                </c:pt>
                <c:pt idx="52">
                  <c:v>35.2639</c:v>
                </c:pt>
                <c:pt idx="53">
                  <c:v>35.435299999999998</c:v>
                </c:pt>
                <c:pt idx="54">
                  <c:v>35.754599999999996</c:v>
                </c:pt>
                <c:pt idx="55">
                  <c:v>36.277300000000004</c:v>
                </c:pt>
                <c:pt idx="56">
                  <c:v>36.813299999999998</c:v>
                </c:pt>
                <c:pt idx="57">
                  <c:v>37.398499999999999</c:v>
                </c:pt>
                <c:pt idx="58">
                  <c:v>37.761699999999998</c:v>
                </c:pt>
                <c:pt idx="59">
                  <c:v>37.997900000000001</c:v>
                </c:pt>
                <c:pt idx="60">
                  <c:v>38.254399999999997</c:v>
                </c:pt>
                <c:pt idx="61">
                  <c:v>38.561499999999995</c:v>
                </c:pt>
                <c:pt idx="62">
                  <c:v>38.893799999999999</c:v>
                </c:pt>
                <c:pt idx="63">
                  <c:v>39.197800000000001</c:v>
                </c:pt>
                <c:pt idx="64">
                  <c:v>39.507899999999999</c:v>
                </c:pt>
                <c:pt idx="65">
                  <c:v>39.843600000000002</c:v>
                </c:pt>
                <c:pt idx="66">
                  <c:v>40.1753</c:v>
                </c:pt>
                <c:pt idx="67">
                  <c:v>40.554400000000001</c:v>
                </c:pt>
                <c:pt idx="68">
                  <c:v>40.970800000000004</c:v>
                </c:pt>
                <c:pt idx="69">
                  <c:v>41.440399999999997</c:v>
                </c:pt>
                <c:pt idx="70">
                  <c:v>41.904599999999995</c:v>
                </c:pt>
                <c:pt idx="71">
                  <c:v>42.346400000000003</c:v>
                </c:pt>
                <c:pt idx="72">
                  <c:v>42.803600000000003</c:v>
                </c:pt>
                <c:pt idx="73">
                  <c:v>43.284299999999995</c:v>
                </c:pt>
                <c:pt idx="74">
                  <c:v>43.765999999999998</c:v>
                </c:pt>
                <c:pt idx="75">
                  <c:v>44.115300000000005</c:v>
                </c:pt>
                <c:pt idx="76">
                  <c:v>44.452199999999998</c:v>
                </c:pt>
                <c:pt idx="77">
                  <c:v>44.802</c:v>
                </c:pt>
                <c:pt idx="78">
                  <c:v>45.127899999999997</c:v>
                </c:pt>
                <c:pt idx="79">
                  <c:v>45.457300000000004</c:v>
                </c:pt>
                <c:pt idx="80">
                  <c:v>45.765799999999999</c:v>
                </c:pt>
                <c:pt idx="81">
                  <c:v>46.065199999999997</c:v>
                </c:pt>
                <c:pt idx="82">
                  <c:v>46.277099999999997</c:v>
                </c:pt>
                <c:pt idx="83">
                  <c:v>46.484900000000003</c:v>
                </c:pt>
                <c:pt idx="84">
                  <c:v>46.656799999999997</c:v>
                </c:pt>
                <c:pt idx="85">
                  <c:v>46.779600000000002</c:v>
                </c:pt>
                <c:pt idx="86">
                  <c:v>46.8399</c:v>
                </c:pt>
                <c:pt idx="87">
                  <c:v>46.9313</c:v>
                </c:pt>
                <c:pt idx="88">
                  <c:v>47.041199999999996</c:v>
                </c:pt>
                <c:pt idx="89">
                  <c:v>47.167299999999997</c:v>
                </c:pt>
                <c:pt idx="90">
                  <c:v>47.290300000000002</c:v>
                </c:pt>
                <c:pt idx="91">
                  <c:v>47.455999999999996</c:v>
                </c:pt>
                <c:pt idx="92">
                  <c:v>47.634500000000003</c:v>
                </c:pt>
                <c:pt idx="93">
                  <c:v>47.787600000000005</c:v>
                </c:pt>
                <c:pt idx="94">
                  <c:v>47.935400000000001</c:v>
                </c:pt>
                <c:pt idx="95">
                  <c:v>48.027999999999999</c:v>
                </c:pt>
                <c:pt idx="96">
                  <c:v>48.141300000000001</c:v>
                </c:pt>
                <c:pt idx="97">
                  <c:v>48.541400000000003</c:v>
                </c:pt>
                <c:pt idx="98">
                  <c:v>48.729900000000001</c:v>
                </c:pt>
                <c:pt idx="99">
                  <c:v>47.467599999999997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28.202100000000002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28.202100000000002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28.202100000000002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28.202100000000002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28.202100000000002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28.202100000000002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28.202100000000002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28.202100000000002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28.202100000000002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28.202100000000002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28.202100000000002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28.202100000000002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28.202100000000002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28.202100000000002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28.202100000000002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28.202100000000002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28.202100000000002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28.202100000000002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28.202100000000002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28.202100000000002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28.202100000000002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28.202100000000002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28.202100000000002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28.202100000000002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64.21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0.13338824717569686</c:v>
                </c:pt>
                <c:pt idx="1">
                  <c:v>0.13338824717569686</c:v>
                </c:pt>
                <c:pt idx="2">
                  <c:v>-7</c:v>
                </c:pt>
              </c:numCache>
            </c:numRef>
          </c:xVal>
          <c:yVal>
            <c:numRef>
              <c:f>'R'!$I$5:$I$7</c:f>
              <c:numCache>
                <c:formatCode>0.0_ </c:formatCode>
                <c:ptCount val="3"/>
                <c:pt idx="0">
                  <c:v>0</c:v>
                </c:pt>
                <c:pt idx="1">
                  <c:v>64.209626473818318</c:v>
                </c:pt>
                <c:pt idx="2">
                  <c:v>64.209626473818318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0.13338824717569686</c:v>
                </c:pt>
              </c:numCache>
            </c:numRef>
          </c:xVal>
          <c:yVal>
            <c:numRef>
              <c:f>'R'!$I$4</c:f>
              <c:numCache>
                <c:formatCode>0.00_ </c:formatCode>
                <c:ptCount val="1"/>
                <c:pt idx="0">
                  <c:v>64.209626473818318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35.35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35.35098</c:v>
                </c:pt>
                <c:pt idx="1">
                  <c:v>35.35098</c:v>
                </c:pt>
                <c:pt idx="2">
                  <c:v>0</c:v>
                </c:pt>
              </c:numCache>
            </c:numRef>
          </c:xVal>
          <c:yVal>
            <c:numRef>
              <c:f>'R2'!$I$5:$I$7</c:f>
              <c:numCache>
                <c:formatCode>0.0_ </c:formatCode>
                <c:ptCount val="3"/>
                <c:pt idx="0">
                  <c:v>0</c:v>
                </c:pt>
                <c:pt idx="1">
                  <c:v>25.466998748618053</c:v>
                </c:pt>
                <c:pt idx="2">
                  <c:v>25.466998748618053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2.9292799999999999</c:v>
                </c:pt>
                <c:pt idx="1">
                  <c:v>2.9292799999999999</c:v>
                </c:pt>
                <c:pt idx="2">
                  <c:v>0</c:v>
                </c:pt>
              </c:numCache>
            </c:numRef>
          </c:xVal>
          <c:yVal>
            <c:numRef>
              <c:f>'R3'!$I$6:$I$8</c:f>
              <c:numCache>
                <c:formatCode>0.0_ </c:formatCode>
                <c:ptCount val="3"/>
                <c:pt idx="0">
                  <c:v>0</c:v>
                </c:pt>
                <c:pt idx="1">
                  <c:v>92.559860459211379</c:v>
                </c:pt>
                <c:pt idx="2">
                  <c:v>92.559860459211379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2.9292799999999999</c:v>
                </c:pt>
                <c:pt idx="1">
                  <c:v>2.9292799999999999</c:v>
                </c:pt>
                <c:pt idx="2">
                  <c:v>0</c:v>
                </c:pt>
              </c:numCache>
            </c:numRef>
          </c:xVal>
          <c:yVal>
            <c:numRef>
              <c:f>'R4'!$I$5:$I$7</c:f>
              <c:numCache>
                <c:formatCode>0.0_ </c:formatCode>
                <c:ptCount val="3"/>
                <c:pt idx="0">
                  <c:v>0</c:v>
                </c:pt>
                <c:pt idx="1">
                  <c:v>0.128852728503347</c:v>
                </c:pt>
                <c:pt idx="2">
                  <c:v>0.128852728503347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0.57062798933676206</c:v>
                </c:pt>
                <c:pt idx="1">
                  <c:v>0.25750544523451913</c:v>
                </c:pt>
                <c:pt idx="2">
                  <c:v>0.17186656542871867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0.18870411147834962</c:v>
                </c:pt>
                <c:pt idx="1">
                  <c:v>0.68856126970890685</c:v>
                </c:pt>
                <c:pt idx="2">
                  <c:v>0.1227346188127436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(75.5 , 92.6)
흥겨운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75.521038476479447</c:v>
                      </c:pt>
                    </c:numCache>
                  </c:numRef>
                </c:xVal>
                <c:yVal>
                  <c:numRef>
                    <c:extLst>
                      <c:ext uri="{02D57815-91ED-43cb-92C2-25804820EDAC}">
                        <c15:formulaRef>
                          <c15:sqref>info!$W$20:$W$21</c15:sqref>
                        </c15:formulaRef>
                      </c:ext>
                    </c:extLst>
                    <c:numCache>
                      <c:formatCode>General</c:formatCode>
                      <c:ptCount val="2"/>
                      <c:pt idx="0">
                        <c:v>50</c:v>
                      </c:pt>
                      <c:pt idx="1">
                        <c:v>92.559860459211379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(46.1 , 26.3)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46.1128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73.689899999999994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TrZN%5e2%5e6%5e\2025-07-16%2013_14_0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TrZN%5e2%5e6%5e\2025-07-16%2013_14_0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89B4DAB-D428-472D-C9BC-6ECB8CF9129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BD1A6E0-FF8F-73E5-3AAF-9AD60D2BEF9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45854.55195601852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TrZN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45854.55195601852</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TrZN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0.13338824717569686</v>
      </c>
      <c r="I20" s="862"/>
      <c r="J20" s="311" t="str">
        <f>lang!B174</f>
        <v>정보량</v>
      </c>
      <c r="K20" s="236">
        <f ca="1">info!N9</f>
        <v>36.890272000000003</v>
      </c>
      <c r="L20" s="312" t="str">
        <f>lang!B175</f>
        <v>에너지</v>
      </c>
      <c r="M20" s="863">
        <f ca="1">info!M9</f>
        <v>5.8951883999999994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22.567699999999999</v>
      </c>
      <c r="N32" s="816"/>
      <c r="O32" s="817">
        <f>Measurement!N7</f>
        <v>54.923099999999998</v>
      </c>
      <c r="P32" s="818"/>
      <c r="Q32" s="819">
        <f>Measurement!T7</f>
        <v>78.987799999999993</v>
      </c>
      <c r="R32" s="820"/>
    </row>
    <row r="33" spans="3:18" ht="12.75" customHeight="1">
      <c r="C33" s="77"/>
      <c r="I33" s="502">
        <f>Measurement!L8</f>
        <v>1</v>
      </c>
      <c r="J33" s="139" t="str">
        <f>lang!B15</f>
        <v>스트레스</v>
      </c>
      <c r="K33" s="90" t="s">
        <v>226</v>
      </c>
      <c r="L33" s="504" t="str">
        <f>Measurement!Y8</f>
        <v>매우 낮음</v>
      </c>
      <c r="M33" s="792">
        <f>Measurement!R8</f>
        <v>9.0767100000000003</v>
      </c>
      <c r="N33" s="793"/>
      <c r="O33" s="806">
        <f>Measurement!N8</f>
        <v>16.184699999999999</v>
      </c>
      <c r="P33" s="807"/>
      <c r="Q33" s="792">
        <f>Measurement!T8</f>
        <v>54.993699999999997</v>
      </c>
      <c r="R33" s="808"/>
    </row>
    <row r="34" spans="3:18" ht="12.75" customHeight="1">
      <c r="C34" s="77"/>
      <c r="I34" s="502">
        <f>Measurement!L9</f>
        <v>1</v>
      </c>
      <c r="J34" s="139" t="str">
        <f>lang!B16</f>
        <v>불안</v>
      </c>
      <c r="K34" s="90" t="s">
        <v>227</v>
      </c>
      <c r="L34" s="504" t="str">
        <f>Measurement!Y9</f>
        <v>매우 낮음</v>
      </c>
      <c r="M34" s="792">
        <f>Measurement!R9</f>
        <v>3.0621800000000001</v>
      </c>
      <c r="N34" s="793"/>
      <c r="O34" s="806">
        <f>Measurement!N9</f>
        <v>12.237500000000001</v>
      </c>
      <c r="P34" s="807"/>
      <c r="Q34" s="792">
        <f>Measurement!T9</f>
        <v>60.8003</v>
      </c>
      <c r="R34" s="808"/>
    </row>
    <row r="35" spans="3:18" ht="12.75" customHeight="1">
      <c r="C35" s="77"/>
      <c r="I35" s="502">
        <f>Measurement!L10</f>
        <v>3</v>
      </c>
      <c r="J35" s="139" t="str">
        <f>lang!B17</f>
        <v>의심</v>
      </c>
      <c r="K35" s="90" t="s">
        <v>225</v>
      </c>
      <c r="L35" s="504" t="str">
        <f>Measurement!Y10</f>
        <v>보통</v>
      </c>
      <c r="M35" s="792">
        <f>Measurement!R10</f>
        <v>23.7227</v>
      </c>
      <c r="N35" s="793"/>
      <c r="O35" s="806">
        <f>Measurement!N10</f>
        <v>32.810899999999997</v>
      </c>
      <c r="P35" s="807"/>
      <c r="Q35" s="792">
        <f>Measurement!T10</f>
        <v>46.7819</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65.636700000000005</v>
      </c>
      <c r="P36" s="807"/>
      <c r="Q36" s="792">
        <f>Measurement!T11</f>
        <v>79.776899999999998</v>
      </c>
      <c r="R36" s="808"/>
    </row>
    <row r="37" spans="3:18" ht="12.75" customHeight="1">
      <c r="C37" s="77"/>
      <c r="I37" s="502">
        <f>Measurement!L12</f>
        <v>4</v>
      </c>
      <c r="J37" s="139" t="str">
        <f>lang!B19</f>
        <v>카리스마</v>
      </c>
      <c r="K37" s="90" t="s">
        <v>229</v>
      </c>
      <c r="L37" s="504" t="str">
        <f>Measurement!Y12</f>
        <v>높음</v>
      </c>
      <c r="M37" s="792">
        <f>Measurement!R12</f>
        <v>37.626199999999997</v>
      </c>
      <c r="N37" s="793"/>
      <c r="O37" s="806">
        <f>Measurement!N12</f>
        <v>75.194699999999997</v>
      </c>
      <c r="P37" s="807"/>
      <c r="Q37" s="792">
        <f>Measurement!T12</f>
        <v>83.4589</v>
      </c>
      <c r="R37" s="808"/>
    </row>
    <row r="38" spans="3:18" ht="12.75" customHeight="1">
      <c r="C38" s="77"/>
      <c r="I38" s="502">
        <f>Measurement!L13</f>
        <v>5</v>
      </c>
      <c r="J38" s="139" t="str">
        <f>lang!B20</f>
        <v>에너지</v>
      </c>
      <c r="K38" s="90" t="s">
        <v>2170</v>
      </c>
      <c r="L38" s="504" t="str">
        <f>Measurement!Y13</f>
        <v>매우 높음</v>
      </c>
      <c r="M38" s="792">
        <f>Measurement!R13</f>
        <v>10.3026</v>
      </c>
      <c r="N38" s="793"/>
      <c r="O38" s="806">
        <f>Measurement!N13</f>
        <v>45.9833</v>
      </c>
      <c r="P38" s="807"/>
      <c r="Q38" s="792">
        <f>Measurement!T13</f>
        <v>55.7</v>
      </c>
      <c r="R38" s="808"/>
    </row>
    <row r="39" spans="3:18" ht="12.75" customHeight="1">
      <c r="C39" s="77"/>
      <c r="I39" s="502">
        <f>Measurement!L14</f>
        <v>3</v>
      </c>
      <c r="J39" s="139" t="str">
        <f>lang!B21</f>
        <v>자기조절</v>
      </c>
      <c r="K39" s="90" t="s">
        <v>230</v>
      </c>
      <c r="L39" s="504" t="str">
        <f>Measurement!Y14</f>
        <v>보통</v>
      </c>
      <c r="M39" s="792">
        <f>Measurement!R14</f>
        <v>22.177199999999999</v>
      </c>
      <c r="N39" s="793"/>
      <c r="O39" s="806">
        <f>Measurement!N14</f>
        <v>70.585599999999999</v>
      </c>
      <c r="P39" s="807"/>
      <c r="Q39" s="792">
        <f>Measurement!T14</f>
        <v>77.753500000000003</v>
      </c>
      <c r="R39" s="808"/>
    </row>
    <row r="40" spans="3:18" ht="12.75" customHeight="1">
      <c r="C40" s="77"/>
      <c r="I40" s="502">
        <f>Measurement!L15</f>
        <v>4</v>
      </c>
      <c r="J40" s="139" t="str">
        <f>lang!B22</f>
        <v>억제</v>
      </c>
      <c r="K40" s="91" t="s">
        <v>248</v>
      </c>
      <c r="L40" s="504" t="str">
        <f>Measurement!Y15</f>
        <v>높음</v>
      </c>
      <c r="M40" s="792">
        <f>Measurement!R15</f>
        <v>21.255600000000001</v>
      </c>
      <c r="N40" s="793"/>
      <c r="O40" s="806">
        <f>Measurement!N15</f>
        <v>31.0443</v>
      </c>
      <c r="P40" s="807"/>
      <c r="Q40" s="792">
        <f>Measurement!T15</f>
        <v>42.352600000000002</v>
      </c>
      <c r="R40" s="808"/>
    </row>
    <row r="41" spans="3:18" ht="12.75" customHeight="1" thickBot="1">
      <c r="C41" s="77"/>
      <c r="I41" s="502">
        <f>Measurement!L16</f>
        <v>4</v>
      </c>
      <c r="J41" s="140" t="str">
        <f>lang!B23</f>
        <v>신경성</v>
      </c>
      <c r="K41" s="92" t="s">
        <v>231</v>
      </c>
      <c r="L41" s="504" t="str">
        <f>Measurement!Y16</f>
        <v>높음</v>
      </c>
      <c r="M41" s="794">
        <f>Measurement!R16</f>
        <v>2.8466999999999998</v>
      </c>
      <c r="N41" s="795"/>
      <c r="O41" s="796">
        <f>Measurement!N16</f>
        <v>46.481699999999996</v>
      </c>
      <c r="P41" s="797"/>
      <c r="Q41" s="794">
        <f>Measurement!T16</f>
        <v>62.814799999999998</v>
      </c>
      <c r="R41" s="798"/>
    </row>
    <row r="42" spans="3:18" ht="29.25" customHeight="1" thickBot="1">
      <c r="C42" s="77"/>
      <c r="I42" s="84"/>
      <c r="J42" s="780" t="str">
        <f>lang!B215</f>
        <v>감정변이도</v>
      </c>
      <c r="K42" s="781"/>
      <c r="L42" s="319" t="str">
        <f>info!V43</f>
        <v>매우 높음</v>
      </c>
      <c r="M42" s="782">
        <f>info!W43</f>
        <v>41.444400000000002</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2.9292799999999999</v>
      </c>
      <c r="E44" s="249" t="s">
        <v>1072</v>
      </c>
      <c r="G44" s="289"/>
      <c r="H44" s="289"/>
      <c r="I44" s="290"/>
      <c r="J44" s="802">
        <f>info!$W$36</f>
        <v>35.35098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45854.55195601852</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TrZN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0.13338824717569686</v>
      </c>
      <c r="I20" s="862"/>
      <c r="J20" s="311" t="str">
        <f>lang!B174</f>
        <v>정보량</v>
      </c>
      <c r="K20" s="236">
        <f ca="1">info!N9</f>
        <v>36.890272000000003</v>
      </c>
      <c r="L20" s="312" t="str">
        <f>lang!B175</f>
        <v>에너지</v>
      </c>
      <c r="M20" s="863">
        <f ca="1">info!M9</f>
        <v>5.8951883999999994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22.567699999999999</v>
      </c>
      <c r="N32" s="816"/>
      <c r="O32" s="817">
        <f>Measurement!N7</f>
        <v>54.923099999999998</v>
      </c>
      <c r="P32" s="818"/>
      <c r="Q32" s="819">
        <f>Measurement!T7</f>
        <v>78.987799999999993</v>
      </c>
      <c r="R32" s="820"/>
    </row>
    <row r="33" spans="3:18" ht="12.75" customHeight="1">
      <c r="C33" s="77"/>
      <c r="I33" s="502">
        <f>Measurement!L8</f>
        <v>1</v>
      </c>
      <c r="J33" s="139" t="str">
        <f>lang!B15</f>
        <v>스트레스</v>
      </c>
      <c r="K33" s="90" t="s">
        <v>226</v>
      </c>
      <c r="L33" s="504" t="str">
        <f>Measurement!Y8</f>
        <v>매우 낮음</v>
      </c>
      <c r="M33" s="792">
        <f>Measurement!R8</f>
        <v>9.0767100000000003</v>
      </c>
      <c r="N33" s="793"/>
      <c r="O33" s="806">
        <f>Measurement!N8</f>
        <v>16.184699999999999</v>
      </c>
      <c r="P33" s="807"/>
      <c r="Q33" s="792">
        <f>Measurement!T8</f>
        <v>54.993699999999997</v>
      </c>
      <c r="R33" s="808"/>
    </row>
    <row r="34" spans="3:18" ht="12.75" customHeight="1">
      <c r="C34" s="77"/>
      <c r="I34" s="502">
        <f>Measurement!L9</f>
        <v>1</v>
      </c>
      <c r="J34" s="139" t="str">
        <f>lang!B16</f>
        <v>불안</v>
      </c>
      <c r="K34" s="90" t="s">
        <v>227</v>
      </c>
      <c r="L34" s="504" t="str">
        <f>Measurement!Y9</f>
        <v>매우 낮음</v>
      </c>
      <c r="M34" s="792">
        <f>Measurement!R9</f>
        <v>3.0621800000000001</v>
      </c>
      <c r="N34" s="793"/>
      <c r="O34" s="806">
        <f>Measurement!N9</f>
        <v>12.237500000000001</v>
      </c>
      <c r="P34" s="807"/>
      <c r="Q34" s="792">
        <f>Measurement!T9</f>
        <v>60.8003</v>
      </c>
      <c r="R34" s="808"/>
    </row>
    <row r="35" spans="3:18" ht="12.75" customHeight="1">
      <c r="C35" s="77"/>
      <c r="I35" s="502">
        <f>Measurement!L10</f>
        <v>3</v>
      </c>
      <c r="J35" s="139" t="str">
        <f>lang!B17</f>
        <v>의심</v>
      </c>
      <c r="K35" s="90" t="s">
        <v>225</v>
      </c>
      <c r="L35" s="504" t="str">
        <f>Measurement!Y10</f>
        <v>보통</v>
      </c>
      <c r="M35" s="792">
        <f>Measurement!R10</f>
        <v>23.7227</v>
      </c>
      <c r="N35" s="793"/>
      <c r="O35" s="806">
        <f>Measurement!N10</f>
        <v>32.810899999999997</v>
      </c>
      <c r="P35" s="807"/>
      <c r="Q35" s="792">
        <f>Measurement!T10</f>
        <v>46.7819</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65.636700000000005</v>
      </c>
      <c r="P36" s="807"/>
      <c r="Q36" s="792">
        <f>Measurement!T11</f>
        <v>79.776899999999998</v>
      </c>
      <c r="R36" s="808"/>
    </row>
    <row r="37" spans="3:18" ht="12.75" customHeight="1">
      <c r="C37" s="77"/>
      <c r="I37" s="502">
        <f>Measurement!L12</f>
        <v>4</v>
      </c>
      <c r="J37" s="139" t="str">
        <f>lang!B19</f>
        <v>카리스마</v>
      </c>
      <c r="K37" s="90" t="s">
        <v>229</v>
      </c>
      <c r="L37" s="504" t="str">
        <f>Measurement!Y12</f>
        <v>높음</v>
      </c>
      <c r="M37" s="792">
        <f>Measurement!R12</f>
        <v>37.626199999999997</v>
      </c>
      <c r="N37" s="793"/>
      <c r="O37" s="806">
        <f>Measurement!N12</f>
        <v>75.194699999999997</v>
      </c>
      <c r="P37" s="807"/>
      <c r="Q37" s="792">
        <f>Measurement!T12</f>
        <v>83.4589</v>
      </c>
      <c r="R37" s="808"/>
    </row>
    <row r="38" spans="3:18" ht="12.75" customHeight="1">
      <c r="C38" s="77"/>
      <c r="I38" s="502">
        <f>Measurement!L13</f>
        <v>5</v>
      </c>
      <c r="J38" s="139" t="str">
        <f>lang!B20</f>
        <v>에너지</v>
      </c>
      <c r="K38" s="90" t="s">
        <v>2170</v>
      </c>
      <c r="L38" s="504" t="str">
        <f>Measurement!Y13</f>
        <v>매우 높음</v>
      </c>
      <c r="M38" s="792">
        <f>Measurement!R13</f>
        <v>10.3026</v>
      </c>
      <c r="N38" s="793"/>
      <c r="O38" s="806">
        <f>Measurement!N13</f>
        <v>45.9833</v>
      </c>
      <c r="P38" s="807"/>
      <c r="Q38" s="792">
        <f>Measurement!T13</f>
        <v>55.7</v>
      </c>
      <c r="R38" s="808"/>
    </row>
    <row r="39" spans="3:18" ht="12.75" customHeight="1">
      <c r="C39" s="77"/>
      <c r="I39" s="502">
        <f>Measurement!L14</f>
        <v>3</v>
      </c>
      <c r="J39" s="139" t="str">
        <f>lang!B21</f>
        <v>자기조절</v>
      </c>
      <c r="K39" s="90" t="s">
        <v>230</v>
      </c>
      <c r="L39" s="504" t="str">
        <f>Measurement!Y14</f>
        <v>보통</v>
      </c>
      <c r="M39" s="792">
        <f>Measurement!R14</f>
        <v>22.177199999999999</v>
      </c>
      <c r="N39" s="793"/>
      <c r="O39" s="806">
        <f>Measurement!N14</f>
        <v>70.585599999999999</v>
      </c>
      <c r="P39" s="807"/>
      <c r="Q39" s="792">
        <f>Measurement!T14</f>
        <v>77.753500000000003</v>
      </c>
      <c r="R39" s="808"/>
    </row>
    <row r="40" spans="3:18" ht="12.75" customHeight="1">
      <c r="C40" s="77"/>
      <c r="I40" s="502">
        <f>Measurement!L15</f>
        <v>4</v>
      </c>
      <c r="J40" s="139" t="str">
        <f>lang!B22</f>
        <v>억제</v>
      </c>
      <c r="K40" s="91" t="s">
        <v>248</v>
      </c>
      <c r="L40" s="504" t="str">
        <f>Measurement!Y15</f>
        <v>높음</v>
      </c>
      <c r="M40" s="792">
        <f>Measurement!R15</f>
        <v>21.255600000000001</v>
      </c>
      <c r="N40" s="793"/>
      <c r="O40" s="806">
        <f>Measurement!N15</f>
        <v>31.0443</v>
      </c>
      <c r="P40" s="807"/>
      <c r="Q40" s="792">
        <f>Measurement!T15</f>
        <v>42.352600000000002</v>
      </c>
      <c r="R40" s="808"/>
    </row>
    <row r="41" spans="3:18" ht="12.75" customHeight="1" thickBot="1">
      <c r="C41" s="77"/>
      <c r="I41" s="502">
        <f>Measurement!L16</f>
        <v>4</v>
      </c>
      <c r="J41" s="140" t="str">
        <f>lang!B23</f>
        <v>신경성</v>
      </c>
      <c r="K41" s="92" t="s">
        <v>231</v>
      </c>
      <c r="L41" s="504" t="str">
        <f>Measurement!Y16</f>
        <v>높음</v>
      </c>
      <c r="M41" s="794">
        <f>Measurement!R16</f>
        <v>2.8466999999999998</v>
      </c>
      <c r="N41" s="795"/>
      <c r="O41" s="796">
        <f>Measurement!N16</f>
        <v>46.481699999999996</v>
      </c>
      <c r="P41" s="797"/>
      <c r="Q41" s="794">
        <f>Measurement!T16</f>
        <v>62.814799999999998</v>
      </c>
      <c r="R41" s="798"/>
    </row>
    <row r="42" spans="3:18" ht="29.25" customHeight="1" thickBot="1">
      <c r="C42" s="77"/>
      <c r="I42" s="84"/>
      <c r="J42" s="780" t="str">
        <f>lang!B215</f>
        <v>감정변이도</v>
      </c>
      <c r="K42" s="781"/>
      <c r="L42" s="319" t="str">
        <f>info!V43</f>
        <v>매우 높음</v>
      </c>
      <c r="M42" s="782">
        <f>info!W43</f>
        <v>41.444400000000002</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2.9292799999999999</v>
      </c>
      <c r="E44" s="249" t="s">
        <v>1195</v>
      </c>
      <c r="G44" s="289"/>
      <c r="H44" s="289"/>
      <c r="I44" s="290"/>
      <c r="J44" s="802">
        <f>info!$W$36</f>
        <v>35.35098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45854.55195601852</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TrZN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(0.16,0.42)</v>
      </c>
      <c r="S18" s="966"/>
      <c r="T18" s="967"/>
    </row>
    <row r="19" spans="2:22" ht="16.5" customHeight="1">
      <c r="C19" s="136" t="str">
        <f>lang!B328</f>
        <v>최소값</v>
      </c>
      <c r="D19" s="105">
        <f ca="1">info!M7</f>
        <v>16.251300000000001</v>
      </c>
      <c r="E19" s="94" t="str">
        <f>lang!B330</f>
        <v>평균값</v>
      </c>
      <c r="F19" s="971">
        <f ca="1">info!N9</f>
        <v>36.890272000000003</v>
      </c>
      <c r="G19" s="972"/>
      <c r="H19" s="912" t="str">
        <f>lang!B329</f>
        <v>최대값</v>
      </c>
      <c r="I19" s="913"/>
      <c r="J19" s="105">
        <f ca="1">info!M8</f>
        <v>48.729900000000001</v>
      </c>
      <c r="K19" s="137" t="str">
        <f>lang!B328</f>
        <v>최소값</v>
      </c>
      <c r="L19" s="105">
        <f ca="1">info!M5</f>
        <v>4.6520600000000005</v>
      </c>
      <c r="M19" s="94" t="str">
        <f>lang!B330</f>
        <v>평균값</v>
      </c>
      <c r="N19" s="971">
        <f ca="1">info!M9</f>
        <v>5.8951883999999994</v>
      </c>
      <c r="O19" s="972">
        <f>info!T9</f>
        <v>1</v>
      </c>
      <c r="P19" s="94" t="str">
        <f>lang!B329</f>
        <v>최대값</v>
      </c>
      <c r="Q19" s="105">
        <f ca="1">info!M6</f>
        <v>6.61381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6.1880230003047298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2.9292829999999999</v>
      </c>
      <c r="N47" s="986"/>
      <c r="O47" s="451"/>
      <c r="P47" s="491" t="s">
        <v>1101</v>
      </c>
      <c r="Q47" s="987">
        <f>hist!M3</f>
        <v>1.4576</v>
      </c>
      <c r="R47" s="986"/>
      <c r="S47" s="451"/>
      <c r="T47" s="452"/>
    </row>
    <row r="48" spans="3:20" ht="18" customHeight="1">
      <c r="C48" s="931"/>
      <c r="D48" s="910"/>
      <c r="E48" s="910"/>
      <c r="F48" s="355"/>
      <c r="G48" s="355"/>
      <c r="H48" s="356"/>
      <c r="I48" s="356"/>
      <c r="J48" s="951"/>
      <c r="K48" s="951"/>
      <c r="L48" s="936"/>
      <c r="M48" s="988">
        <f>hist!N2</f>
        <v>0.64749299999999999</v>
      </c>
      <c r="N48" s="989"/>
      <c r="O48" s="451"/>
      <c r="P48" s="491" t="s">
        <v>1102</v>
      </c>
      <c r="Q48" s="986">
        <f>hist!N3</f>
        <v>0.81084100000000003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0.41924800000000001</v>
      </c>
      <c r="N49" s="991"/>
      <c r="O49" s="453"/>
      <c r="P49" s="454" t="s">
        <v>1588</v>
      </c>
      <c r="Q49" s="992">
        <f>hist!O3</f>
        <v>0.65746400000000005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vision^TrZN^2^6^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75.521038476479447</v>
      </c>
      <c r="CK4" s="422">
        <f>info!W21</f>
        <v>92.559860459211379</v>
      </c>
      <c r="CL4">
        <f>100-M!B19*100</f>
        <v>73.689899999999994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45854.55195601852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41.444400000000002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9</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54.923099999999998</v>
      </c>
      <c r="O7" s="48">
        <f>M!C5*1</f>
        <v>8.2512000000000008</v>
      </c>
      <c r="P7" s="48">
        <f>M!D5*1</f>
        <v>15.023199999999999</v>
      </c>
      <c r="Q7" s="48">
        <f>M!E5*1</f>
        <v>20</v>
      </c>
      <c r="R7" s="48">
        <f>IF(M!B5="","",M!F5*1)</f>
        <v>22.567699999999999</v>
      </c>
      <c r="S7" s="48">
        <f>M!G5*1</f>
        <v>50</v>
      </c>
      <c r="T7" s="48">
        <f>IF(M!B5="","",M!H5*1)</f>
        <v>78.987799999999993</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2.9555428205814906</v>
      </c>
      <c r="AI7" s="98">
        <v>2.5024862326905418E-2</v>
      </c>
      <c r="AJ7" s="98">
        <v>-7.7313821231156016E-2</v>
      </c>
      <c r="AK7" s="98">
        <v>0.50012525104428274</v>
      </c>
      <c r="AL7" s="98">
        <v>-8.545985269705475E-2</v>
      </c>
      <c r="AM7" s="98">
        <f>$AH7*AI7+$AH8*AI8+$AH9*AI9+$AH10*AI10+$AH11*AI11+$AH12*AI12+$AH13*AI13+$AH14*AI14+$AH15*AI15+$AH16*AI16</f>
        <v>2.6340872539222451</v>
      </c>
      <c r="AN7" s="98">
        <f t="shared" ref="AN7:AP7" si="2">$AH7*AJ7+$AH8*AJ8+$AH9*AJ9+$AH10*AJ10+$AH11*AJ11+$AH12*AJ12+$AH13*AJ13+$AH14*AJ14+$AH15*AJ15+$AH16*AJ16</f>
        <v>-3.0564226322362522</v>
      </c>
      <c r="AO7" s="98">
        <f t="shared" si="2"/>
        <v>4.0780318490367859</v>
      </c>
      <c r="AP7" s="98">
        <f t="shared" si="2"/>
        <v>-1.3643584028040086</v>
      </c>
      <c r="AQ7" s="335">
        <f>IF(SUM(N7:N16)&gt;0, 0.8608*AM7+0.333*AN7+0.104*AO7+1.129*AP7,"")</f>
        <v>0.13338824717569686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54.923099999999998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282.84235428320005</v>
      </c>
      <c r="BL7" s="56">
        <f t="shared" ref="BL7:BT7" si="3">BB7*$AY7+BB8*$AY8+BB9*$AY9+BB10*$AY10+BB11*$AY11+BB12*$AY12+BB13*$AY13+BB14</f>
        <v>270.93261100019987</v>
      </c>
      <c r="BM7" s="56">
        <f t="shared" si="3"/>
        <v>250.45121696820001</v>
      </c>
      <c r="BN7" s="56">
        <f t="shared" si="3"/>
        <v>287.26853731959994</v>
      </c>
      <c r="BO7" s="56">
        <f t="shared" si="3"/>
        <v>305.14385913980004</v>
      </c>
      <c r="BP7" s="56">
        <f t="shared" si="3"/>
        <v>247.93708203699998</v>
      </c>
      <c r="BQ7" s="56">
        <f t="shared" si="3"/>
        <v>256.88487400259999</v>
      </c>
      <c r="BR7" s="56">
        <f t="shared" si="3"/>
        <v>258.33076336120007</v>
      </c>
      <c r="BS7" s="56">
        <f t="shared" si="3"/>
        <v>276.04196127879999</v>
      </c>
      <c r="BT7" s="56">
        <f t="shared" si="3"/>
        <v>229.49519033839994</v>
      </c>
      <c r="BU7" s="56">
        <f>EXP(BK7)+EXP(BL7)+EXP(BM7)+EXP(BN7)+EXP(BO7)+EXP(BP7)+EXP(BQ7)+EXP(BR7)+EXP(BS7)+EXP(BT7)</f>
        <v>3.3288499435536421E+132</v>
      </c>
      <c r="BV7" s="56">
        <f>IF(SUM($AY$7:$AY$13)&gt;0,EXP(BK7)/$BU$7,"")</f>
        <v>2.0633813225952201E-10</v>
      </c>
      <c r="BW7" s="56">
        <f t="shared" ref="BW7:CE7" si="4">IF(SUM($AY$7:$AY$13)&gt;0,EXP(BL7)/$BU$7,"")</f>
        <v>1.3875342317306045E-15</v>
      </c>
      <c r="BX7" s="56">
        <f t="shared" si="4"/>
        <v>1.7672064850605944E-24</v>
      </c>
      <c r="BY7" s="56">
        <f t="shared" si="4"/>
        <v>1.7252274662684653E-8</v>
      </c>
      <c r="BZ7" s="56">
        <f t="shared" si="4"/>
        <v>0.99999998254115607</v>
      </c>
      <c r="CA7" s="56">
        <f t="shared" si="4"/>
        <v>1.4302513593470551E-25</v>
      </c>
      <c r="CB7" s="56">
        <f t="shared" si="4"/>
        <v>1.0999907802915449E-21</v>
      </c>
      <c r="CC7" s="56">
        <f t="shared" si="4"/>
        <v>4.6701498399858275E-21</v>
      </c>
      <c r="CD7" s="56">
        <f t="shared" si="4"/>
        <v>2.2972398348401893E-13</v>
      </c>
      <c r="CE7" s="56">
        <f t="shared" si="4"/>
        <v>1.4002338381791845E-33</v>
      </c>
      <c r="CF7" s="418" t="s">
        <v>1870</v>
      </c>
      <c r="CG7" s="221">
        <f>IF(SUM($AY$7:$AY$13)&gt;0,HLOOKUP(1,$BV$6:$CE$7,2,FALSE),"")</f>
        <v>0.99999998254115607</v>
      </c>
      <c r="CH7" s="221">
        <f>IF(SUM($AY$7:$AY$13)&gt;0,HLOOKUP(2,$BV$6:$CE$7,2,FALSE),"")</f>
        <v>1.7252274662684653E-8</v>
      </c>
      <c r="CI7" s="425" t="str">
        <f>"( "&amp;IF(CG7&lt;&gt;"",ROUND(CG7*100,0),"")&amp;" , "&amp;IF(CH7&lt;&gt;"",ROUND(CH7*100,0),"")&amp;" )"</f>
        <v>( 100 , 0 )</v>
      </c>
      <c r="CJ7" s="420">
        <f>CG7</f>
        <v>0.99999998254115607</v>
      </c>
      <c r="CK7" s="420">
        <f>CH7</f>
        <v>1.7252274662684653E-8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54.923099999999998</v>
      </c>
      <c r="DJ7" s="265">
        <f>(DI7-$DB7)/$DC7</f>
        <v>2.7194970281840707</v>
      </c>
      <c r="DK7" s="266">
        <f>IF(DH7=1,(DJ7-DF7)^2,0)</f>
        <v>2.4747167180291796</v>
      </c>
      <c r="DL7" s="267">
        <f>IF(DH7=1,(DJ7-DG7)^2,0)</f>
        <v>0.47219413070979932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16.184699999999999</v>
      </c>
      <c r="O8" s="48">
        <f>M!C6*1</f>
        <v>11.1387</v>
      </c>
      <c r="P8" s="48">
        <f>M!D6*1</f>
        <v>68.822000000000003</v>
      </c>
      <c r="Q8" s="48">
        <f>M!E6*1</f>
        <v>20</v>
      </c>
      <c r="R8" s="48">
        <f>IF(M!B6="","",M!F6*1)</f>
        <v>9.0767100000000003</v>
      </c>
      <c r="S8" s="48">
        <f>M!G6*1</f>
        <v>40</v>
      </c>
      <c r="T8" s="48">
        <f>IF(M!B6="","",M!H6*1)</f>
        <v>54.993699999999997</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-5.2901189836134561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16.184699999999999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16.184699999999999</v>
      </c>
      <c r="DJ8" s="265">
        <f t="shared" ref="DJ8:DJ14" si="8">(DI8-$DB8)/$DC8</f>
        <v>-2.1772558467976992</v>
      </c>
      <c r="DK8" s="273">
        <f t="shared" ref="DK8:DK14" si="9">IF(DH8=1,(DJ8-DF8)^2,0)</f>
        <v>0.48249174150385399</v>
      </c>
      <c r="DL8" s="274">
        <f t="shared" ref="DL8:DL14" si="10">IF(DH8=1,(DJ8-DG8)^2,0)</f>
        <v>5.9964110176308365</v>
      </c>
    </row>
    <row r="9" spans="2:119" s="5" customFormat="1" ht="24.75" customHeight="1" thickBot="1">
      <c r="B9" s="62" t="str">
        <f>CONCATENATE(M7,"
(20 ~ 50)")</f>
        <v>적극/공격성
(20 ~ 50)</v>
      </c>
      <c r="C9" s="63">
        <f>R7</f>
        <v>22.567699999999999</v>
      </c>
      <c r="D9" s="64">
        <f>N7</f>
        <v>54.923099999999998</v>
      </c>
      <c r="E9" s="65">
        <f>T7</f>
        <v>78.987799999999993</v>
      </c>
      <c r="F9" s="65">
        <f>P7</f>
        <v>15.023199999999999</v>
      </c>
      <c r="G9" s="66" t="str">
        <f>CONCATENATE(M8,"
(20 ~ 40)")</f>
        <v>스트레스
(20 ~ 40)</v>
      </c>
      <c r="H9" s="63">
        <f>R8</f>
        <v>9.0767100000000003</v>
      </c>
      <c r="I9" s="67">
        <f>N8</f>
        <v>16.184699999999999</v>
      </c>
      <c r="J9" s="63">
        <f>T8</f>
        <v>54.993699999999997</v>
      </c>
      <c r="K9" s="68">
        <f>P8</f>
        <v>68.822000000000003</v>
      </c>
      <c r="L9" s="1">
        <f>IF(M!B7="","",IF(N9&lt;U9,1,IF(N9&lt;V9,2,IF(N9&lt;W9,3,IF(N9&lt;X9,4,5)))))</f>
        <v>1</v>
      </c>
      <c r="M9" s="162" t="str">
        <f>lang!B16</f>
        <v>불안</v>
      </c>
      <c r="N9" s="48">
        <f>IF(M!B7="","",M!B7*1)</f>
        <v>12.237500000000001</v>
      </c>
      <c r="O9" s="48">
        <f>M!C7*1</f>
        <v>22.28</v>
      </c>
      <c r="P9" s="48">
        <f>M!D7*1</f>
        <v>182.06299999999999</v>
      </c>
      <c r="Q9" s="48">
        <f>M!E7*1</f>
        <v>15</v>
      </c>
      <c r="R9" s="48">
        <f>IF(M!B7="","",M!F7*1)</f>
        <v>3.0621800000000001</v>
      </c>
      <c r="S9" s="48">
        <f>M!G7*1</f>
        <v>40</v>
      </c>
      <c r="T9" s="48">
        <f>IF(M!B7="","",M!H7*1)</f>
        <v>60.8003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-1.5714926649406407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12.237500000000001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12.237500000000001</v>
      </c>
      <c r="DJ9" s="265">
        <f t="shared" si="8"/>
        <v>-2.2058807912304355</v>
      </c>
      <c r="DK9" s="273">
        <f t="shared" si="9"/>
        <v>0.97554190575151345</v>
      </c>
      <c r="DL9" s="274">
        <f t="shared" si="10"/>
        <v>5.5892782302853599</v>
      </c>
      <c r="DM9"/>
      <c r="DN9"/>
    </row>
    <row r="10" spans="2:119" s="4" customFormat="1" ht="30.3" thickBot="1">
      <c r="B10" s="57" t="str">
        <f>CONCATENATE(M9,"
(15 ~ 40)")</f>
        <v>불안
(15 ~ 40)</v>
      </c>
      <c r="C10" s="17">
        <f>R9</f>
        <v>3.0621800000000001</v>
      </c>
      <c r="D10" s="41">
        <f>N9</f>
        <v>12.237500000000001</v>
      </c>
      <c r="E10" s="43">
        <f>T9</f>
        <v>60.8003</v>
      </c>
      <c r="F10" s="43">
        <f>P9</f>
        <v>182.06299999999999</v>
      </c>
      <c r="G10" s="59" t="str">
        <f>CONCATENATE(M10,"
(20 ~ 50)")</f>
        <v>의심
(20 ~ 50)</v>
      </c>
      <c r="H10" s="17">
        <f>R10</f>
        <v>23.7227</v>
      </c>
      <c r="I10" s="42">
        <f>N10</f>
        <v>32.810899999999997</v>
      </c>
      <c r="J10" s="17">
        <f>T10</f>
        <v>46.7819</v>
      </c>
      <c r="K10" s="18">
        <f>P10</f>
        <v>19.462299999999999</v>
      </c>
      <c r="L10" s="1">
        <f>IF(M!B8="","",IF(N10&lt;U10,1,IF(N10&lt;V10,2,IF(N10&lt;W10,3,IF(N10&lt;X10,4,5)))))</f>
        <v>3</v>
      </c>
      <c r="M10" s="162" t="str">
        <f>lang!B17</f>
        <v>의심</v>
      </c>
      <c r="N10" s="48">
        <f>IF(M!B8="","",M!B8*1)</f>
        <v>32.810899999999997</v>
      </c>
      <c r="O10" s="48">
        <f>M!C8*1</f>
        <v>6.3857499999999998</v>
      </c>
      <c r="P10" s="48">
        <f>M!D8*1</f>
        <v>19.462299999999999</v>
      </c>
      <c r="Q10" s="48">
        <f>M!E8*1</f>
        <v>20</v>
      </c>
      <c r="R10" s="48">
        <f>IF(M!B8="","",M!F8*1)</f>
        <v>23.7227</v>
      </c>
      <c r="S10" s="48">
        <f>M!G8*1</f>
        <v>50</v>
      </c>
      <c r="T10" s="48">
        <f>IF(M!B8="","",M!H8*1)</f>
        <v>46.7819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0.87456907092239156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65.636700000000005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65.636700000000005</v>
      </c>
      <c r="DJ10" s="265">
        <f t="shared" si="8"/>
        <v>-5.8171918272377374E-2</v>
      </c>
      <c r="DK10" s="273">
        <f t="shared" si="9"/>
        <v>3.9721187151630102E-2</v>
      </c>
      <c r="DL10" s="274">
        <f t="shared" si="10"/>
        <v>2.2682190460618039</v>
      </c>
      <c r="DM10"/>
      <c r="DN10"/>
    </row>
    <row r="11" spans="2:119" s="4" customFormat="1" ht="24.75" customHeight="1" thickBot="1">
      <c r="B11" s="57" t="str">
        <f>CONCATENATE(M11,"
(50 ~ 100)")</f>
        <v>밸런스
(50 ~ 100)</v>
      </c>
      <c r="C11" s="17">
        <f>R11</f>
        <v>0</v>
      </c>
      <c r="D11" s="42">
        <f>N11</f>
        <v>65.636700000000005</v>
      </c>
      <c r="E11" s="17">
        <f>T11</f>
        <v>79.776899999999998</v>
      </c>
      <c r="F11" s="17">
        <f>P11</f>
        <v>30.904399999999999</v>
      </c>
      <c r="G11" s="59" t="str">
        <f>CONCATENATE(M12,"
(40 ~ 100)")</f>
        <v>카리스마
(40 ~ 100)</v>
      </c>
      <c r="H11" s="17">
        <f>R12</f>
        <v>37.626199999999997</v>
      </c>
      <c r="I11" s="42">
        <f>N12</f>
        <v>75.194699999999997</v>
      </c>
      <c r="J11" s="17">
        <f>T12</f>
        <v>83.4589</v>
      </c>
      <c r="K11" s="18">
        <f>P12</f>
        <v>12.2675</v>
      </c>
      <c r="L11" s="1">
        <f>IF(M!B9="","",IF(N11&lt;U11,1,IF(N11&lt;V11,2,IF(N11&lt;W11,3,IF(N11&lt;X11,4,5)))))</f>
        <v>3</v>
      </c>
      <c r="M11" s="162" t="str">
        <f>lang!B18</f>
        <v>밸런스</v>
      </c>
      <c r="N11" s="48">
        <f>IF(M!B9="","",M!B9*1)</f>
        <v>65.636700000000005</v>
      </c>
      <c r="O11" s="48">
        <f>M!C9*1</f>
        <v>20.284600000000001</v>
      </c>
      <c r="P11" s="48">
        <f>M!D9*1</f>
        <v>30.904399999999999</v>
      </c>
      <c r="Q11" s="48">
        <f>M!E9*1</f>
        <v>50</v>
      </c>
      <c r="R11" s="48">
        <f>IF(M!B9="","",M!F9*1)</f>
        <v>0</v>
      </c>
      <c r="S11" s="48">
        <f>M!G9*1</f>
        <v>100</v>
      </c>
      <c r="T11" s="48">
        <f>IF(M!B9="","",M!H9*1)</f>
        <v>79.776899999999998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-1.0625621697396528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75.194699999999997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75.194699999999997</v>
      </c>
      <c r="DJ11" s="265">
        <f t="shared" si="8"/>
        <v>0.63618283587136726</v>
      </c>
      <c r="DK11" s="273">
        <f t="shared" si="9"/>
        <v>0.14005430925719375</v>
      </c>
      <c r="DL11" s="274">
        <f t="shared" si="10"/>
        <v>1.0252664049379976</v>
      </c>
      <c r="DM11"/>
      <c r="DN11"/>
    </row>
    <row r="12" spans="2:119" s="4" customFormat="1" ht="24.75" customHeight="1" thickBot="1">
      <c r="B12" s="57" t="str">
        <f>CONCATENATE(M13,"
(10 ~ 50)")</f>
        <v>에너지
(10 ~ 50)</v>
      </c>
      <c r="C12" s="17">
        <f>R13</f>
        <v>10.3026</v>
      </c>
      <c r="D12" s="41">
        <f>N13</f>
        <v>45.9833</v>
      </c>
      <c r="E12" s="43">
        <f>T13</f>
        <v>55.7</v>
      </c>
      <c r="F12" s="43">
        <f>P13</f>
        <v>16.3992</v>
      </c>
      <c r="G12" s="59" t="str">
        <f>CONCATENATE(M14,"
(50 ~ 100)")</f>
        <v>자기조절
(50 ~ 100)</v>
      </c>
      <c r="H12" s="17">
        <f>R14</f>
        <v>22.177199999999999</v>
      </c>
      <c r="I12" s="42">
        <f>N14</f>
        <v>70.585599999999999</v>
      </c>
      <c r="J12" s="17">
        <f>T14</f>
        <v>77.753500000000003</v>
      </c>
      <c r="K12" s="18">
        <f>P14</f>
        <v>18.636299999999999</v>
      </c>
      <c r="L12" s="1">
        <f>IF(M!B10="","",IF(N12&lt;U12,1,IF(N12&lt;V12,2,IF(N12&lt;W12,3,IF(N12&lt;X12,4,5)))))</f>
        <v>4</v>
      </c>
      <c r="M12" s="162" t="str">
        <f>lang!B19</f>
        <v>카리스마</v>
      </c>
      <c r="N12" s="48">
        <f>IF(M!B10="","",M!B10*1)</f>
        <v>75.194699999999997</v>
      </c>
      <c r="O12" s="48">
        <f>M!C10*1</f>
        <v>9.2244899999999994</v>
      </c>
      <c r="P12" s="48">
        <f>M!D10*1</f>
        <v>12.2675</v>
      </c>
      <c r="Q12" s="48">
        <f>M!E10*1</f>
        <v>40</v>
      </c>
      <c r="R12" s="48">
        <f>IF(M!B10="","",M!F10*1)</f>
        <v>37.626199999999997</v>
      </c>
      <c r="S12" s="48">
        <f>M!G10*1</f>
        <v>100</v>
      </c>
      <c r="T12" s="48">
        <f>IF(M!B10="","",M!H10*1)</f>
        <v>83.4589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0.37513399134102682</v>
      </c>
      <c r="AI12" s="98">
        <v>0.31913434649697919</v>
      </c>
      <c r="AJ12" s="98">
        <v>3.8587997439955973E-2</v>
      </c>
      <c r="AK12" s="98">
        <v>1.0272327081707585E-2</v>
      </c>
      <c r="AL12" s="98">
        <v>1.9404033844491575E-2</v>
      </c>
      <c r="AM12" s="101"/>
      <c r="AN12" s="101"/>
      <c r="AO12" s="101"/>
      <c r="AP12" s="101"/>
      <c r="AX12" s="171"/>
      <c r="AY12" s="219">
        <f>N13</f>
        <v>45.9833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45.9833</v>
      </c>
      <c r="DJ12" s="265">
        <f t="shared" si="8"/>
        <v>4.3876097740601532</v>
      </c>
      <c r="DK12" s="273">
        <f t="shared" si="9"/>
        <v>6.2490630835735015</v>
      </c>
      <c r="DL12" s="274">
        <f t="shared" si="10"/>
        <v>16.371967011674027</v>
      </c>
      <c r="DM12"/>
      <c r="DN12"/>
    </row>
    <row r="13" spans="2:119" ht="24.75" customHeight="1" thickBot="1">
      <c r="B13" s="58" t="str">
        <f>CONCATENATE(M15,"
(10 ~ 25)")</f>
        <v>억제
(10 ~ 25)</v>
      </c>
      <c r="C13" s="44">
        <f>R15</f>
        <v>21.255600000000001</v>
      </c>
      <c r="D13" s="45">
        <f>N15</f>
        <v>31.0443</v>
      </c>
      <c r="E13" s="46">
        <f>T15</f>
        <v>42.352600000000002</v>
      </c>
      <c r="F13" s="46">
        <f>P15</f>
        <v>14.9727</v>
      </c>
      <c r="G13" s="60" t="str">
        <f>CONCATENATE(M16,"
(10 ~ 50)")</f>
        <v>신경성
(10 ~ 50)</v>
      </c>
      <c r="H13" s="44">
        <f>R16</f>
        <v>2.8466999999999998</v>
      </c>
      <c r="I13" s="45">
        <f>N16</f>
        <v>46.481699999999996</v>
      </c>
      <c r="J13" s="46">
        <f>T16</f>
        <v>62.814799999999998</v>
      </c>
      <c r="K13" s="47">
        <f>P16</f>
        <v>35.893999999999998</v>
      </c>
      <c r="L13" s="1">
        <f>IF(M!B11="","",IF(N13&lt;U13,1,IF(N13&lt;V13,2,IF(N13&lt;W13,3,IF(N13&lt;X13,4,5)))))</f>
        <v>5</v>
      </c>
      <c r="M13" s="162" t="str">
        <f>lang!B20</f>
        <v>에너지</v>
      </c>
      <c r="N13" s="48">
        <f>IF(M!B11="","",M!B11*1)</f>
        <v>45.9833</v>
      </c>
      <c r="O13" s="48">
        <f>M!C11*1</f>
        <v>7.5408799999999996</v>
      </c>
      <c r="P13" s="48">
        <f>M!D11*1</f>
        <v>16.3992</v>
      </c>
      <c r="Q13" s="48">
        <f>M!E11*1</f>
        <v>10</v>
      </c>
      <c r="R13" s="48">
        <f>IF(M!B11="","",M!F11*1)</f>
        <v>10.3026</v>
      </c>
      <c r="S13" s="48">
        <f>M!G11*1</f>
        <v>50</v>
      </c>
      <c r="T13" s="48">
        <f>IF(M!B11="","",M!H11*1)</f>
        <v>55.7</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5.7139931431975901</v>
      </c>
      <c r="AI13" s="98">
        <v>0.16093442074971984</v>
      </c>
      <c r="AJ13" s="98">
        <v>-1.0988594420247608E-2</v>
      </c>
      <c r="AK13" s="98">
        <v>0.37151940745754808</v>
      </c>
      <c r="AL13" s="98">
        <v>8.9062029657998948E-2</v>
      </c>
      <c r="AM13" s="96"/>
      <c r="AN13" s="96"/>
      <c r="AO13" s="96"/>
      <c r="AP13" s="96"/>
      <c r="AX13" s="171"/>
      <c r="AY13" s="219">
        <f>info!W36</f>
        <v>35.35098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46.481699999999996</v>
      </c>
      <c r="DJ13" s="265">
        <f t="shared" si="8"/>
        <v>1.4547831889023657</v>
      </c>
      <c r="DK13" s="273">
        <f>IF(DH13=1,(DJ13-DF13)^2,0)</f>
        <v>1.0301215829033195</v>
      </c>
      <c r="DL13" s="274">
        <f t="shared" si="10"/>
        <v>3.3222440406418396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70.585599999999999</v>
      </c>
      <c r="O14" s="48">
        <f>M!C12*1</f>
        <v>13.154500000000001</v>
      </c>
      <c r="P14" s="48">
        <f>M!D12*1</f>
        <v>18.636299999999999</v>
      </c>
      <c r="Q14" s="48">
        <f>M!E12*1</f>
        <v>50</v>
      </c>
      <c r="R14" s="48">
        <f>IF(M!B12="","",M!F12*1)</f>
        <v>22.177199999999999</v>
      </c>
      <c r="S14" s="48">
        <f>M!G12*1</f>
        <v>100</v>
      </c>
      <c r="T14" s="48">
        <f>IF(M!B12="","",M!H12*1)</f>
        <v>77.753500000000003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-0.11384548308529112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46.1128</v>
      </c>
      <c r="DJ14" s="265">
        <f t="shared" si="8"/>
        <v>-0.806857181723318</v>
      </c>
      <c r="DK14" s="279">
        <f t="shared" si="9"/>
        <v>0.54346181405314675</v>
      </c>
      <c r="DL14" s="280">
        <f t="shared" si="10"/>
        <v>1.7761050908622609</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31.0443</v>
      </c>
      <c r="O15" s="48">
        <f>M!C13*1</f>
        <v>4.6481700000000004</v>
      </c>
      <c r="P15" s="48">
        <f>M!D13*1</f>
        <v>14.9727</v>
      </c>
      <c r="Q15" s="48">
        <f>M!E13*1</f>
        <v>10</v>
      </c>
      <c r="R15" s="48">
        <f>IF(M!B13="","",M!F13*1)</f>
        <v>21.255600000000001</v>
      </c>
      <c r="S15" s="48">
        <f>M!G13*1</f>
        <v>25</v>
      </c>
      <c r="T15" s="48">
        <f>IF(M!B13="","",M!H13*1)</f>
        <v>42.352600000000002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3.4891905007905581</v>
      </c>
      <c r="AI15" s="98">
        <v>-8.3250321124619289E-2</v>
      </c>
      <c r="AJ15" s="98">
        <v>-0.44690513063775733</v>
      </c>
      <c r="AK15" s="98">
        <v>0.12052818186953573</v>
      </c>
      <c r="AL15" s="98">
        <v>-2.4174505446491225E-2</v>
      </c>
      <c r="AM15" s="96"/>
      <c r="AN15" s="96"/>
      <c r="AO15" s="96"/>
      <c r="AP15" s="96"/>
      <c r="AX15" s="171"/>
      <c r="AY15" s="50">
        <f>SUM(AY7:AY14)</f>
        <v>305.51097999999996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11.935172342223339</v>
      </c>
      <c r="DL15" s="281">
        <f>IF(SUM($DI$7:$DI$14)&gt;0,SUM(DL7:DL14),0)</f>
        <v>36.821684972803922</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46.481699999999996</v>
      </c>
      <c r="O16" s="48">
        <f>M!C14*1</f>
        <v>16.684100000000001</v>
      </c>
      <c r="P16" s="48">
        <f>M!D14*1</f>
        <v>35.893999999999998</v>
      </c>
      <c r="Q16" s="48">
        <f>M!E14*1</f>
        <v>10</v>
      </c>
      <c r="R16" s="48">
        <f>IF(M!B14="","",M!F14*1)</f>
        <v>2.8466999999999998</v>
      </c>
      <c r="S16" s="48">
        <f>M!G14*1</f>
        <v>50</v>
      </c>
      <c r="T16" s="48">
        <f>IF(M!B14="","",M!H14*1)</f>
        <v>62.814799999999998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2.4664069347674284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8.3785970686177408E-2</v>
      </c>
      <c r="DL16" s="281">
        <f>IF(DL15&gt;0,1/DL15,0)</f>
        <v>2.7157909822393751E-2</v>
      </c>
      <c r="DM16" t="s">
        <v>1207</v>
      </c>
    </row>
    <row r="17" spans="2:117" ht="21" customHeight="1" thickBot="1">
      <c r="B17" s="20"/>
      <c r="C17"/>
      <c r="D17"/>
      <c r="E17"/>
      <c r="F17"/>
      <c r="G17" s="1071"/>
      <c r="H17" s="827"/>
      <c r="I17" s="827"/>
      <c r="J17" s="827"/>
      <c r="K17" s="828"/>
      <c r="M17" s="163" t="str">
        <f>lang!B7</f>
        <v>긍정감정</v>
      </c>
      <c r="N17" s="54">
        <f>SUM(N11:N14)/4</f>
        <v>64.350075000000004</v>
      </c>
      <c r="O17" s="16">
        <f>N17/(N17+N18+N19)</f>
        <v>0.48693938898069172</v>
      </c>
      <c r="P17" s="54">
        <f>SUM(P11:P14)/4</f>
        <v>19.551850000000002</v>
      </c>
      <c r="Q17" s="16">
        <f>P17/(P17+P18+P19)</f>
        <v>0.16807543680972289</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0.75521038476479452</v>
      </c>
      <c r="DL17" s="283"/>
      <c r="DM17" s="284" t="s">
        <v>1208</v>
      </c>
    </row>
    <row r="18" spans="2:117" ht="21" customHeight="1">
      <c r="B18" s="20"/>
      <c r="C18"/>
      <c r="D18"/>
      <c r="E18"/>
      <c r="F18"/>
      <c r="G18" s="1071"/>
      <c r="H18" s="827"/>
      <c r="I18" s="827"/>
      <c r="J18" s="827"/>
      <c r="K18" s="828"/>
      <c r="M18" s="163" t="str">
        <f>lang!B8</f>
        <v>부정감정</v>
      </c>
      <c r="N18" s="14">
        <f>SUM(N7:N10)/4</f>
        <v>29.039049999999996</v>
      </c>
      <c r="O18" s="16">
        <f>N18/(N17+N18+N19)</f>
        <v>0.21973956150913193</v>
      </c>
      <c r="P18" s="14">
        <f>SUM(P7:P10)/4</f>
        <v>71.342624999999998</v>
      </c>
      <c r="Q18" s="16">
        <f>P18/(P17+P18+P19)</f>
        <v>0.61328942581020496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38.762999999999998</v>
      </c>
      <c r="O19" s="16">
        <f>N19/(N17+N18+N19)</f>
        <v>0.29332104951017618</v>
      </c>
      <c r="P19" s="14">
        <f>(P15+P16)/2</f>
        <v>25.433349999999997</v>
      </c>
      <c r="Q19" s="16">
        <f>P19/(P17+P18+P19)</f>
        <v>0.21863513738007223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2.9292799999999999</v>
      </c>
      <c r="D24" s="34" t="str">
        <f>lang!B11</f>
        <v>편차</v>
      </c>
      <c r="E24" s="1077">
        <f>FH_info!G2*1</f>
        <v>0.64749299999999999</v>
      </c>
      <c r="F24" s="1078"/>
      <c r="G24" s="1075" t="str">
        <f>lang!B12</f>
        <v>정보(I)변화량</v>
      </c>
      <c r="H24" s="1076"/>
      <c r="I24" s="51" t="str">
        <f ca="1">CONCATENATE(info!N7,"-",info!N8)</f>
        <v>16.3-48.7</v>
      </c>
      <c r="J24" s="32" t="str">
        <f>lang!B13</f>
        <v>Kcal/분</v>
      </c>
      <c r="K24" s="31" t="str">
        <f ca="1">CONCATENATE(info!N5,"-",info!N6)</f>
        <v>4.7-6.6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46.1128</v>
      </c>
      <c r="F27" s="1043"/>
      <c r="G27" s="1055" t="str">
        <f>lang!B33</f>
        <v>정서안정성</v>
      </c>
      <c r="H27" s="1056"/>
      <c r="I27" s="1057"/>
      <c r="J27" s="993">
        <f>M!B19*100</f>
        <v>26.310099999999998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4.6520600000000005</v>
      </c>
      <c r="H2" s="50">
        <f>IF(FT!B2&lt;&gt;"",FT!B2*100,"")</f>
        <v>28.202100000000002</v>
      </c>
      <c r="I2" s="50">
        <f>(IF(G2&lt;&gt;"",1,""))</f>
        <v>1</v>
      </c>
      <c r="J2" t="str">
        <f>IF(FT!B2&lt;&gt;"",FT!E2,"")</f>
        <v>0 [0.000000]</v>
      </c>
      <c r="K2">
        <f>IF(FT!B2&lt;&gt;"",IF(FT!C2&lt;&gt;"",FT!C2,F2/$M$3*$M$4),"")</f>
        <v>0</v>
      </c>
      <c r="L2" t="s">
        <v>52</v>
      </c>
      <c r="M2">
        <f>FH_info!E2</f>
        <v>4.9641500000000001</v>
      </c>
      <c r="N2" s="75">
        <f>LOOKUP(O3,A2:A1000,B2:B1000)</f>
        <v>3.2120970588235296</v>
      </c>
      <c r="O2" s="50">
        <f>MAX(C2:C1000)</f>
        <v>1</v>
      </c>
      <c r="P2" t="s">
        <v>60</v>
      </c>
      <c r="Q2" t="s">
        <v>61</v>
      </c>
      <c r="R2" t="s">
        <v>62</v>
      </c>
      <c r="S2" t="s">
        <v>63</v>
      </c>
      <c r="T2" t="s">
        <v>64</v>
      </c>
      <c r="V2" s="50">
        <f>FT!G2*10</f>
        <v>5.2300800000000001</v>
      </c>
      <c r="W2" s="50">
        <f>FT!H2*100</f>
        <v>16.251300000000001</v>
      </c>
      <c r="Y2">
        <f>IF(I2=1,H2/G2,"")</f>
        <v>6.0622820857856512</v>
      </c>
      <c r="Z2">
        <f>AVERAGE(Y2:Y2000)</f>
        <v>6.1880230003047298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4.7180800000000005</v>
      </c>
      <c r="H3" s="50">
        <f>IF(FT!B3&lt;&gt;"",FT!B3*100,"")</f>
        <v>25.851299999999998</v>
      </c>
      <c r="I3" s="50">
        <f t="shared" ref="I3:I66" si="2">(IF(G3&lt;&gt;"",1,""))</f>
        <v>1</v>
      </c>
      <c r="J3" t="str">
        <f>IF(FT!B3&lt;&gt;"",FT!E3,"")</f>
        <v>0 [0.376742]</v>
      </c>
      <c r="K3">
        <f>IF(FT!B3&lt;&gt;"",IF(FT!C3&lt;&gt;"",FT!C3,F3/$M$3*$M$4),"")</f>
        <v>0.37674200000000002</v>
      </c>
      <c r="L3" t="s">
        <v>53</v>
      </c>
      <c r="M3">
        <f>SUM(I2:I2005)</f>
        <v>100</v>
      </c>
      <c r="O3" s="104">
        <f>MATCH(O2,C2:C1000,0)-1</f>
        <v>165</v>
      </c>
      <c r="P3">
        <v>0</v>
      </c>
      <c r="Q3">
        <v>0</v>
      </c>
      <c r="R3">
        <f>IF(S4=0,M3,0)</f>
        <v>100</v>
      </c>
      <c r="S3">
        <f t="array" ref="S3">MAX(IF(ft_nq=0,row_n))</f>
        <v>1998</v>
      </c>
      <c r="T3">
        <f>R3-Q3</f>
        <v>100</v>
      </c>
      <c r="V3" s="50">
        <f>FT!G3*10</f>
        <v>6.4413400000000003</v>
      </c>
      <c r="W3" s="50">
        <f>FT!H3*100</f>
        <v>47.167299999999997</v>
      </c>
      <c r="Y3" s="75">
        <f t="shared" ref="Y3:Y66" si="3">IF(I3=1,H3/G3,"")</f>
        <v>5.4791991657623429</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0</v>
      </c>
      <c r="AN3" s="111">
        <f t="shared" si="4"/>
        <v>1</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4.7877299999999998</v>
      </c>
      <c r="H4" s="50">
        <f>IF(FT!B4&lt;&gt;"",FT!B4*100,"")</f>
        <v>23.842600000000001</v>
      </c>
      <c r="I4" s="50">
        <f t="shared" si="2"/>
        <v>1</v>
      </c>
      <c r="J4" t="str">
        <f>IF(FT!B4&lt;&gt;"",FT!E4,"")</f>
        <v>0 [0.768752]</v>
      </c>
      <c r="K4">
        <f>IF(FT!B4&lt;&gt;"",IF(FT!C4&lt;&gt;"",FT!C4,F4/$M$3*$M$4),"")</f>
        <v>0.76875199999999999</v>
      </c>
      <c r="L4" t="s">
        <v>246</v>
      </c>
      <c r="M4">
        <f>IF(M2&lt;&gt;0,M3/M2*2,0)</f>
        <v>40.288871206550972</v>
      </c>
      <c r="P4">
        <f>P3+1</f>
        <v>1</v>
      </c>
      <c r="Q4">
        <v>0</v>
      </c>
      <c r="R4">
        <f>IF(S4=1998,0,S4)</f>
        <v>0</v>
      </c>
      <c r="S4">
        <f t="array" ref="S4">MAX(IF(ft_nq=P4,row_n))</f>
        <v>0</v>
      </c>
      <c r="T4">
        <f>R4-Q4+1</f>
        <v>1</v>
      </c>
      <c r="V4" t="s">
        <v>209</v>
      </c>
      <c r="W4" s="23">
        <f>IF(ISERROR(V3-V2)=FALSE,(V3-V2)*10,0)</f>
        <v>12.112600000000002</v>
      </c>
      <c r="Y4" s="75">
        <f t="shared" si="3"/>
        <v>4.979938300614279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4.3857225812598218E-2</v>
      </c>
      <c r="E5" s="50">
        <f t="shared" si="1"/>
        <v>2.2805721494798475E-5</v>
      </c>
      <c r="F5">
        <f t="shared" si="6"/>
        <v>3</v>
      </c>
      <c r="G5" s="50">
        <f>IF(FT!A5&lt;&gt;"",FT!A5*10,"")</f>
        <v>4.8559900000000003</v>
      </c>
      <c r="H5" s="50">
        <f>IF(FT!B5&lt;&gt;"",FT!B5*100,"")</f>
        <v>21.999700000000001</v>
      </c>
      <c r="I5" s="50">
        <f t="shared" si="2"/>
        <v>1</v>
      </c>
      <c r="J5" t="str">
        <f>IF(FT!B5&lt;&gt;"",FT!E5,"")</f>
        <v>0 [1.178728]</v>
      </c>
      <c r="K5">
        <f>IF(FT!B5&lt;&gt;"",IF(FT!C5&lt;&gt;"",FT!C5,F5/$M$3*$M$4),"")</f>
        <v>1.1787300000000001</v>
      </c>
      <c r="L5" t="s">
        <v>54</v>
      </c>
      <c r="M5" s="52">
        <f ca="1">IF(M3&gt;0,MIN(FT_E),0)</f>
        <v>4.6520600000000005</v>
      </c>
      <c r="N5" s="52">
        <f ca="1">IF(M3&gt;0,ROUND(M5,1),0)</f>
        <v>4.7</v>
      </c>
      <c r="P5">
        <f t="shared" ref="P5:P27" si="10">P4+1</f>
        <v>2</v>
      </c>
      <c r="Q5">
        <f>IF(S5=1998,0,R4)</f>
        <v>0</v>
      </c>
      <c r="R5">
        <f>IF(S5=1998,0,S5)</f>
        <v>0</v>
      </c>
      <c r="S5">
        <f t="array" ref="S5">MAX(IF(ft_nq=P5,row_n))</f>
        <v>0</v>
      </c>
      <c r="T5">
        <f t="shared" ref="T5:T27" si="11">R5-Q5+1</f>
        <v>1</v>
      </c>
      <c r="V5" t="s">
        <v>210</v>
      </c>
      <c r="W5" s="23">
        <f>IF(ISERROR(W3-W2)=FALSE,W3-W2,0)</f>
        <v>30.915999999999997</v>
      </c>
      <c r="Y5" s="75">
        <f t="shared" si="3"/>
        <v>4.5304253097720544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4.9170199999999999</v>
      </c>
      <c r="H6" s="50">
        <f>IF(FT!B6&lt;&gt;"",FT!B6*100,"")</f>
        <v>20.257300000000001</v>
      </c>
      <c r="I6" s="50">
        <f t="shared" si="2"/>
        <v>1</v>
      </c>
      <c r="J6" t="str">
        <f>IF(FT!B6&lt;&gt;"",FT!E6,"")</f>
        <v>0 [1.579949]</v>
      </c>
      <c r="K6">
        <f>IF(FT!B6&lt;&gt;"",IF(FT!C6&lt;&gt;"",FT!C6,F6/$M$3*$M$4),"")</f>
        <v>1.57995</v>
      </c>
      <c r="L6" t="s">
        <v>55</v>
      </c>
      <c r="M6" s="52">
        <f ca="1">IF(M3&gt;0,MAX(FT_E),0)</f>
        <v>6.61381</v>
      </c>
      <c r="N6" s="52">
        <f ca="1">IF(M3&gt;0,ROUND(M6,1),0)</f>
        <v>6.6</v>
      </c>
      <c r="P6">
        <f t="shared" si="10"/>
        <v>3</v>
      </c>
      <c r="Q6">
        <f t="shared" ref="Q6:Q27" si="12">IF(S6=1998,0,R5)</f>
        <v>0</v>
      </c>
      <c r="R6">
        <f t="shared" ref="R6:R27" si="13">IF(S6=1998,0,S6)</f>
        <v>0</v>
      </c>
      <c r="S6">
        <f t="array" ref="S6">MAX(IF(ft_nq=P6,row_n))</f>
        <v>0</v>
      </c>
      <c r="T6">
        <f t="shared" si="11"/>
        <v>1</v>
      </c>
      <c r="V6" t="s">
        <v>211</v>
      </c>
      <c r="W6" s="23">
        <f>IF(W4&lt;&gt;0,W5/W4,0)</f>
        <v>2.5523834684543361</v>
      </c>
      <c r="Y6" s="75">
        <f t="shared" si="3"/>
        <v>4.1198327442231273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4.9768499999999998</v>
      </c>
      <c r="H7" s="50">
        <f>IF(FT!B7&lt;&gt;"",FT!B7*100,"")</f>
        <v>18.723799999999997</v>
      </c>
      <c r="I7" s="50">
        <f t="shared" si="2"/>
        <v>1</v>
      </c>
      <c r="J7" t="str">
        <f>IF(FT!B7&lt;&gt;"",FT!E7,"")</f>
        <v>0 [1.983872]</v>
      </c>
      <c r="K7">
        <f>IF(FT!B7&lt;&gt;"",IF(FT!C7&lt;&gt;"",FT!C7,F7/$M$3*$M$4),"")</f>
        <v>1.98387</v>
      </c>
      <c r="L7" t="s">
        <v>56</v>
      </c>
      <c r="M7" s="366">
        <f ca="1">IF(M3&gt;0,MIN(FT_PH),0)</f>
        <v>16.251300000000001</v>
      </c>
      <c r="N7" s="52">
        <f ca="1">IF(M3&gt;0,ROUND(M7,1),0)</f>
        <v>16.3</v>
      </c>
      <c r="P7">
        <f t="shared" si="10"/>
        <v>4</v>
      </c>
      <c r="Q7">
        <f t="shared" si="12"/>
        <v>0</v>
      </c>
      <c r="R7">
        <f t="shared" si="13"/>
        <v>0</v>
      </c>
      <c r="S7">
        <f t="array" ref="S7">MAX(IF(ft_nq=P7,row_n))</f>
        <v>0</v>
      </c>
      <c r="T7">
        <f t="shared" si="11"/>
        <v>1</v>
      </c>
      <c r="V7" t="s">
        <v>212</v>
      </c>
      <c r="W7" s="23">
        <f>DEGREES(ATAN(W6))</f>
        <v>68.605218080917936</v>
      </c>
      <c r="X7" s="106">
        <v>0.05</v>
      </c>
      <c r="Y7" s="75">
        <f t="shared" si="3"/>
        <v>3.7621788882526093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2.8093378265055751E-4</v>
      </c>
      <c r="D8" s="50">
        <f>IF(hist!$D$2&gt;0,hist!B8/hist!$D$2,0)</f>
        <v>0.15822622235617018</v>
      </c>
      <c r="E8" s="50">
        <f t="shared" si="1"/>
        <v>4.2826437159589771E-5</v>
      </c>
      <c r="F8">
        <f t="shared" si="6"/>
        <v>6</v>
      </c>
      <c r="G8" s="50">
        <f>IF(FT!A8&lt;&gt;"",FT!A8*10,"")</f>
        <v>5.0401700000000007</v>
      </c>
      <c r="H8" s="50">
        <f>IF(FT!B8&lt;&gt;"",FT!B8*100,"")</f>
        <v>17.499000000000002</v>
      </c>
      <c r="I8" s="50">
        <f t="shared" si="2"/>
        <v>1</v>
      </c>
      <c r="J8" t="str">
        <f>IF(FT!B8&lt;&gt;"",FT!E8,"")</f>
        <v>0 [2.391015]</v>
      </c>
      <c r="K8">
        <f>IF(FT!B8&lt;&gt;"",IF(FT!C8&lt;&gt;"",FT!C8,F8/$M$3*$M$4),"")</f>
        <v>2.3910200000000001</v>
      </c>
      <c r="L8" t="s">
        <v>57</v>
      </c>
      <c r="M8" s="52">
        <f ca="1">IF(M3&gt;0,MAX(FT_PH),0)</f>
        <v>48.729900000000001</v>
      </c>
      <c r="N8" s="52">
        <f ca="1">IF(M3&gt;0,ROUND(M8,1),0)</f>
        <v>48.7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3.4719067015596696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5.1073000000000004</v>
      </c>
      <c r="H9" s="50">
        <f>IF(FT!B9&lt;&gt;"",FT!B9*100,"")</f>
        <v>16.682199999999998</v>
      </c>
      <c r="I9" s="50">
        <f t="shared" si="2"/>
        <v>1</v>
      </c>
      <c r="J9" t="str">
        <f>IF(FT!B9&lt;&gt;"",FT!E9,"")</f>
        <v>0 [2.796592]</v>
      </c>
      <c r="K9">
        <f>IF(FT!B9&lt;&gt;"",IF(FT!C9&lt;&gt;"",FT!C9,F9/$M$3*$M$4),"")</f>
        <v>2.7965900000000001</v>
      </c>
      <c r="L9" t="s">
        <v>222</v>
      </c>
      <c r="M9" s="74">
        <f ca="1">IF(M3&gt;0,IF(COUNT(FT_E)&gt;0,AVERAGE(FT_E),0),0)</f>
        <v>5.8951883999999994</v>
      </c>
      <c r="N9" s="365">
        <f ca="1">IF(M3&gt;0,IF(COUNT(FT_PH)&gt;0,AVERAGE(FT_PH),0),0)</f>
        <v>36.890272000000003</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3.2663442523446826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4.682229710842625E-4</v>
      </c>
      <c r="D10" s="50">
        <f>IF(hist!$D$2&gt;0,hist!B10/hist!$D$2,0)</f>
        <v>0.2283683865347417</v>
      </c>
      <c r="E10" s="50">
        <f t="shared" si="1"/>
        <v>6.4493263858228473E-5</v>
      </c>
      <c r="F10">
        <f t="shared" si="6"/>
        <v>8</v>
      </c>
      <c r="G10" s="50">
        <f>IF(FT!A10&lt;&gt;"",FT!A10*10,"")</f>
        <v>5.1713299999999993</v>
      </c>
      <c r="H10" s="50">
        <f>IF(FT!B10&lt;&gt;"",FT!B10*100,"")</f>
        <v>16.268799999999999</v>
      </c>
      <c r="I10" s="50">
        <f t="shared" si="2"/>
        <v>1</v>
      </c>
      <c r="J10" t="str">
        <f>IF(FT!B10&lt;&gt;"",FT!E10,"")</f>
        <v>0 [3.215251]</v>
      </c>
      <c r="K10">
        <f>IF(FT!B10&lt;&gt;"",IF(FT!C10&lt;&gt;"",FT!C10,F10/$M$3*$M$4),"")</f>
        <v>3.2152500000000002</v>
      </c>
      <c r="M10">
        <v>2</v>
      </c>
      <c r="P10">
        <f t="shared" si="10"/>
        <v>7</v>
      </c>
      <c r="Q10">
        <f t="shared" si="12"/>
        <v>0</v>
      </c>
      <c r="R10">
        <f t="shared" si="13"/>
        <v>0</v>
      </c>
      <c r="S10">
        <f t="array" ref="S10">MAX(IF(ft_nq=P10,row_n))</f>
        <v>0</v>
      </c>
      <c r="T10">
        <f t="shared" si="11"/>
        <v>1</v>
      </c>
      <c r="V10" t="s">
        <v>215</v>
      </c>
      <c r="X10" s="71" t="s">
        <v>270</v>
      </c>
      <c r="Y10" s="75">
        <f t="shared" si="3"/>
        <v>3.1459605169269804</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5.2300800000000001</v>
      </c>
      <c r="H11" s="50">
        <f>IF(FT!B11&lt;&gt;"",FT!B11*100,"")</f>
        <v>16.251300000000001</v>
      </c>
      <c r="I11" s="50">
        <f t="shared" si="2"/>
        <v>1</v>
      </c>
      <c r="J11" t="str">
        <f>IF(FT!B11&lt;&gt;"",FT!E11,"")</f>
        <v>0 [3.611620]</v>
      </c>
      <c r="K11">
        <f>IF(FT!B11&lt;&gt;"",IF(FT!C11&lt;&gt;"",FT!C11,F11/$M$3*$M$4),"")</f>
        <v>3.6116199999999998</v>
      </c>
      <c r="M11" s="49">
        <f>MAX(IF(ft_nq=1,row_n))</f>
        <v>0</v>
      </c>
      <c r="P11">
        <f t="shared" si="10"/>
        <v>8</v>
      </c>
      <c r="Q11">
        <f t="shared" si="12"/>
        <v>0</v>
      </c>
      <c r="R11">
        <f t="shared" si="13"/>
        <v>0</v>
      </c>
      <c r="S11">
        <f t="array" ref="S11">MAX(IF(ft_nq=P11,row_n))</f>
        <v>0</v>
      </c>
      <c r="T11">
        <f t="shared" si="11"/>
        <v>1</v>
      </c>
      <c r="V11" s="71" t="s">
        <v>216</v>
      </c>
      <c r="W11" s="23">
        <f>FT!H11*100</f>
        <v>16.251300000000001</v>
      </c>
      <c r="Y11" s="75">
        <f t="shared" si="3"/>
        <v>3.1072756057268722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5.28728</v>
      </c>
      <c r="H12" s="50">
        <f>IF(FT!B12&lt;&gt;"",FT!B12*100,"")</f>
        <v>16.433</v>
      </c>
      <c r="I12" s="50">
        <f t="shared" si="2"/>
        <v>1</v>
      </c>
      <c r="J12" t="str">
        <f>IF(FT!B12&lt;&gt;"",FT!E12,"")</f>
        <v>0 [4.017627]</v>
      </c>
      <c r="K12">
        <f>IF(FT!B12&lt;&gt;"",IF(FT!C12&lt;&gt;"",FT!C12,F12/$M$3*$M$4),"")</f>
        <v>4.0176299999999996</v>
      </c>
      <c r="M12">
        <f>M11+1</f>
        <v>1</v>
      </c>
      <c r="P12">
        <f t="shared" si="10"/>
        <v>9</v>
      </c>
      <c r="Q12">
        <f t="shared" si="12"/>
        <v>0</v>
      </c>
      <c r="R12">
        <f t="shared" si="13"/>
        <v>0</v>
      </c>
      <c r="S12">
        <f t="array" ref="S12">MAX(IF(ft_nq=P12,row_n))</f>
        <v>0</v>
      </c>
      <c r="T12">
        <f t="shared" si="11"/>
        <v>1</v>
      </c>
      <c r="V12" s="71" t="s">
        <v>217</v>
      </c>
      <c r="W12" s="23">
        <f>FT!H12*100</f>
        <v>48.729900000000001</v>
      </c>
      <c r="Y12" s="75">
        <f t="shared" si="3"/>
        <v>3.1080252984521342</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2.4581715687796999E-4</v>
      </c>
      <c r="D13" s="50">
        <f>IF(hist!$D$2&gt;0,hist!B13/hist!$D$2,0)</f>
        <v>0.32143837108500112</v>
      </c>
      <c r="E13" s="50">
        <f t="shared" si="1"/>
        <v>1.1728796676095374E-4</v>
      </c>
      <c r="F13">
        <f t="shared" si="6"/>
        <v>11</v>
      </c>
      <c r="G13" s="50">
        <f>IF(FT!A13&lt;&gt;"",FT!A13*10,"")</f>
        <v>5.3428900000000006</v>
      </c>
      <c r="H13" s="50">
        <f>IF(FT!B13&lt;&gt;"",FT!B13*100,"")</f>
        <v>16.854700000000001</v>
      </c>
      <c r="I13" s="50">
        <f t="shared" si="2"/>
        <v>1</v>
      </c>
      <c r="J13" t="str">
        <f>IF(FT!B13&lt;&gt;"",FT!E13,"")</f>
        <v>0 [4.428137]</v>
      </c>
      <c r="K13">
        <f>IF(FT!B13&lt;&gt;"",IF(FT!C13&lt;&gt;"",FT!C13,F13/$M$3*$M$4),"")</f>
        <v>4.42814</v>
      </c>
      <c r="M13" s="49">
        <f t="array" ref="M13">MAX(IF(ft_nq=2,row_n))</f>
        <v>0</v>
      </c>
      <c r="P13">
        <f t="shared" si="10"/>
        <v>10</v>
      </c>
      <c r="Q13">
        <f t="shared" si="12"/>
        <v>0</v>
      </c>
      <c r="R13">
        <f t="shared" si="13"/>
        <v>0</v>
      </c>
      <c r="S13">
        <f t="array" ref="S13">MAX(IF(ft_nq=P13,row_n))</f>
        <v>0</v>
      </c>
      <c r="T13">
        <f t="shared" si="11"/>
        <v>1</v>
      </c>
      <c r="V13" s="71" t="s">
        <v>219</v>
      </c>
      <c r="W13">
        <f>FT!H13</f>
        <v>10</v>
      </c>
      <c r="Y13" s="75">
        <f t="shared" si="3"/>
        <v>3.1546035946837758</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5.3961699999999997</v>
      </c>
      <c r="H14" s="50">
        <f>IF(FT!B14&lt;&gt;"",FT!B14*100,"")</f>
        <v>17.508800000000001</v>
      </c>
      <c r="I14" s="50">
        <f t="shared" si="2"/>
        <v>1</v>
      </c>
      <c r="J14" t="str">
        <f>IF(FT!B14&lt;&gt;"",FT!E14,"")</f>
        <v>0 [4.832009]</v>
      </c>
      <c r="K14">
        <f>IF(FT!B14&lt;&gt;"",IF(FT!C14&lt;&gt;"",FT!C14,F14/$M$3*$M$4),"")</f>
        <v>4.8320100000000004</v>
      </c>
      <c r="M14">
        <f>M13+1</f>
        <v>1</v>
      </c>
      <c r="P14">
        <f t="shared" si="10"/>
        <v>11</v>
      </c>
      <c r="Q14">
        <f t="shared" si="12"/>
        <v>0</v>
      </c>
      <c r="R14">
        <f t="shared" si="13"/>
        <v>0</v>
      </c>
      <c r="S14">
        <f t="array" ref="S14">MAX(IF(ft_nq=P14,row_n))</f>
        <v>0</v>
      </c>
      <c r="T14">
        <f t="shared" si="11"/>
        <v>1</v>
      </c>
      <c r="V14" s="71" t="s">
        <v>221</v>
      </c>
      <c r="W14">
        <f>FT!H14</f>
        <v>99</v>
      </c>
      <c r="Y14" s="75">
        <f t="shared" si="3"/>
        <v>3.244671683805366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2.9576086281330556E-3</v>
      </c>
      <c r="D15" s="50">
        <f>IF(hist!$D$2&gt;0,hist!B15/hist!$D$2,0)</f>
        <v>0.45256810197267416</v>
      </c>
      <c r="E15" s="50">
        <f t="shared" si="1"/>
        <v>1.7288999006772056E-4</v>
      </c>
      <c r="F15">
        <f t="shared" si="6"/>
        <v>13</v>
      </c>
      <c r="G15" s="50">
        <f>IF(FT!A15&lt;&gt;"",FT!A15*10,"")</f>
        <v>5.44435</v>
      </c>
      <c r="H15" s="50">
        <f>IF(FT!B15&lt;&gt;"",FT!B15*100,"")</f>
        <v>18.3948</v>
      </c>
      <c r="I15" s="50">
        <f t="shared" si="2"/>
        <v>1</v>
      </c>
      <c r="J15" t="str">
        <f>IF(FT!B15&lt;&gt;"",FT!E15,"")</f>
        <v>0 [5.241779]</v>
      </c>
      <c r="K15">
        <f>IF(FT!B15&lt;&gt;"",IF(FT!C15&lt;&gt;"",FT!C15,F15/$M$3*$M$4),"")</f>
        <v>5.2417800000000003</v>
      </c>
      <c r="M15">
        <f t="array" ref="M15">MAX(IF(ft_nq=3,row_n))</f>
        <v>0</v>
      </c>
      <c r="P15">
        <f t="shared" si="10"/>
        <v>12</v>
      </c>
      <c r="Q15">
        <f t="shared" si="12"/>
        <v>0</v>
      </c>
      <c r="R15">
        <f t="shared" si="13"/>
        <v>0</v>
      </c>
      <c r="S15">
        <f t="array" ref="S15">MAX(IF(ft_nq=P15,row_n))</f>
        <v>0</v>
      </c>
      <c r="T15">
        <f t="shared" si="11"/>
        <v>1</v>
      </c>
      <c r="V15" s="23">
        <f>FT!G15*10</f>
        <v>5.2300800000000001</v>
      </c>
      <c r="W15" s="23">
        <f>FT!H15*100</f>
        <v>16.251300000000001</v>
      </c>
      <c r="Y15" s="75">
        <f t="shared" si="3"/>
        <v>3.3786953447151635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흥겨운</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5.4849499999999995</v>
      </c>
      <c r="H16" s="50">
        <f>IF(FT!B16&lt;&gt;"",FT!B16*100,"")</f>
        <v>19.224299999999999</v>
      </c>
      <c r="I16" s="50">
        <f t="shared" si="2"/>
        <v>1</v>
      </c>
      <c r="J16" t="str">
        <f>IF(FT!B16&lt;&gt;"",FT!E16,"")</f>
        <v>0 [5.650643]</v>
      </c>
      <c r="K16">
        <f>IF(FT!B16&lt;&gt;"",IF(FT!C16&lt;&gt;"",FT!C16,F16/$M$3*$M$4),"")</f>
        <v>5.6506400000000001</v>
      </c>
      <c r="M16">
        <f>M15+1</f>
        <v>1</v>
      </c>
      <c r="P16">
        <f t="shared" si="10"/>
        <v>13</v>
      </c>
      <c r="Q16">
        <f t="shared" si="12"/>
        <v>0</v>
      </c>
      <c r="R16">
        <f t="shared" si="13"/>
        <v>0</v>
      </c>
      <c r="S16">
        <f t="array" ref="S16">MAX(IF(ft_nq=P16,row_n))</f>
        <v>0</v>
      </c>
      <c r="T16">
        <f t="shared" si="11"/>
        <v>1</v>
      </c>
      <c r="V16" s="23">
        <f>FT!G16*10</f>
        <v>6.5923600000000002</v>
      </c>
      <c r="W16" s="23">
        <f>FT!H16*100</f>
        <v>48.729900000000001</v>
      </c>
      <c r="Y16" s="75">
        <f t="shared" si="3"/>
        <v>3.5049180028988416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5.5266500000000001</v>
      </c>
      <c r="H17" s="50">
        <f>IF(FT!B17&lt;&gt;"",FT!B17*100,"")</f>
        <v>20.470199999999998</v>
      </c>
      <c r="I17" s="50">
        <f t="shared" si="2"/>
        <v>1</v>
      </c>
      <c r="J17" t="str">
        <f>IF(FT!B17&lt;&gt;"",FT!E17,"")</f>
        <v>0 [6.054432]</v>
      </c>
      <c r="K17">
        <f>IF(FT!B17&lt;&gt;"",IF(FT!C17&lt;&gt;"",FT!C17,F17/$M$3*$M$4),"")</f>
        <v>6.05443</v>
      </c>
      <c r="M17">
        <f>M3+1</f>
        <v>101</v>
      </c>
      <c r="P17">
        <f t="shared" si="10"/>
        <v>14</v>
      </c>
      <c r="Q17">
        <f t="shared" si="12"/>
        <v>0</v>
      </c>
      <c r="R17">
        <f t="shared" si="13"/>
        <v>0</v>
      </c>
      <c r="S17">
        <f t="array" ref="S17">MAX(IF(ft_nq=P17,row_n))</f>
        <v>0</v>
      </c>
      <c r="T17">
        <f t="shared" si="11"/>
        <v>1</v>
      </c>
      <c r="V17" t="s">
        <v>1522</v>
      </c>
      <c r="Y17" s="75">
        <f t="shared" si="3"/>
        <v>3.7039074303601636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2.0445732521663512E-3</v>
      </c>
      <c r="D18" s="50">
        <f>IF(hist!$D$2&gt;0,hist!B18/hist!$D$2,0)</f>
        <v>0.59506678555229431</v>
      </c>
      <c r="E18" s="50">
        <f t="shared" si="1"/>
        <v>3.0449482981888363E-4</v>
      </c>
      <c r="F18">
        <f t="shared" si="6"/>
        <v>16</v>
      </c>
      <c r="G18" s="50">
        <f>IF(FT!A18&lt;&gt;"",FT!A18*10,"")</f>
        <v>5.5696000000000003</v>
      </c>
      <c r="H18" s="50">
        <f>IF(FT!B18&lt;&gt;"",FT!B18*100,"")</f>
        <v>22.118299999999998</v>
      </c>
      <c r="I18" s="50">
        <f t="shared" si="2"/>
        <v>1</v>
      </c>
      <c r="J18" t="str">
        <f>IF(FT!B18&lt;&gt;"",FT!E18,"")</f>
        <v>0 [6.466126]</v>
      </c>
      <c r="K18">
        <f>IF(FT!B18&lt;&gt;"",IF(FT!C18&lt;&gt;"",FT!C18,F18/$M$3*$M$4),"")</f>
        <v>6.4661299999999997</v>
      </c>
      <c r="P18">
        <f t="shared" si="10"/>
        <v>15</v>
      </c>
      <c r="Q18">
        <f t="shared" si="12"/>
        <v>0</v>
      </c>
      <c r="R18">
        <f t="shared" si="13"/>
        <v>0</v>
      </c>
      <c r="S18">
        <f t="array" ref="S18">MAX(IF(ft_nq=P18,row_n))</f>
        <v>0</v>
      </c>
      <c r="T18">
        <f t="shared" si="11"/>
        <v>1</v>
      </c>
      <c r="V18" s="288">
        <f>M!B18*100</f>
        <v>46.1128</v>
      </c>
      <c r="W18" s="287">
        <f>100-M!B19*100</f>
        <v>73.689899999999994</v>
      </c>
      <c r="X18" t="str">
        <f>"(" &amp; ROUND(V18,1) &amp; " , " &amp; ROUND(100-W18,1) &amp; ")"</f>
        <v>(46.1 , 26.3)</v>
      </c>
      <c r="Y18" s="75">
        <f t="shared" si="3"/>
        <v>3.9712546681987928</v>
      </c>
      <c r="Z18">
        <f>M!B18*100</f>
        <v>46.1128</v>
      </c>
      <c r="AA18">
        <f>100-M!B19*100</f>
        <v>73.689899999999994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5.6112500000000001</v>
      </c>
      <c r="H19" s="50">
        <f>IF(FT!B19&lt;&gt;"",FT!B19*100,"")</f>
        <v>23.935699999999997</v>
      </c>
      <c r="I19" s="50">
        <f t="shared" si="2"/>
        <v>1</v>
      </c>
      <c r="J19" t="str">
        <f>IF(FT!B19&lt;&gt;"",FT!E19,"")</f>
        <v>0 [6.878008]</v>
      </c>
      <c r="K19">
        <f>IF(FT!B19&lt;&gt;"",IF(FT!C19&lt;&gt;"",FT!C19,F19/$M$3*$M$4),"")</f>
        <v>6.8780099999999997</v>
      </c>
      <c r="P19">
        <f t="shared" si="10"/>
        <v>16</v>
      </c>
      <c r="Q19">
        <f t="shared" si="12"/>
        <v>0</v>
      </c>
      <c r="R19">
        <f t="shared" si="13"/>
        <v>0</v>
      </c>
      <c r="S19">
        <f t="array" ref="S19">MAX(IF(ft_nq=P19,row_n))</f>
        <v>0</v>
      </c>
      <c r="T19">
        <f t="shared" si="11"/>
        <v>1</v>
      </c>
      <c r="V19" t="s">
        <v>1521</v>
      </c>
      <c r="Y19" s="75">
        <f t="shared" si="3"/>
        <v>4.265662731120516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5.6472599999999993</v>
      </c>
      <c r="H20" s="50">
        <f>IF(FT!B20&lt;&gt;"",FT!B20*100,"")</f>
        <v>25.866600000000002</v>
      </c>
      <c r="I20" s="50">
        <f t="shared" si="2"/>
        <v>1</v>
      </c>
      <c r="J20" t="str">
        <f>IF(FT!B20&lt;&gt;"",FT!E20,"")</f>
        <v>0 [7.281612]</v>
      </c>
      <c r="K20">
        <f>IF(FT!B20&lt;&gt;"",IF(FT!C20&lt;&gt;"",FT!C20,F20/$M$3*$M$4),"")</f>
        <v>7.2816099999999997</v>
      </c>
      <c r="P20">
        <f t="shared" si="10"/>
        <v>17</v>
      </c>
      <c r="Q20">
        <f t="shared" si="12"/>
        <v>0</v>
      </c>
      <c r="R20">
        <f t="shared" si="13"/>
        <v>0</v>
      </c>
      <c r="S20">
        <f t="array" ref="S20">MAX(IF(ft_nq=P20,row_n))</f>
        <v>0</v>
      </c>
      <c r="T20">
        <f t="shared" si="11"/>
        <v>1</v>
      </c>
      <c r="V20" s="56">
        <v>50</v>
      </c>
      <c r="W20">
        <v>50</v>
      </c>
      <c r="Y20" s="75">
        <f t="shared" si="3"/>
        <v>4.5803805739420538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9.4815122526943499E-4</v>
      </c>
      <c r="D21" s="50">
        <f>IF(hist!$D$2&gt;0,hist!B21/hist!$D$2,0)</f>
        <v>0.7784588694533755</v>
      </c>
      <c r="E21" s="50">
        <f t="shared" si="1"/>
        <v>5.2605672839479056E-4</v>
      </c>
      <c r="F21">
        <f t="shared" si="6"/>
        <v>19</v>
      </c>
      <c r="G21" s="50">
        <f>IF(FT!A21&lt;&gt;"",FT!A21*10,"")</f>
        <v>5.67971</v>
      </c>
      <c r="H21" s="50">
        <f>IF(FT!B21&lt;&gt;"",FT!B21*100,"")</f>
        <v>27.889500000000002</v>
      </c>
      <c r="I21" s="50">
        <f t="shared" si="2"/>
        <v>1</v>
      </c>
      <c r="J21" t="str">
        <f>IF(FT!B21&lt;&gt;"",FT!E21,"")</f>
        <v>0 [7.672665]</v>
      </c>
      <c r="K21">
        <f>IF(FT!B21&lt;&gt;"",IF(FT!C21&lt;&gt;"",FT!C21,F21/$M$3*$M$4),"")</f>
        <v>7.6726700000000001</v>
      </c>
      <c r="P21">
        <f t="shared" si="10"/>
        <v>18</v>
      </c>
      <c r="Q21">
        <f t="shared" si="12"/>
        <v>0</v>
      </c>
      <c r="R21">
        <f t="shared" si="13"/>
        <v>0</v>
      </c>
      <c r="S21">
        <f t="array" ref="S21">MAX(IF(ft_nq=P21,row_n))</f>
        <v>0</v>
      </c>
      <c r="T21">
        <f t="shared" si="11"/>
        <v>1</v>
      </c>
      <c r="V21" s="288">
        <f>Measurement!DK17*100</f>
        <v>75.521038476479447</v>
      </c>
      <c r="W21" s="287">
        <f>'R3'!I3</f>
        <v>92.559860459211379</v>
      </c>
      <c r="X21" t="str">
        <f>"(" &amp; ROUND(V21,1) &amp; " , " &amp; ROUND(W21,1) &amp; ")" &amp; CHAR(10) &amp; AR26</f>
        <v>(75.5 , 92.6)
흥겨운</v>
      </c>
      <c r="Y21" s="75">
        <f t="shared" si="3"/>
        <v>4.9103739451486081</v>
      </c>
      <c r="AA21">
        <f>100-M!B19*100</f>
        <v>73.689899999999994</v>
      </c>
      <c r="AC21">
        <f>'R3'!I3</f>
        <v>92.559860459211379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5.7099399999999996</v>
      </c>
      <c r="H22" s="50">
        <f>IF(FT!B22&lt;&gt;"",FT!B22*100,"")</f>
        <v>30.1279</v>
      </c>
      <c r="I22" s="50">
        <f t="shared" si="2"/>
        <v>1</v>
      </c>
      <c r="J22" t="str">
        <f>IF(FT!B22&lt;&gt;"",FT!E22,"")</f>
        <v>0 [8.086395]</v>
      </c>
      <c r="K22">
        <f>IF(FT!B22&lt;&gt;"",IF(FT!C22&lt;&gt;"",FT!C22,F22/$M$3*$M$4),"")</f>
        <v>8.0863999999999994</v>
      </c>
      <c r="P22">
        <f t="shared" si="10"/>
        <v>19</v>
      </c>
      <c r="Q22">
        <f t="shared" si="12"/>
        <v>0</v>
      </c>
      <c r="R22">
        <f t="shared" si="13"/>
        <v>0</v>
      </c>
      <c r="S22">
        <f t="array" ref="S22">MAX(IF(ft_nq=P22,row_n))</f>
        <v>0</v>
      </c>
      <c r="T22">
        <f t="shared" si="11"/>
        <v>1</v>
      </c>
      <c r="V22" s="300">
        <f>X23</f>
        <v>90</v>
      </c>
      <c r="W22" s="300">
        <f>X23</f>
        <v>90</v>
      </c>
      <c r="X22" t="s">
        <v>1188</v>
      </c>
      <c r="Y22" s="75">
        <f t="shared" si="3"/>
        <v>5.2763951985484967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2.867864242010125E-3</v>
      </c>
      <c r="D23" s="50">
        <f>IF(hist!$D$2&gt;0,hist!B23/hist!$D$2,0)</f>
        <v>0.90398664805186379</v>
      </c>
      <c r="E23" s="50">
        <f t="shared" si="1"/>
        <v>7.493614396675176E-4</v>
      </c>
      <c r="F23">
        <f t="shared" si="6"/>
        <v>21</v>
      </c>
      <c r="G23" s="50">
        <f>IF(FT!A23&lt;&gt;"",FT!A23*10,"")</f>
        <v>5.7338100000000001</v>
      </c>
      <c r="H23" s="50">
        <f>IF(FT!B23&lt;&gt;"",FT!B23*100,"")</f>
        <v>32.251600000000003</v>
      </c>
      <c r="I23" s="50">
        <f t="shared" si="2"/>
        <v>1</v>
      </c>
      <c r="J23" t="str">
        <f>IF(FT!B23&lt;&gt;"",FT!E23,"")</f>
        <v>0 [8.497235]</v>
      </c>
      <c r="K23">
        <f>IF(FT!B23&lt;&gt;"",IF(FT!C23&lt;&gt;"",FT!C23,F23/$M$3*$M$4),"")</f>
        <v>8.4972300000000001</v>
      </c>
      <c r="P23">
        <f t="shared" si="10"/>
        <v>20</v>
      </c>
      <c r="Q23">
        <f t="shared" si="12"/>
        <v>0</v>
      </c>
      <c r="R23">
        <f t="shared" si="13"/>
        <v>0</v>
      </c>
      <c r="S23">
        <f t="array" ref="S23">MAX(IF(ft_nq=P23,row_n))</f>
        <v>0</v>
      </c>
      <c r="T23">
        <f t="shared" si="11"/>
        <v>1</v>
      </c>
      <c r="V23" s="300">
        <f>100-X23</f>
        <v>10</v>
      </c>
      <c r="W23" s="300">
        <f>X23</f>
        <v>90</v>
      </c>
      <c r="X23">
        <v>90</v>
      </c>
      <c r="Y23" s="75">
        <f t="shared" si="3"/>
        <v>5.6248114255617123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5.7584199999999992</v>
      </c>
      <c r="H24" s="50">
        <f>IF(FT!B24&lt;&gt;"",FT!B24*100,"")</f>
        <v>34.922899999999998</v>
      </c>
      <c r="I24" s="50">
        <f t="shared" si="2"/>
        <v>1</v>
      </c>
      <c r="J24" t="str">
        <f>IF(FT!B24&lt;&gt;"",FT!E24,"")</f>
        <v>0 [8.891798]</v>
      </c>
      <c r="K24">
        <f>IF(FT!B24&lt;&gt;"",IF(FT!C24&lt;&gt;"",FT!C24,F24/$M$3*$M$4),"")</f>
        <v>8.8917999999999999</v>
      </c>
      <c r="P24">
        <f t="shared" si="10"/>
        <v>21</v>
      </c>
      <c r="Q24">
        <f t="shared" si="12"/>
        <v>0</v>
      </c>
      <c r="R24">
        <f t="shared" si="13"/>
        <v>0</v>
      </c>
      <c r="S24">
        <f t="array" ref="S24">MAX(IF(ft_nq=P24,row_n))</f>
        <v>0</v>
      </c>
      <c r="T24">
        <f t="shared" si="11"/>
        <v>1</v>
      </c>
      <c r="V24" s="300">
        <f>100-X23</f>
        <v>10</v>
      </c>
      <c r="W24" s="300">
        <f>100-X23</f>
        <v>10</v>
      </c>
      <c r="Y24" s="75">
        <f t="shared" si="3"/>
        <v>6.0646670440850103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5.7909299999999995</v>
      </c>
      <c r="H25" s="50">
        <f>IF(FT!B25&lt;&gt;"",FT!B25*100,"")</f>
        <v>38.290900000000001</v>
      </c>
      <c r="I25" s="50">
        <f t="shared" si="2"/>
        <v>1</v>
      </c>
      <c r="J25" t="str">
        <f>IF(FT!B25&lt;&gt;"",FT!E25,"")</f>
        <v>0 [9.293041]</v>
      </c>
      <c r="K25">
        <f>IF(FT!B25&lt;&gt;"",IF(FT!C25&lt;&gt;"",FT!C25,F25/$M$3*$M$4),"")</f>
        <v>9.2930399999999995</v>
      </c>
      <c r="P25">
        <f t="shared" si="10"/>
        <v>22</v>
      </c>
      <c r="Q25">
        <f t="shared" si="12"/>
        <v>0</v>
      </c>
      <c r="R25">
        <f t="shared" si="13"/>
        <v>0</v>
      </c>
      <c r="S25">
        <f t="array" ref="S25">MAX(IF(ft_nq=P25,row_n))</f>
        <v>0</v>
      </c>
      <c r="T25">
        <f t="shared" si="11"/>
        <v>1</v>
      </c>
      <c r="V25" s="300">
        <f>X23</f>
        <v>90</v>
      </c>
      <c r="W25" s="300">
        <f>100-X23</f>
        <v>10</v>
      </c>
      <c r="Y25" s="75">
        <f t="shared" si="3"/>
        <v>6.6122194535247365</v>
      </c>
    </row>
    <row r="26" spans="1:120">
      <c r="A26" s="50">
        <f t="shared" si="5"/>
        <v>24</v>
      </c>
      <c r="B26" s="50">
        <f t="shared" si="0"/>
        <v>0.46721411764705884</v>
      </c>
      <c r="C26" s="50">
        <f>IF(FH!$C$2&gt;0,FH!A26/FH!$C$2,0)</f>
        <v>4.0189303351243905E-3</v>
      </c>
      <c r="D26" s="50">
        <f>IF(hist!$D$2&gt;0,hist!B26/hist!$D$2,0)</f>
        <v>0.98326867627375281</v>
      </c>
      <c r="E26" s="50">
        <f t="shared" si="1"/>
        <v>1.2537616179719071E-3</v>
      </c>
      <c r="F26">
        <f t="shared" si="6"/>
        <v>24</v>
      </c>
      <c r="G26" s="50">
        <f>IF(FT!A26&lt;&gt;"",FT!A26*10,"")</f>
        <v>5.7732200000000002</v>
      </c>
      <c r="H26" s="50">
        <f>IF(FT!B26&lt;&gt;"",FT!B26*100,"")</f>
        <v>38.7577</v>
      </c>
      <c r="I26" s="50">
        <f t="shared" si="2"/>
        <v>1</v>
      </c>
      <c r="J26" t="str">
        <f>IF(FT!B26&lt;&gt;"",FT!E26,"")</f>
        <v>0 [9.709867]</v>
      </c>
      <c r="K26">
        <f>IF(FT!B26&lt;&gt;"",IF(FT!C26&lt;&gt;"",FT!C26,F26/$M$3*$M$4),"")</f>
        <v>9.7098700000000004</v>
      </c>
      <c r="P26">
        <f t="shared" si="10"/>
        <v>23</v>
      </c>
      <c r="Q26">
        <f t="shared" si="12"/>
        <v>0</v>
      </c>
      <c r="R26">
        <f t="shared" si="13"/>
        <v>0</v>
      </c>
      <c r="S26">
        <f t="array" ref="S26">MAX(IF(ft_nq=P26,row_n))</f>
        <v>0</v>
      </c>
      <c r="T26">
        <f t="shared" si="11"/>
        <v>1</v>
      </c>
      <c r="V26" s="300">
        <f>X23</f>
        <v>90</v>
      </c>
      <c r="W26" s="300">
        <f>X23</f>
        <v>90</v>
      </c>
      <c r="Y26" s="75">
        <f t="shared" si="3"/>
        <v>6.7133592691773396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흥겨운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흥겨운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5.7520800000000003</v>
      </c>
      <c r="H27" s="50">
        <f>IF(FT!B27&lt;&gt;"",FT!B27*100,"")</f>
        <v>39.130499999999998</v>
      </c>
      <c r="I27" s="50">
        <f t="shared" si="2"/>
        <v>1</v>
      </c>
      <c r="J27" t="str">
        <f>IF(FT!B27&lt;&gt;"",FT!E27,"")</f>
        <v>0 [10.112611]</v>
      </c>
      <c r="K27">
        <f>IF(FT!B27&lt;&gt;"",IF(FT!C27&lt;&gt;"",FT!C27,F27/$M$3*$M$4),"")</f>
        <v>10.1126</v>
      </c>
      <c r="P27">
        <f t="shared" si="10"/>
        <v>24</v>
      </c>
      <c r="Q27">
        <f t="shared" si="12"/>
        <v>0</v>
      </c>
      <c r="R27">
        <f t="shared" si="13"/>
        <v>0</v>
      </c>
      <c r="S27">
        <f t="array" ref="S27">MAX(IF(ft_nq=P27,row_n))</f>
        <v>0</v>
      </c>
      <c r="T27">
        <f t="shared" si="11"/>
        <v>1</v>
      </c>
      <c r="V27" s="288">
        <v>60</v>
      </c>
      <c r="W27" s="288">
        <v>60</v>
      </c>
      <c r="X27" t="s">
        <v>1189</v>
      </c>
      <c r="Y27" s="75">
        <f t="shared" si="3"/>
        <v>6.802843493136395</v>
      </c>
      <c r="AS27" t="s">
        <v>2144</v>
      </c>
    </row>
    <row r="28" spans="1:120">
      <c r="A28" s="50">
        <f t="shared" si="5"/>
        <v>26</v>
      </c>
      <c r="B28" s="50">
        <f t="shared" si="0"/>
        <v>0.50614862745098044</v>
      </c>
      <c r="C28" s="50">
        <f>IF(FH!$C$2&gt;0,FH!A28/FH!$C$2,0)</f>
        <v>7.3589154269031272E-3</v>
      </c>
      <c r="D28" s="50">
        <f>IF(hist!$D$2&gt;0,hist!B28/hist!$D$2,0)</f>
        <v>0.98809531294061448</v>
      </c>
      <c r="E28" s="50">
        <f t="shared" si="1"/>
        <v>1.7481863048396636E-3</v>
      </c>
      <c r="F28">
        <f t="shared" si="6"/>
        <v>26</v>
      </c>
      <c r="G28" s="50">
        <f>IF(FT!A28&lt;&gt;"",FT!A28*10,"")</f>
        <v>5.7325900000000001</v>
      </c>
      <c r="H28" s="50">
        <f>IF(FT!B28&lt;&gt;"",FT!B28*100,"")</f>
        <v>39.393499999999996</v>
      </c>
      <c r="I28" s="50">
        <f t="shared" si="2"/>
        <v>1</v>
      </c>
      <c r="J28" t="str">
        <f>IF(FT!B28&lt;&gt;"",FT!E28,"")</f>
        <v>0 [10.518589]</v>
      </c>
      <c r="K28">
        <f>IF(FT!B28&lt;&gt;"",IF(FT!C28&lt;&gt;"",FT!C28,F28/$M$3*$M$4),"")</f>
        <v>10.518599999999999</v>
      </c>
      <c r="V28" s="288">
        <v>40</v>
      </c>
      <c r="W28" s="288">
        <v>60</v>
      </c>
      <c r="Y28" s="75">
        <f t="shared" si="3"/>
        <v>6.8718502457004593</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5.7115400000000003</v>
      </c>
      <c r="H29" s="50">
        <f>IF(FT!B29&lt;&gt;"",FT!B29*100,"")</f>
        <v>39.535800000000002</v>
      </c>
      <c r="I29" s="50">
        <f t="shared" si="2"/>
        <v>1</v>
      </c>
      <c r="J29" t="str">
        <f>IF(FT!B29&lt;&gt;"",FT!E29,"")</f>
        <v>0 [10.919101]</v>
      </c>
      <c r="K29">
        <f>IF(FT!B29&lt;&gt;"",IF(FT!C29&lt;&gt;"",FT!C29,F29/$M$3*$M$4),"")</f>
        <v>10.9191</v>
      </c>
      <c r="V29" s="288">
        <v>40</v>
      </c>
      <c r="W29" s="288">
        <v>40</v>
      </c>
      <c r="Y29" s="75">
        <f t="shared" si="3"/>
        <v>6.9220910647566152</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5.6930800000000001</v>
      </c>
      <c r="H30" s="50">
        <f>IF(FT!B30&lt;&gt;"",FT!B30*100,"")</f>
        <v>39.853200000000001</v>
      </c>
      <c r="I30" s="50">
        <f t="shared" si="2"/>
        <v>1</v>
      </c>
      <c r="J30" t="str">
        <f>IF(FT!B30&lt;&gt;"",FT!E30,"")</f>
        <v>0 [11.322685]</v>
      </c>
      <c r="K30">
        <f>IF(FT!B30&lt;&gt;"",IF(FT!C30&lt;&gt;"",FT!C30,F30/$M$3*$M$4),"")</f>
        <v>11.322699999999999</v>
      </c>
      <c r="V30" s="288">
        <v>60</v>
      </c>
      <c r="W30" s="288">
        <v>40</v>
      </c>
      <c r="Y30" s="75">
        <f t="shared" si="3"/>
        <v>7.0002880690241485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1.5349916141255396E-2</v>
      </c>
      <c r="D31" s="50">
        <f>IF(hist!$D$2&gt;0,hist!B31/hist!$D$2,0)</f>
        <v>0.99066677942048986</v>
      </c>
      <c r="E31" s="50">
        <f t="shared" si="1"/>
        <v>2.8325808490806273E-3</v>
      </c>
      <c r="F31">
        <f t="shared" si="6"/>
        <v>29</v>
      </c>
      <c r="G31" s="50">
        <f>IF(FT!A31&lt;&gt;"",FT!A31*10,"")</f>
        <v>5.6795399999999994</v>
      </c>
      <c r="H31" s="50">
        <f>IF(FT!B31&lt;&gt;"",FT!B31*100,"")</f>
        <v>40.1952</v>
      </c>
      <c r="I31" s="50">
        <f t="shared" si="2"/>
        <v>1</v>
      </c>
      <c r="J31" t="str">
        <f>IF(FT!B31&lt;&gt;"",FT!E31,"")</f>
        <v>0 [11.744966]</v>
      </c>
      <c r="K31">
        <f>IF(FT!B31&lt;&gt;"",IF(FT!C31&lt;&gt;"",FT!C31,F31/$M$3*$M$4),"")</f>
        <v>11.744999999999999</v>
      </c>
      <c r="V31" s="288">
        <v>60</v>
      </c>
      <c r="W31" s="288">
        <v>60</v>
      </c>
      <c r="Y31" s="75">
        <f t="shared" si="3"/>
        <v>7.0771928712536587</v>
      </c>
      <c r="CB31" t="str">
        <f ca="1">IF(W8=1,CB33,IF(W8=2,CB34,IF(W8=3,CB35,IF(W8=4,CB36,IF(W8=5,CB37,IF(W8=6,CB38,IF(W8=7,CB39,IF(W8=8,CB40,""))))))))</f>
        <v>심리적인 우울감이 있고 불편하고 불안정한 상태이지만,심리적인 정보변화가 증가하고 있어 정서상태가 좋아질 수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5.6678199999999999</v>
      </c>
      <c r="H32" s="50">
        <f>IF(FT!B32&lt;&gt;"",FT!B32*100,"")</f>
        <v>40.391300000000001</v>
      </c>
      <c r="I32" s="50">
        <f t="shared" si="2"/>
        <v>1</v>
      </c>
      <c r="J32" t="str">
        <f>IF(FT!B32&lt;&gt;"",FT!E32,"")</f>
        <v>0 [12.143665]</v>
      </c>
      <c r="K32">
        <f>IF(FT!B32&lt;&gt;"",IF(FT!C32&lt;&gt;"",FT!C32,F32/$M$3*$M$4),"")</f>
        <v>12.143700000000001</v>
      </c>
      <c r="Y32" s="75">
        <f t="shared" si="3"/>
        <v>7.1264260332896958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1.6688239587539212E-2</v>
      </c>
      <c r="D33" s="50">
        <f>IF(hist!$D$2&gt;0,hist!B33/hist!$D$2,0)</f>
        <v>0.99527067142708536</v>
      </c>
      <c r="E33" s="50">
        <f t="shared" si="1"/>
        <v>3.866064000072457E-3</v>
      </c>
      <c r="F33">
        <f t="shared" si="6"/>
        <v>31</v>
      </c>
      <c r="G33" s="50">
        <f>IF(FT!A33&lt;&gt;"",FT!A33*10,"")</f>
        <v>5.6564099999999993</v>
      </c>
      <c r="H33" s="50">
        <f>IF(FT!B33&lt;&gt;"",FT!B33*100,"")</f>
        <v>40.459499999999998</v>
      </c>
      <c r="I33" s="50">
        <f t="shared" si="2"/>
        <v>1</v>
      </c>
      <c r="J33" t="str">
        <f>IF(FT!B33&lt;&gt;"",FT!E33,"")</f>
        <v>0 [12.551964]</v>
      </c>
      <c r="K33">
        <f>IF(FT!B33&lt;&gt;"",IF(FT!C33&lt;&gt;"",FT!C33,F33/$M$3*$M$4),"")</f>
        <v>12.552</v>
      </c>
      <c r="W33" s="23">
        <f>FH_info!G2</f>
        <v>0.64749299999999999</v>
      </c>
      <c r="Y33" s="75">
        <f t="shared" si="3"/>
        <v>7.1528584384795311</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5.6414299999999997</v>
      </c>
      <c r="H34" s="50">
        <f>IF(FT!B34&lt;&gt;"",FT!B34*100,"")</f>
        <v>40.2943</v>
      </c>
      <c r="I34" s="50">
        <f t="shared" si="2"/>
        <v>1</v>
      </c>
      <c r="J34" t="str">
        <f>IF(FT!B34&lt;&gt;"",FT!E34,"")</f>
        <v>0 [12.952443]</v>
      </c>
      <c r="K34">
        <f>IF(FT!B34&lt;&gt;"",IF(FT!C34&lt;&gt;"",FT!C34,F34/$M$3*$M$4),"")</f>
        <v>12.952400000000001</v>
      </c>
      <c r="V34" t="s">
        <v>1253</v>
      </c>
      <c r="W34" s="23">
        <f>IF(FH_info!G2&lt;&gt;0,(1-FH_info!G2)*100,0)</f>
        <v>35.250700000000002</v>
      </c>
      <c r="X34" t="s">
        <v>1054</v>
      </c>
      <c r="Y34" s="75">
        <f t="shared" si="3"/>
        <v>7.1425684622515924</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5.6341399999999995</v>
      </c>
      <c r="H35" s="50">
        <f>IF(FT!B35&lt;&gt;"",FT!B35*100,"")</f>
        <v>40.252700000000004</v>
      </c>
      <c r="I35" s="50">
        <f t="shared" si="2"/>
        <v>1</v>
      </c>
      <c r="J35" t="str">
        <f>IF(FT!B35&lt;&gt;"",FT!E35,"")</f>
        <v>0 [13.365008]</v>
      </c>
      <c r="K35">
        <f>IF(FT!B35&lt;&gt;"",IF(FT!C35&lt;&gt;"",FT!C35,F35/$M$3*$M$4),"")</f>
        <v>13.365</v>
      </c>
      <c r="V35" s="52">
        <f>IF(V36&gt;3,100,V36/3*100)</f>
        <v>97.64266666666667</v>
      </c>
      <c r="W35" s="23">
        <f>IF(FH_info!G2*1&lt;&gt;0,(1-NORMSDIST((FH_info!G2*1-0.5308)/0.1538))*100,0)</f>
        <v>22.400640941786452</v>
      </c>
      <c r="X35" t="s">
        <v>1053</v>
      </c>
      <c r="Y35" s="75">
        <f t="shared" si="3"/>
        <v>7.1444266560646357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2.6821365344597323E-2</v>
      </c>
      <c r="D36" s="50">
        <f>IF(hist!$D$2&gt;0,hist!B36/hist!$D$2,0)</f>
        <v>1</v>
      </c>
      <c r="E36" s="50">
        <f t="shared" si="1"/>
        <v>6.0664498559466744E-3</v>
      </c>
      <c r="F36">
        <f t="shared" si="6"/>
        <v>34</v>
      </c>
      <c r="G36" s="50">
        <f>IF(FT!A36&lt;&gt;"",FT!A36*10,"")</f>
        <v>5.6352100000000007</v>
      </c>
      <c r="H36" s="50">
        <f>IF(FT!B36&lt;&gt;"",FT!B36*100,"")</f>
        <v>40.170699999999997</v>
      </c>
      <c r="I36" s="50">
        <f t="shared" si="2"/>
        <v>1</v>
      </c>
      <c r="J36" t="str">
        <f>IF(FT!B36&lt;&gt;"",FT!E36,"")</f>
        <v>0 [13.770811]</v>
      </c>
      <c r="K36">
        <f>IF(FT!B36&lt;&gt;"",IF(FT!C36&lt;&gt;"",FT!C36,F36/$M$3*$M$4),"")</f>
        <v>13.770799999999999</v>
      </c>
      <c r="R36" s="71" t="s">
        <v>2215</v>
      </c>
      <c r="S36" t="s">
        <v>1251</v>
      </c>
      <c r="U36" t="s">
        <v>386</v>
      </c>
      <c r="V36" s="495">
        <f>FH_info!F2*1</f>
        <v>2.9292799999999999</v>
      </c>
      <c r="W36" s="495">
        <f>IF(W34&gt;=60,30/40*(W34-60)+70,IF(W34&gt;=35,35/25*(W34-35)+35,IF(W34&gt;=0,W34,0)))</f>
        <v>35.35098</v>
      </c>
      <c r="X36" s="23" t="s">
        <v>388</v>
      </c>
      <c r="Y36" s="75">
        <f t="shared" si="3"/>
        <v>7.1285187242356525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5.6391599999999995</v>
      </c>
      <c r="H37" s="50">
        <f>IF(FT!B37&lt;&gt;"",FT!B37*100,"")</f>
        <v>40.055099999999996</v>
      </c>
      <c r="I37" s="50">
        <f t="shared" si="2"/>
        <v>1</v>
      </c>
      <c r="J37" t="str">
        <f>IF(FT!B37&lt;&gt;"",FT!E37,"")</f>
        <v>0 [14.168755]</v>
      </c>
      <c r="K37">
        <f>IF(FT!B37&lt;&gt;"",IF(FT!C37&lt;&gt;"",FT!C37,F37/$M$3*$M$4),"")</f>
        <v>14.168799999999999</v>
      </c>
      <c r="R37" s="71" t="s">
        <v>2222</v>
      </c>
      <c r="S37" t="s">
        <v>2216</v>
      </c>
      <c r="U37" t="s">
        <v>458</v>
      </c>
      <c r="V37" s="130" t="str">
        <f>IF(V36&gt;=2.5,"v","")</f>
        <v>v</v>
      </c>
      <c r="W37" s="130" t="str">
        <f>IF(W36&gt;=60,"v","")</f>
        <v/>
      </c>
      <c r="Y37" s="75">
        <f t="shared" si="3"/>
        <v>7.1030259825931523</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5.6448699999999992</v>
      </c>
      <c r="H38" s="50">
        <f>IF(FT!B38&lt;&gt;"",FT!B38*100,"")</f>
        <v>39.842700000000001</v>
      </c>
      <c r="I38" s="50">
        <f t="shared" si="2"/>
        <v>1</v>
      </c>
      <c r="J38" t="str">
        <f>IF(FT!B38&lt;&gt;"",FT!E38,"")</f>
        <v>0 [14.578869]</v>
      </c>
      <c r="K38">
        <f>IF(FT!B38&lt;&gt;"",IF(FT!C38&lt;&gt;"",FT!C38,F38/$M$3*$M$4),"")</f>
        <v>14.578900000000001</v>
      </c>
      <c r="U38" t="s">
        <v>460</v>
      </c>
      <c r="V38" s="130" t="str">
        <f>IF(V36&gt;=1,IF(V36&lt;2.5,"v",""),"")</f>
        <v/>
      </c>
      <c r="W38" s="130" t="str">
        <f>IF(W36*1&gt;35,IF(W36&lt;60,"v",""),"")</f>
        <v>v</v>
      </c>
      <c r="Y38" s="75">
        <f t="shared" si="3"/>
        <v>7.058213918123891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3.4488539304904184E-2</v>
      </c>
      <c r="D39" s="50">
        <f>IF(hist!$D$2&gt;0,hist!B39/hist!$D$2,0)</f>
        <v>0.97911922611228286</v>
      </c>
      <c r="E39" s="50">
        <f t="shared" si="1"/>
        <v>9.3377613091144441E-3</v>
      </c>
      <c r="F39">
        <f t="shared" si="6"/>
        <v>37</v>
      </c>
      <c r="G39" s="50">
        <f>IF(FT!A39&lt;&gt;"",FT!A39*10,"")</f>
        <v>5.6510899999999999</v>
      </c>
      <c r="H39" s="50">
        <f>IF(FT!B39&lt;&gt;"",FT!B39*100,"")</f>
        <v>39.523000000000003</v>
      </c>
      <c r="I39" s="50">
        <f t="shared" si="2"/>
        <v>1</v>
      </c>
      <c r="J39" t="str">
        <f>IF(FT!B39&lt;&gt;"",FT!E39,"")</f>
        <v>0 [14.987267]</v>
      </c>
      <c r="K39">
        <f>IF(FT!B39&lt;&gt;"",IF(FT!C39&lt;&gt;"",FT!C39,F39/$M$3*$M$4),"")</f>
        <v>14.987299999999999</v>
      </c>
      <c r="U39" t="s">
        <v>462</v>
      </c>
      <c r="V39" s="131" t="str">
        <f>IF(V36&lt;1,"v","")</f>
        <v/>
      </c>
      <c r="W39" s="130" t="str">
        <f>IF(W36&lt;=35,"v","")</f>
        <v/>
      </c>
      <c r="Y39" s="75">
        <f t="shared" si="3"/>
        <v>6.9938719786802199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5.6631900000000002</v>
      </c>
      <c r="H40" s="50">
        <f>IF(FT!B40&lt;&gt;"",FT!B40*100,"")</f>
        <v>39.1569</v>
      </c>
      <c r="I40" s="50">
        <f t="shared" si="2"/>
        <v>1</v>
      </c>
      <c r="J40" t="str">
        <f>IF(FT!B40&lt;&gt;"",FT!E40,"")</f>
        <v>0 [15.388821]</v>
      </c>
      <c r="K40">
        <f>IF(FT!B40&lt;&gt;"",IF(FT!C40&lt;&gt;"",FT!C40,F40/$M$3*$M$4),"")</f>
        <v>15.3888</v>
      </c>
      <c r="V40" s="287" t="str">
        <f>IF(V36&lt;1,lang!B231,IF(V36&lt;2.5,lang!B230,lang!B229))</f>
        <v>높 음</v>
      </c>
      <c r="W40" s="287" t="str">
        <f>IF(W36&lt;=35,lang!B242,IF(W36&lt;60,lang!B241,lang!B240))</f>
        <v>보 통</v>
      </c>
      <c r="X40" t="s">
        <v>1055</v>
      </c>
      <c r="Y40" s="75">
        <f t="shared" si="3"/>
        <v>6.9142832926318913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4.8624871882473518E-2</v>
      </c>
      <c r="D41" s="50">
        <f>IF(hist!$D$2&gt;0,hist!B41/hist!$D$2,0)</f>
        <v>0.95356110677812178</v>
      </c>
      <c r="E41" s="50">
        <f t="shared" si="1"/>
        <v>1.2316061904930216E-2</v>
      </c>
      <c r="F41">
        <f t="shared" si="6"/>
        <v>39</v>
      </c>
      <c r="G41" s="50">
        <f>IF(FT!A41&lt;&gt;"",FT!A41*10,"")</f>
        <v>5.6810400000000003</v>
      </c>
      <c r="H41" s="50">
        <f>IF(FT!B41&lt;&gt;"",FT!B41*100,"")</f>
        <v>38.694099999999999</v>
      </c>
      <c r="I41" s="50">
        <f t="shared" si="2"/>
        <v>1</v>
      </c>
      <c r="J41" t="str">
        <f>IF(FT!B41&lt;&gt;"",FT!E41,"")</f>
        <v>0 [15.803013]</v>
      </c>
      <c r="K41">
        <f>IF(FT!B41&lt;&gt;"",IF(FT!C41&lt;&gt;"",FT!C41,F41/$M$3*$M$4),"")</f>
        <v>15.803000000000001</v>
      </c>
      <c r="V41" t="s">
        <v>2216</v>
      </c>
      <c r="W41" s="287" t="s">
        <v>2154</v>
      </c>
      <c r="X41" t="s">
        <v>1056</v>
      </c>
      <c r="Y41" s="75">
        <f t="shared" si="3"/>
        <v>6.8110944474955284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5.70268</v>
      </c>
      <c r="H42" s="50">
        <f>IF(FT!B42&lt;&gt;"",FT!B42*100,"")</f>
        <v>38.126599999999996</v>
      </c>
      <c r="I42" s="50">
        <f t="shared" si="2"/>
        <v>1</v>
      </c>
      <c r="J42" t="str">
        <f>IF(FT!B42&lt;&gt;"",FT!E42,"")</f>
        <v>0 [16.208298]</v>
      </c>
      <c r="K42">
        <f>IF(FT!B42&lt;&gt;"",IF(FT!C42&lt;&gt;"",FT!C42,F42/$M$3*$M$4),"")</f>
        <v>16.208300000000001</v>
      </c>
      <c r="U42" t="s">
        <v>464</v>
      </c>
      <c r="V42" t="s">
        <v>273</v>
      </c>
      <c r="Y42" s="75">
        <f t="shared" si="3"/>
        <v>6.6857337251958722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5.7255799999999999</v>
      </c>
      <c r="H43" s="50">
        <f>IF(FT!B43&lt;&gt;"",FT!B43*100,"")</f>
        <v>37.542999999999999</v>
      </c>
      <c r="I43" s="50">
        <f t="shared" si="2"/>
        <v>1</v>
      </c>
      <c r="J43" t="str">
        <f>IF(FT!B43&lt;&gt;"",FT!E43,"")</f>
        <v>0 [16.632428]</v>
      </c>
      <c r="K43">
        <f>IF(FT!B43&lt;&gt;"",IF(FT!C43&lt;&gt;"",FT!C43,F43/$M$3*$M$4),"")</f>
        <v>16.632400000000001</v>
      </c>
      <c r="V43" s="287" t="str">
        <f>IF(M!B17="","",IF(W43&lt;5,CJ4,IF(W43&lt;10,CK4,IF(W43&lt;30,CL4,IF(W43&lt;40,CM4,CN4)))))</f>
        <v>매우 높음</v>
      </c>
      <c r="W43" s="287">
        <f>IF(M!B17="","",M!B17*1)</f>
        <v>41.444400000000002</v>
      </c>
      <c r="Y43" s="75">
        <f t="shared" si="3"/>
        <v>6.557064961104377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6.9835310743236942E-2</v>
      </c>
      <c r="D44" s="50">
        <f>IF(hist!$D$2&gt;0,hist!B44/hist!$D$2,0)</f>
        <v>0.95057699189707678</v>
      </c>
      <c r="E44" s="50">
        <f t="shared" si="1"/>
        <v>1.8359083259720105E-2</v>
      </c>
      <c r="F44">
        <f t="shared" si="6"/>
        <v>42</v>
      </c>
      <c r="G44" s="50">
        <f>IF(FT!A44&lt;&gt;"",FT!A44*10,"")</f>
        <v>5.7462599999999995</v>
      </c>
      <c r="H44" s="50">
        <f>IF(FT!B44&lt;&gt;"",FT!B44*100,"")</f>
        <v>36.9392</v>
      </c>
      <c r="I44" s="50">
        <f t="shared" si="2"/>
        <v>1</v>
      </c>
      <c r="J44" t="str">
        <f>IF(FT!B44&lt;&gt;"",FT!E44,"")</f>
        <v>0 [17.037268]</v>
      </c>
      <c r="K44">
        <f>IF(FT!B44&lt;&gt;"",IF(FT!C44&lt;&gt;"",FT!C44,F44/$M$3*$M$4),"")</f>
        <v>17.037299999999998</v>
      </c>
      <c r="V44" s="287" t="str">
        <f>IF(M!B17="","",IF(W43&lt;5,CJ5,IF(W43&lt;10,CK5,IF(W43&lt;30,CL5,IF(W43&lt;40,CM5,CN5)))))</f>
        <v>감정변화가 매우 높아 병리적으로 의심되는 상태</v>
      </c>
      <c r="Y44" s="75">
        <f t="shared" si="3"/>
        <v>6.4283899440679679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5.7667000000000002</v>
      </c>
      <c r="H45" s="50">
        <f>IF(FT!B45&lt;&gt;"",FT!B45*100,"")</f>
        <v>36.360500000000002</v>
      </c>
      <c r="I45" s="50">
        <f t="shared" si="2"/>
        <v>1</v>
      </c>
      <c r="J45" t="str">
        <f>IF(FT!B45&lt;&gt;"",FT!E45,"")</f>
        <v>0 [17.427086]</v>
      </c>
      <c r="K45">
        <f>IF(FT!B45&lt;&gt;"",IF(FT!C45&lt;&gt;"",FT!C45,F45/$M$3*$M$4),"")</f>
        <v>17.427099999999999</v>
      </c>
      <c r="V45" s="287">
        <f>IF(M!B17="","",IF(W43&lt;5,CJ3,IF(W43&lt;10,CK3,IF(W43&lt;30,CL3,IF(W43&lt;40,CM3,CN3)))))</f>
        <v>5</v>
      </c>
      <c r="Y45" s="75">
        <f t="shared" si="3"/>
        <v>6.3052525707943889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6.2886293754076464E-2</v>
      </c>
      <c r="D46" s="50">
        <f>IF(hist!$D$2&gt;0,hist!B46/hist!$D$2,0)</f>
        <v>0.93929286325096284</v>
      </c>
      <c r="E46" s="50">
        <f t="shared" si="1"/>
        <v>2.3702495215149538E-2</v>
      </c>
      <c r="F46">
        <f t="shared" si="6"/>
        <v>44</v>
      </c>
      <c r="G46" s="50">
        <f>IF(FT!A46&lt;&gt;"",FT!A46*10,"")</f>
        <v>5.7872000000000003</v>
      </c>
      <c r="H46" s="50">
        <f>IF(FT!B46&lt;&gt;"",FT!B46*100,"")</f>
        <v>35.836400000000005</v>
      </c>
      <c r="I46" s="50">
        <f t="shared" si="2"/>
        <v>1</v>
      </c>
      <c r="J46" t="str">
        <f>IF(FT!B46&lt;&gt;"",FT!E46,"")</f>
        <v>0 [17.828696]</v>
      </c>
      <c r="K46">
        <f>IF(FT!B46&lt;&gt;"",IF(FT!C46&lt;&gt;"",FT!C46,F46/$M$3*$M$4),"")</f>
        <v>17.828700000000001</v>
      </c>
      <c r="Y46" s="75">
        <f t="shared" si="3"/>
        <v>6.1923555432679018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5.80572</v>
      </c>
      <c r="H47" s="50">
        <f>IF(FT!B47&lt;&gt;"",FT!B47*100,"")</f>
        <v>35.435899999999997</v>
      </c>
      <c r="I47" s="50">
        <f t="shared" si="2"/>
        <v>1</v>
      </c>
      <c r="J47" t="str">
        <f>IF(FT!B47&lt;&gt;"",FT!E47,"")</f>
        <v>0 [18.237422]</v>
      </c>
      <c r="K47">
        <f>IF(FT!B47&lt;&gt;"",IF(FT!C47&lt;&gt;"",FT!C47,F47/$M$3*$M$4),"")</f>
        <v>18.237400000000001</v>
      </c>
      <c r="Y47" s="75">
        <f t="shared" si="3"/>
        <v>6.1036185003754913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5.8268699999999995</v>
      </c>
      <c r="H48" s="50">
        <f>IF(FT!B48&lt;&gt;"",FT!B48*100,"")</f>
        <v>35.207100000000004</v>
      </c>
      <c r="I48" s="50">
        <f t="shared" si="2"/>
        <v>1</v>
      </c>
      <c r="J48" t="str">
        <f>IF(FT!B48&lt;&gt;"",FT!E48,"")</f>
        <v>0 [18.644661]</v>
      </c>
      <c r="K48">
        <f>IF(FT!B48&lt;&gt;"",IF(FT!C48&lt;&gt;"",FT!C48,F48/$M$3*$M$4),"")</f>
        <v>18.6447</v>
      </c>
      <c r="Y48" s="75">
        <f t="shared" si="3"/>
        <v>6.0421976120970617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8.3296968661676546E-2</v>
      </c>
      <c r="D49" s="50">
        <f>IF(hist!$D$2&gt;0,hist!B49/hist!$D$2,0)</f>
        <v>0.91321699332678141</v>
      </c>
      <c r="E49" s="50">
        <f t="shared" si="1"/>
        <v>3.4217176333157004E-2</v>
      </c>
      <c r="F49">
        <f t="shared" si="6"/>
        <v>47</v>
      </c>
      <c r="G49" s="50">
        <f>IF(FT!A49&lt;&gt;"",FT!A49*10,"")</f>
        <v>5.8479299999999999</v>
      </c>
      <c r="H49" s="50">
        <f>IF(FT!B49&lt;&gt;"",FT!B49*100,"")</f>
        <v>35.086099999999995</v>
      </c>
      <c r="I49" s="50">
        <f t="shared" si="2"/>
        <v>1</v>
      </c>
      <c r="J49" t="str">
        <f>IF(FT!B49&lt;&gt;"",FT!E49,"")</f>
        <v>0 [19.055297]</v>
      </c>
      <c r="K49">
        <f>IF(FT!B49&lt;&gt;"",IF(FT!C49&lt;&gt;"",FT!C49,F49/$M$3*$M$4),"")</f>
        <v>19.055299999999999</v>
      </c>
      <c r="Y49" s="75">
        <f t="shared" si="3"/>
        <v>5.9997469189952675</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5.8690899999999999</v>
      </c>
      <c r="H50" s="50">
        <f>IF(FT!B50&lt;&gt;"",FT!B50*100,"")</f>
        <v>34.924300000000002</v>
      </c>
      <c r="I50" s="50">
        <f t="shared" si="2"/>
        <v>1</v>
      </c>
      <c r="J50" t="str">
        <f>IF(FT!B50&lt;&gt;"",FT!E50,"")</f>
        <v>0 [19.455896]</v>
      </c>
      <c r="K50">
        <f>IF(FT!B50&lt;&gt;"",IF(FT!C50&lt;&gt;"",FT!C50,F50/$M$3*$M$4),"")</f>
        <v>19.4559</v>
      </c>
      <c r="V50" t="s">
        <v>1427</v>
      </c>
      <c r="Y50" s="75">
        <f t="shared" si="3"/>
        <v>5.950547699898963</v>
      </c>
    </row>
    <row r="51" spans="1:25">
      <c r="A51" s="50">
        <f t="shared" si="5"/>
        <v>49</v>
      </c>
      <c r="B51" s="50">
        <f t="shared" si="0"/>
        <v>0.95389549019607844</v>
      </c>
      <c r="C51" s="50">
        <f>IF(FH!$C$2&gt;0,FH!A51/FH!$C$2,0)</f>
        <v>9.0370997297884892E-2</v>
      </c>
      <c r="D51" s="50">
        <f>IF(hist!$D$2&gt;0,hist!B51/hist!$D$2,0)</f>
        <v>0.86796488320492549</v>
      </c>
      <c r="E51" s="50">
        <f t="shared" si="1"/>
        <v>4.3241547262703579E-2</v>
      </c>
      <c r="F51">
        <f t="shared" si="6"/>
        <v>49</v>
      </c>
      <c r="G51" s="50">
        <f>IF(FT!A51&lt;&gt;"",FT!A51*10,"")</f>
        <v>5.89053</v>
      </c>
      <c r="H51" s="50">
        <f>IF(FT!B51&lt;&gt;"",FT!B51*100,"")</f>
        <v>34.785299999999999</v>
      </c>
      <c r="I51" s="50">
        <f t="shared" si="2"/>
        <v>1</v>
      </c>
      <c r="J51" t="str">
        <f>IF(FT!B51&lt;&gt;"",FT!E51,"")</f>
        <v>0 [19.859701]</v>
      </c>
      <c r="K51">
        <f>IF(FT!B51&lt;&gt;"",IF(FT!C51&lt;&gt;"",FT!C51,F51/$M$3*$M$4),"")</f>
        <v>19.8597</v>
      </c>
      <c r="V51" s="56">
        <v>50</v>
      </c>
      <c r="W51">
        <v>50</v>
      </c>
      <c r="Y51" s="75">
        <f t="shared" si="3"/>
        <v>5.9052920535164066</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5.9115500000000001</v>
      </c>
      <c r="H52" s="50">
        <f>IF(FT!B52&lt;&gt;"",FT!B52*100,"")</f>
        <v>34.911999999999999</v>
      </c>
      <c r="I52" s="50">
        <f t="shared" si="2"/>
        <v>1</v>
      </c>
      <c r="J52" t="str">
        <f>IF(FT!B52&lt;&gt;"",FT!E52,"")</f>
        <v>0 [20.264898]</v>
      </c>
      <c r="K52">
        <f>IF(FT!B52&lt;&gt;"",IF(FT!C52&lt;&gt;"",FT!C52,F52/$M$3*$M$4),"")</f>
        <v>20.264900000000001</v>
      </c>
      <c r="V52" s="288">
        <f>Measurement!DK17*100</f>
        <v>75.521038476479447</v>
      </c>
      <c r="W52" s="303">
        <f ca="1">100-N9</f>
        <v>63.109727999999997</v>
      </c>
      <c r="X52" t="str">
        <f ca="1">"(" &amp; ROUND(V52,1) &amp; " , " &amp; ROUND(100-W52,1) &amp; ")"</f>
        <v>(75.5 , 36.9)</v>
      </c>
      <c r="Y52" s="75">
        <f t="shared" si="3"/>
        <v>5.9057269244106871</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5.9309199999999995</v>
      </c>
      <c r="H53" s="50">
        <f>IF(FT!B53&lt;&gt;"",FT!B53*100,"")</f>
        <v>35.114200000000004</v>
      </c>
      <c r="I53" s="50">
        <f t="shared" si="2"/>
        <v>1</v>
      </c>
      <c r="J53" t="str">
        <f>IF(FT!B53&lt;&gt;"",FT!E53,"")</f>
        <v>0 [20.675369]</v>
      </c>
      <c r="K53">
        <f>IF(FT!B53&lt;&gt;"",IF(FT!C53&lt;&gt;"",FT!C53,F53/$M$3*$M$4),"")</f>
        <v>20.6754</v>
      </c>
      <c r="Y53" s="75">
        <f t="shared" si="3"/>
        <v>5.9205317218913773</v>
      </c>
    </row>
    <row r="54" spans="1:25">
      <c r="A54" s="50">
        <f t="shared" si="5"/>
        <v>52</v>
      </c>
      <c r="B54" s="50">
        <f t="shared" si="0"/>
        <v>1.0122972549019609</v>
      </c>
      <c r="C54" s="50">
        <f>IF(FH!$C$2&gt;0,FH!A54/FH!$C$2,0)</f>
        <v>8.5033155262912691E-2</v>
      </c>
      <c r="D54" s="50">
        <f>IF(hist!$D$2&gt;0,hist!B54/hist!$D$2,0)</f>
        <v>0.8400137855382469</v>
      </c>
      <c r="E54" s="50">
        <f t="shared" si="1"/>
        <v>6.0453618047567548E-2</v>
      </c>
      <c r="F54">
        <f t="shared" si="6"/>
        <v>52</v>
      </c>
      <c r="G54" s="50">
        <f>IF(FT!A54&lt;&gt;"",FT!A54*10,"")</f>
        <v>5.9489000000000001</v>
      </c>
      <c r="H54" s="50">
        <f>IF(FT!B54&lt;&gt;"",FT!B54*100,"")</f>
        <v>35.2639</v>
      </c>
      <c r="I54" s="50">
        <f t="shared" si="2"/>
        <v>1</v>
      </c>
      <c r="J54" t="str">
        <f>IF(FT!B54&lt;&gt;"",FT!E54,"")</f>
        <v>0 [21.080165]</v>
      </c>
      <c r="K54">
        <f>IF(FT!B54&lt;&gt;"",IF(FT!C54&lt;&gt;"",FT!C54,F54/$M$3*$M$4),"")</f>
        <v>21.080200000000001</v>
      </c>
      <c r="Y54" s="75">
        <f t="shared" si="3"/>
        <v>5.9278017784800552</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5.9641400000000004</v>
      </c>
      <c r="H55" s="50">
        <f>IF(FT!B55&lt;&gt;"",FT!B55*100,"")</f>
        <v>35.435299999999998</v>
      </c>
      <c r="I55" s="50">
        <f t="shared" si="2"/>
        <v>1</v>
      </c>
      <c r="J55" t="str">
        <f>IF(FT!B55&lt;&gt;"",FT!E55,"")</f>
        <v>0 [21.488506]</v>
      </c>
      <c r="K55">
        <f>IF(FT!B55&lt;&gt;"",IF(FT!C55&lt;&gt;"",FT!C55,F55/$M$3*$M$4),"")</f>
        <v>21.488499999999998</v>
      </c>
      <c r="Y55" s="75">
        <f t="shared" si="3"/>
        <v>5.9413930591837207</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5.9791600000000003</v>
      </c>
      <c r="H56" s="50">
        <f>IF(FT!B56&lt;&gt;"",FT!B56*100,"")</f>
        <v>35.754599999999996</v>
      </c>
      <c r="I56" s="50">
        <f t="shared" si="2"/>
        <v>1</v>
      </c>
      <c r="J56" t="str">
        <f>IF(FT!B56&lt;&gt;"",FT!E56,"")</f>
        <v>0 [21.900408]</v>
      </c>
      <c r="K56">
        <f>IF(FT!B56&lt;&gt;"",IF(FT!C56&lt;&gt;"",FT!C56,F56/$M$3*$M$4),"")</f>
        <v>21.900400000000001</v>
      </c>
      <c r="Y56" s="75">
        <f t="shared" si="3"/>
        <v>5.9798700820851085</v>
      </c>
    </row>
    <row r="57" spans="1:25">
      <c r="A57" s="50">
        <f t="shared" si="5"/>
        <v>55</v>
      </c>
      <c r="B57" s="50">
        <f t="shared" si="0"/>
        <v>1.0706990196078432</v>
      </c>
      <c r="C57" s="50">
        <f>IF(FH!$C$2&gt;0,FH!A57/FH!$C$2,0)</f>
        <v>9.0745644004099763E-2</v>
      </c>
      <c r="D57" s="50">
        <f>IF(hist!$D$2&gt;0,hist!B57/hist!$D$2,0)</f>
        <v>0.82087720187539193</v>
      </c>
      <c r="E57" s="50">
        <f t="shared" si="1"/>
        <v>8.2905998336710848E-2</v>
      </c>
      <c r="F57">
        <f t="shared" si="6"/>
        <v>55</v>
      </c>
      <c r="G57" s="50">
        <f>IF(FT!A57&lt;&gt;"",FT!A57*10,"")</f>
        <v>5.9940099999999994</v>
      </c>
      <c r="H57" s="50">
        <f>IF(FT!B57&lt;&gt;"",FT!B57*100,"")</f>
        <v>36.277300000000004</v>
      </c>
      <c r="I57" s="50">
        <f t="shared" si="2"/>
        <v>1</v>
      </c>
      <c r="J57" t="str">
        <f>IF(FT!B57&lt;&gt;"",FT!E57,"")</f>
        <v>0 [22.308202]</v>
      </c>
      <c r="K57">
        <f>IF(FT!B57&lt;&gt;"",IF(FT!C57&lt;&gt;"",FT!C57,F57/$M$3*$M$4),"")</f>
        <v>22.308199999999999</v>
      </c>
      <c r="Y57" s="75">
        <f t="shared" si="3"/>
        <v>6.0522588384070106</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6.0087000000000002</v>
      </c>
      <c r="H58" s="50">
        <f>IF(FT!B58&lt;&gt;"",FT!B58*100,"")</f>
        <v>36.813299999999998</v>
      </c>
      <c r="I58" s="50">
        <f t="shared" si="2"/>
        <v>1</v>
      </c>
      <c r="J58" t="str">
        <f>IF(FT!B58&lt;&gt;"",FT!E58,"")</f>
        <v>0 [22.703451]</v>
      </c>
      <c r="K58">
        <f>IF(FT!B58&lt;&gt;"",IF(FT!C58&lt;&gt;"",FT!C58,F58/$M$3*$M$4),"")</f>
        <v>22.703499999999998</v>
      </c>
      <c r="Y58" s="75">
        <f t="shared" si="3"/>
        <v>6.1266663338159661</v>
      </c>
    </row>
    <row r="59" spans="1:25" ht="16.5" customHeight="1">
      <c r="A59" s="50">
        <f t="shared" si="5"/>
        <v>57</v>
      </c>
      <c r="B59" s="50">
        <f t="shared" si="0"/>
        <v>1.1096335294117647</v>
      </c>
      <c r="C59" s="50">
        <f>IF(FH!$C$2&gt;0,FH!A59/FH!$C$2,0)</f>
        <v>8.0140230456253694E-2</v>
      </c>
      <c r="D59" s="50">
        <f>IF(hist!$D$2&gt;0,hist!B59/hist!$D$2,0)</f>
        <v>0.79963809081924575</v>
      </c>
      <c r="E59" s="50">
        <f t="shared" si="1"/>
        <v>0.10124775007010034</v>
      </c>
      <c r="F59">
        <f t="shared" si="6"/>
        <v>57</v>
      </c>
      <c r="G59" s="50">
        <f>IF(FT!A59&lt;&gt;"",FT!A59*10,"")</f>
        <v>6.0275699999999999</v>
      </c>
      <c r="H59" s="50">
        <f>IF(FT!B59&lt;&gt;"",FT!B59*100,"")</f>
        <v>37.398499999999999</v>
      </c>
      <c r="I59" s="50">
        <f t="shared" si="2"/>
        <v>1</v>
      </c>
      <c r="J59" t="str">
        <f>IF(FT!B59&lt;&gt;"",FT!E59,"")</f>
        <v>0 [23.107783]</v>
      </c>
      <c r="K59">
        <f>IF(FT!B59&lt;&gt;"",IF(FT!C59&lt;&gt;"",FT!C59,F59/$M$3*$M$4),"")</f>
        <v>23.107800000000001</v>
      </c>
      <c r="Y59" s="75">
        <f t="shared" si="3"/>
        <v>6.2045733189328365</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6.0457599999999996</v>
      </c>
      <c r="H60" s="50">
        <f>IF(FT!B60&lt;&gt;"",FT!B60*100,"")</f>
        <v>37.761699999999998</v>
      </c>
      <c r="I60" s="50">
        <f t="shared" si="2"/>
        <v>1</v>
      </c>
      <c r="J60" t="str">
        <f>IF(FT!B60&lt;&gt;"",FT!E60,"")</f>
        <v>0 [23.515579]</v>
      </c>
      <c r="K60">
        <f>IF(FT!B60&lt;&gt;"",IF(FT!C60&lt;&gt;"",FT!C60,F60/$M$3*$M$4),"")</f>
        <v>23.515599999999999</v>
      </c>
      <c r="Y60" s="75">
        <f t="shared" si="3"/>
        <v>6.2459806542105545</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6.0625999999999998</v>
      </c>
      <c r="H61" s="50">
        <f>IF(FT!B61&lt;&gt;"",FT!B61*100,"")</f>
        <v>37.997900000000001</v>
      </c>
      <c r="I61" s="50">
        <f t="shared" si="2"/>
        <v>1</v>
      </c>
      <c r="J61" t="str">
        <f>IF(FT!B61&lt;&gt;"",FT!E61,"")</f>
        <v>0 [23.927986]</v>
      </c>
      <c r="K61">
        <f>IF(FT!B61&lt;&gt;"",IF(FT!C61&lt;&gt;"",FT!C61,F61/$M$3*$M$4),"")</f>
        <v>23.928000000000001</v>
      </c>
      <c r="Y61" s="75">
        <f t="shared" si="3"/>
        <v>6.267591462408868</v>
      </c>
    </row>
    <row r="62" spans="1:25">
      <c r="A62" s="50">
        <f t="shared" si="5"/>
        <v>60</v>
      </c>
      <c r="B62" s="50">
        <f t="shared" si="0"/>
        <v>1.1680352941176471</v>
      </c>
      <c r="C62" s="50">
        <f>IF(FH!$C$2&gt;0,FH!A62/FH!$C$2,0)</f>
        <v>8.200919340311208E-2</v>
      </c>
      <c r="D62" s="50">
        <f>IF(hist!$D$2&gt;0,hist!B62/hist!$D$2,0)</f>
        <v>0.77305809028906725</v>
      </c>
      <c r="E62" s="50">
        <f t="shared" si="1"/>
        <v>0.13446832920843649</v>
      </c>
      <c r="F62">
        <f t="shared" si="6"/>
        <v>60</v>
      </c>
      <c r="G62" s="50">
        <f>IF(FT!A62&lt;&gt;"",FT!A62*10,"")</f>
        <v>6.07944</v>
      </c>
      <c r="H62" s="50">
        <f>IF(FT!B62&lt;&gt;"",FT!B62*100,"")</f>
        <v>38.254399999999997</v>
      </c>
      <c r="I62" s="50">
        <f t="shared" si="2"/>
        <v>1</v>
      </c>
      <c r="J62" t="str">
        <f>IF(FT!B62&lt;&gt;"",FT!E62,"")</f>
        <v>0 [24.335881]</v>
      </c>
      <c r="K62">
        <f>IF(FT!B62&lt;&gt;"",IF(FT!C62&lt;&gt;"",FT!C62,F62/$M$3*$M$4),"")</f>
        <v>24.335899999999999</v>
      </c>
      <c r="Y62" s="75">
        <f t="shared" si="3"/>
        <v>6.2924216704170117</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6.0966100000000001</v>
      </c>
      <c r="H63" s="50">
        <f>IF(FT!B63&lt;&gt;"",FT!B63*100,"")</f>
        <v>38.561499999999995</v>
      </c>
      <c r="I63" s="50">
        <f t="shared" si="2"/>
        <v>1</v>
      </c>
      <c r="J63" t="str">
        <f>IF(FT!B63&lt;&gt;"",FT!E63,"")</f>
        <v>0 [24.749261]</v>
      </c>
      <c r="K63">
        <f>IF(FT!B63&lt;&gt;"",IF(FT!C63&lt;&gt;"",FT!C63,F63/$M$3*$M$4),"")</f>
        <v>24.749300000000002</v>
      </c>
      <c r="Y63" s="75">
        <f t="shared" si="3"/>
        <v>6.3250724583005953</v>
      </c>
    </row>
    <row r="64" spans="1:25">
      <c r="A64" s="50">
        <f t="shared" si="5"/>
        <v>62</v>
      </c>
      <c r="B64" s="50">
        <f t="shared" si="0"/>
        <v>1.2069698039215686</v>
      </c>
      <c r="C64" s="50">
        <f>IF(FH!$C$2&gt;0,FH!A64/FH!$C$2,0)</f>
        <v>8.5739354598254491E-2</v>
      </c>
      <c r="D64" s="50">
        <f>IF(hist!$D$2&gt;0,hist!B64/hist!$D$2,0)</f>
        <v>0.74654254568658307</v>
      </c>
      <c r="E64" s="50">
        <f t="shared" si="1"/>
        <v>0.16074349907160557</v>
      </c>
      <c r="F64">
        <f t="shared" si="6"/>
        <v>62</v>
      </c>
      <c r="G64" s="50">
        <f>IF(FT!A64&lt;&gt;"",FT!A64*10,"")</f>
        <v>6.1139100000000006</v>
      </c>
      <c r="H64" s="50">
        <f>IF(FT!B64&lt;&gt;"",FT!B64*100,"")</f>
        <v>38.893799999999999</v>
      </c>
      <c r="I64" s="50">
        <f t="shared" si="2"/>
        <v>1</v>
      </c>
      <c r="J64" t="str">
        <f>IF(FT!B64&lt;&gt;"",FT!E64,"")</f>
        <v>0 [25.146538]</v>
      </c>
      <c r="K64">
        <f>IF(FT!B64&lt;&gt;"",IF(FT!C64&lt;&gt;"",FT!C64,F64/$M$3*$M$4),"")</f>
        <v>25.1465</v>
      </c>
      <c r="Y64" s="75">
        <f t="shared" si="3"/>
        <v>6.361526420899227</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6.1295299999999999</v>
      </c>
      <c r="H65" s="50">
        <f>IF(FT!B65&lt;&gt;"",FT!B65*100,"")</f>
        <v>39.197800000000001</v>
      </c>
      <c r="I65" s="50">
        <f t="shared" si="2"/>
        <v>1</v>
      </c>
      <c r="J65" t="str">
        <f>IF(FT!B65&lt;&gt;"",FT!E65,"")</f>
        <v>0 [25.558514]</v>
      </c>
      <c r="K65">
        <f>IF(FT!B65&lt;&gt;"",IF(FT!C65&lt;&gt;"",FT!C65,F65/$M$3*$M$4),"")</f>
        <v>25.558499999999999</v>
      </c>
      <c r="Y65" s="75">
        <f t="shared" si="3"/>
        <v>6.3949111922121276</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6.1425300000000007</v>
      </c>
      <c r="H66" s="50">
        <f>IF(FT!B66&lt;&gt;"",FT!B66*100,"")</f>
        <v>39.507899999999999</v>
      </c>
      <c r="I66" s="50">
        <f t="shared" si="2"/>
        <v>1</v>
      </c>
      <c r="J66" t="str">
        <f>IF(FT!B66&lt;&gt;"",FT!E66,"")</f>
        <v>0 [25.963713]</v>
      </c>
      <c r="K66">
        <f>IF(FT!B66&lt;&gt;"",IF(FT!C66&lt;&gt;"",FT!C66,F66/$M$3*$M$4),"")</f>
        <v>25.963699999999999</v>
      </c>
      <c r="Y66" s="75">
        <f t="shared" si="3"/>
        <v>6.4318611386513362</v>
      </c>
    </row>
    <row r="67" spans="1:25">
      <c r="A67" s="50">
        <f t="shared" si="5"/>
        <v>65</v>
      </c>
      <c r="B67" s="50">
        <f t="shared" ref="B67:B130" si="16">A67/255*$M$2</f>
        <v>1.2653715686274509</v>
      </c>
      <c r="C67" s="50">
        <f>IF(FH!$C$2&gt;0,FH!A67/FH!$C$2,0)</f>
        <v>8.3285321613814953E-2</v>
      </c>
      <c r="D67" s="50">
        <f>IF(hist!$D$2&gt;0,hist!B67/hist!$D$2,0)</f>
        <v>0.72841075919354259</v>
      </c>
      <c r="E67" s="50">
        <f t="shared" ref="E67:E130" si="17">NORMDIST(B67,2,0.421,FALSE)</f>
        <v>0.20674690530414291</v>
      </c>
      <c r="F67">
        <f t="shared" si="6"/>
        <v>65</v>
      </c>
      <c r="G67" s="50">
        <f>IF(FT!A67&lt;&gt;"",FT!A67*10,"")</f>
        <v>6.1551</v>
      </c>
      <c r="H67" s="50">
        <f>IF(FT!B67&lt;&gt;"",FT!B67*100,"")</f>
        <v>39.843600000000002</v>
      </c>
      <c r="I67" s="50">
        <f t="shared" ref="I67:I130" si="18">(IF(G67&lt;&gt;"",1,""))</f>
        <v>1</v>
      </c>
      <c r="J67" t="str">
        <f>IF(FT!B67&lt;&gt;"",FT!E67,"")</f>
        <v>0 [26.370731]</v>
      </c>
      <c r="K67">
        <f>IF(FT!B67&lt;&gt;"",IF(FT!C67&lt;&gt;"",FT!C67,F67/$M$3*$M$4),"")</f>
        <v>26.370699999999999</v>
      </c>
      <c r="Y67" s="75">
        <f t="shared" ref="Y67:Y130" si="19">IF(I67=1,H67/G67,"")</f>
        <v>6.4732660720378226</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6.1675500000000003</v>
      </c>
      <c r="H68" s="50">
        <f>IF(FT!B68&lt;&gt;"",FT!B68*100,"")</f>
        <v>40.1753</v>
      </c>
      <c r="I68" s="50">
        <f t="shared" si="18"/>
        <v>1</v>
      </c>
      <c r="J68" t="str">
        <f>IF(FT!B68&lt;&gt;"",FT!E68,"")</f>
        <v>0 [26.767468]</v>
      </c>
      <c r="K68">
        <f>IF(FT!B68&lt;&gt;"",IF(FT!C68&lt;&gt;"",FT!C68,F68/$M$3*$M$4),"")</f>
        <v>26.767499999999998</v>
      </c>
      <c r="Y68" s="75">
        <f t="shared" si="19"/>
        <v>6.5139804298303217</v>
      </c>
    </row>
    <row r="69" spans="1:25" ht="16.5" customHeight="1">
      <c r="A69" s="50">
        <f t="shared" si="20"/>
        <v>67</v>
      </c>
      <c r="B69" s="50">
        <f t="shared" si="16"/>
        <v>1.3043060784313727</v>
      </c>
      <c r="C69" s="50">
        <f>IF(FH!$C$2&gt;0,FH!A69/FH!$C$2,0)</f>
        <v>7.9156831381805751E-2</v>
      </c>
      <c r="D69" s="50">
        <f>IF(hist!$D$2&gt;0,hist!B69/hist!$D$2,0)</f>
        <v>0.70927975398822318</v>
      </c>
      <c r="E69" s="50">
        <f t="shared" si="17"/>
        <v>0.24191701103634025</v>
      </c>
      <c r="F69">
        <f t="shared" si="21"/>
        <v>67</v>
      </c>
      <c r="G69" s="50">
        <f>IF(FT!A69&lt;&gt;"",FT!A69*10,"")</f>
        <v>6.1807500000000006</v>
      </c>
      <c r="H69" s="50">
        <f>IF(FT!B69&lt;&gt;"",FT!B69*100,"")</f>
        <v>40.554400000000001</v>
      </c>
      <c r="I69" s="50">
        <f t="shared" si="18"/>
        <v>1</v>
      </c>
      <c r="J69" t="str">
        <f>IF(FT!B69&lt;&gt;"",FT!E69,"")</f>
        <v>0 [27.182540]</v>
      </c>
      <c r="K69">
        <f>IF(FT!B69&lt;&gt;"",IF(FT!C69&lt;&gt;"",FT!C69,F69/$M$3*$M$4),"")</f>
        <v>27.182500000000001</v>
      </c>
      <c r="Y69" s="75">
        <f t="shared" si="19"/>
        <v>6.5614043603122596</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6.19252</v>
      </c>
      <c r="H70" s="50">
        <f>IF(FT!B70&lt;&gt;"",FT!B70*100,"")</f>
        <v>40.970800000000004</v>
      </c>
      <c r="I70" s="50">
        <f t="shared" si="18"/>
        <v>1</v>
      </c>
      <c r="J70" t="str">
        <f>IF(FT!B70&lt;&gt;"",FT!E70,"")</f>
        <v>0 [27.580527]</v>
      </c>
      <c r="K70">
        <f>IF(FT!B70&lt;&gt;"",IF(FT!C70&lt;&gt;"",FT!C70,F70/$M$3*$M$4),"")</f>
        <v>27.580500000000001</v>
      </c>
      <c r="Y70" s="75">
        <f t="shared" si="19"/>
        <v>6.6161756441642501</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6.2038400000000005</v>
      </c>
      <c r="H71" s="50">
        <f>IF(FT!B71&lt;&gt;"",FT!B71*100,"")</f>
        <v>41.440399999999997</v>
      </c>
      <c r="I71" s="50">
        <f t="shared" si="18"/>
        <v>1</v>
      </c>
      <c r="J71" t="str">
        <f>IF(FT!B71&lt;&gt;"",FT!E71,"")</f>
        <v>0 [27.982063]</v>
      </c>
      <c r="K71">
        <f>IF(FT!B71&lt;&gt;"",IF(FT!C71&lt;&gt;"",FT!C71,F71/$M$3*$M$4),"")</f>
        <v>27.982099999999999</v>
      </c>
      <c r="Y71" s="75">
        <f t="shared" si="19"/>
        <v>6.6797983184608229</v>
      </c>
    </row>
    <row r="72" spans="1:25">
      <c r="A72" s="50">
        <f t="shared" si="20"/>
        <v>70</v>
      </c>
      <c r="B72" s="50">
        <f t="shared" si="16"/>
        <v>1.362707843137255</v>
      </c>
      <c r="C72" s="50">
        <f>IF(FH!$C$2&gt;0,FH!A72/FH!$C$2,0)</f>
        <v>7.0826474516259272E-2</v>
      </c>
      <c r="D72" s="50">
        <f>IF(hist!$D$2&gt;0,hist!B72/hist!$D$2,0)</f>
        <v>0.69190075559644981</v>
      </c>
      <c r="E72" s="50">
        <f t="shared" si="17"/>
        <v>0.30133042196576898</v>
      </c>
      <c r="F72">
        <f t="shared" si="21"/>
        <v>70</v>
      </c>
      <c r="G72" s="50">
        <f>IF(FT!A72&lt;&gt;"",FT!A72*10,"")</f>
        <v>6.2166299999999994</v>
      </c>
      <c r="H72" s="50">
        <f>IF(FT!B72&lt;&gt;"",FT!B72*100,"")</f>
        <v>41.904599999999995</v>
      </c>
      <c r="I72" s="50">
        <f t="shared" si="18"/>
        <v>1</v>
      </c>
      <c r="J72" t="str">
        <f>IF(FT!B72&lt;&gt;"",FT!E72,"")</f>
        <v>0 [28.392256]</v>
      </c>
      <c r="K72">
        <f>IF(FT!B72&lt;&gt;"",IF(FT!C72&lt;&gt;"",FT!C72,F72/$M$3*$M$4),"")</f>
        <v>28.392299999999999</v>
      </c>
      <c r="Y72" s="75">
        <f t="shared" si="19"/>
        <v>6.7407260847114916</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6.2297199999999995</v>
      </c>
      <c r="H73" s="50">
        <f>IF(FT!B73&lt;&gt;"",FT!B73*100,"")</f>
        <v>42.346400000000003</v>
      </c>
      <c r="I73" s="50">
        <f t="shared" si="18"/>
        <v>1</v>
      </c>
      <c r="J73" t="str">
        <f>IF(FT!B73&lt;&gt;"",FT!E73,"")</f>
        <v>0 [28.802640]</v>
      </c>
      <c r="K73">
        <f>IF(FT!B73&lt;&gt;"",IF(FT!C73&lt;&gt;"",FT!C73,F73/$M$3*$M$4),"")</f>
        <v>28.802600000000002</v>
      </c>
      <c r="Y73" s="75">
        <f t="shared" si="19"/>
        <v>6.7974804646115725</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6.2432499999999997</v>
      </c>
      <c r="H74" s="50">
        <f>IF(FT!B74&lt;&gt;"",FT!B74*100,"")</f>
        <v>42.803600000000003</v>
      </c>
      <c r="I74" s="50">
        <f t="shared" si="18"/>
        <v>1</v>
      </c>
      <c r="J74" t="str">
        <f>IF(FT!B74&lt;&gt;"",FT!E74,"")</f>
        <v>0 [29.212487]</v>
      </c>
      <c r="K74">
        <f>IF(FT!B74&lt;&gt;"",IF(FT!C74&lt;&gt;"",FT!C74,F74/$M$3*$M$4),"")</f>
        <v>29.212499999999999</v>
      </c>
      <c r="Y74" s="75">
        <f t="shared" si="19"/>
        <v>6.8559804588956084</v>
      </c>
    </row>
    <row r="75" spans="1:25">
      <c r="A75" s="50">
        <f t="shared" si="20"/>
        <v>73</v>
      </c>
      <c r="B75" s="50">
        <f t="shared" si="16"/>
        <v>1.4211096078431371</v>
      </c>
      <c r="C75" s="50">
        <f>IF(FH!$C$2&gt;0,FH!A75/FH!$C$2,0)</f>
        <v>7.1021756685405474E-2</v>
      </c>
      <c r="D75" s="50">
        <f>IF(hist!$D$2&gt;0,hist!B75/hist!$D$2,0)</f>
        <v>0.688175189479452</v>
      </c>
      <c r="E75" s="50">
        <f t="shared" si="17"/>
        <v>0.36818164580299245</v>
      </c>
      <c r="F75">
        <f t="shared" si="21"/>
        <v>73</v>
      </c>
      <c r="G75" s="50">
        <f>IF(FT!A75&lt;&gt;"",FT!A75*10,"")</f>
        <v>6.2595100000000006</v>
      </c>
      <c r="H75" s="50">
        <f>IF(FT!B75&lt;&gt;"",FT!B75*100,"")</f>
        <v>43.284299999999995</v>
      </c>
      <c r="I75" s="50">
        <f t="shared" si="18"/>
        <v>1</v>
      </c>
      <c r="J75" t="str">
        <f>IF(FT!B75&lt;&gt;"",FT!E75,"")</f>
        <v>0 [29.626482]</v>
      </c>
      <c r="K75">
        <f>IF(FT!B75&lt;&gt;"",IF(FT!C75&lt;&gt;"",FT!C75,F75/$M$3*$M$4),"")</f>
        <v>29.6265</v>
      </c>
      <c r="Y75" s="75">
        <f t="shared" si="19"/>
        <v>6.9149661874491759</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6.2787199999999999</v>
      </c>
      <c r="H76" s="50">
        <f>IF(FT!B76&lt;&gt;"",FT!B76*100,"")</f>
        <v>43.765999999999998</v>
      </c>
      <c r="I76" s="50">
        <f t="shared" si="18"/>
        <v>1</v>
      </c>
      <c r="J76" t="str">
        <f>IF(FT!B76&lt;&gt;"",FT!E76,"")</f>
        <v>0 [30.031515]</v>
      </c>
      <c r="K76">
        <f>IF(FT!B76&lt;&gt;"",IF(FT!C76&lt;&gt;"",FT!C76,F76/$M$3*$M$4),"")</f>
        <v>30.031500000000001</v>
      </c>
      <c r="Y76" s="75">
        <f t="shared" si="19"/>
        <v>6.9705290250242085</v>
      </c>
    </row>
    <row r="77" spans="1:25">
      <c r="A77" s="50">
        <f t="shared" si="20"/>
        <v>75</v>
      </c>
      <c r="B77" s="50">
        <f t="shared" si="16"/>
        <v>1.4600441176470589</v>
      </c>
      <c r="C77" s="50">
        <f>IF(FH!$C$2&gt;0,FH!A77/FH!$C$2,0)</f>
        <v>6.9039429139360814E-2</v>
      </c>
      <c r="D77" s="50">
        <f>IF(hist!$D$2&gt;0,hist!B77/hist!$D$2,0)</f>
        <v>0.70302558328987441</v>
      </c>
      <c r="E77" s="50">
        <f t="shared" si="17"/>
        <v>0.41632442930254537</v>
      </c>
      <c r="F77">
        <f t="shared" si="21"/>
        <v>75</v>
      </c>
      <c r="G77" s="50">
        <f>IF(FT!A77&lt;&gt;"",FT!A77*10,"")</f>
        <v>6.2934400000000004</v>
      </c>
      <c r="H77" s="50">
        <f>IF(FT!B77&lt;&gt;"",FT!B77*100,"")</f>
        <v>44.115300000000005</v>
      </c>
      <c r="I77" s="50">
        <f t="shared" si="18"/>
        <v>1</v>
      </c>
      <c r="J77" t="str">
        <f>IF(FT!B77&lt;&gt;"",FT!E77,"")</f>
        <v>0 [30.434239]</v>
      </c>
      <c r="K77">
        <f>IF(FT!B77&lt;&gt;"",IF(FT!C77&lt;&gt;"",FT!C77,F77/$M$3*$M$4),"")</f>
        <v>30.434200000000001</v>
      </c>
      <c r="Y77" s="75">
        <f t="shared" si="19"/>
        <v>7.0097275893628925</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6.3034500000000007</v>
      </c>
      <c r="H78" s="50">
        <f>IF(FT!B78&lt;&gt;"",FT!B78*100,"")</f>
        <v>44.452199999999998</v>
      </c>
      <c r="I78" s="50">
        <f t="shared" si="18"/>
        <v>1</v>
      </c>
      <c r="J78" t="str">
        <f>IF(FT!B78&lt;&gt;"",FT!E78,"")</f>
        <v>0 [30.833001]</v>
      </c>
      <c r="K78">
        <f>IF(FT!B78&lt;&gt;"",IF(FT!C78&lt;&gt;"",FT!C78,F78/$M$3*$M$4),"")</f>
        <v>30.832999999999998</v>
      </c>
      <c r="Y78" s="75">
        <f t="shared" si="19"/>
        <v>7.0520429288722832</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6.31501</v>
      </c>
      <c r="H79" s="50">
        <f>IF(FT!B79&lt;&gt;"",FT!B79*100,"")</f>
        <v>44.802</v>
      </c>
      <c r="I79" s="50">
        <f t="shared" si="18"/>
        <v>1</v>
      </c>
      <c r="J79" t="str">
        <f>IF(FT!B79&lt;&gt;"",FT!E79,"")</f>
        <v>0 [31.230584]</v>
      </c>
      <c r="K79">
        <f>IF(FT!B79&lt;&gt;"",IF(FT!C79&lt;&gt;"",FT!C79,F79/$M$3*$M$4),"")</f>
        <v>31.230599999999999</v>
      </c>
      <c r="Y79" s="75">
        <f t="shared" si="19"/>
        <v>7.0945255826989984</v>
      </c>
    </row>
    <row r="80" spans="1:25" ht="16.5" customHeight="1">
      <c r="A80" s="50">
        <f t="shared" si="20"/>
        <v>78</v>
      </c>
      <c r="B80" s="50">
        <f t="shared" si="16"/>
        <v>1.5184458823529414</v>
      </c>
      <c r="C80" s="50">
        <f>IF(FH!$C$2&gt;0,FH!A80/FH!$C$2,0)</f>
        <v>7.126750939528527E-2</v>
      </c>
      <c r="D80" s="50">
        <f>IF(hist!$D$2&gt;0,hist!B80/hist!$D$2,0)</f>
        <v>0.72384085528910935</v>
      </c>
      <c r="E80" s="50">
        <f t="shared" si="17"/>
        <v>0.49263132331359955</v>
      </c>
      <c r="F80">
        <f t="shared" si="21"/>
        <v>78</v>
      </c>
      <c r="G80" s="50">
        <f>IF(FT!A80&lt;&gt;"",FT!A80*10,"")</f>
        <v>6.3288000000000002</v>
      </c>
      <c r="H80" s="50">
        <f>IF(FT!B80&lt;&gt;"",FT!B80*100,"")</f>
        <v>45.127899999999997</v>
      </c>
      <c r="I80" s="50">
        <f t="shared" si="18"/>
        <v>1</v>
      </c>
      <c r="J80" t="str">
        <f>IF(FT!B80&lt;&gt;"",FT!E80,"")</f>
        <v>0 [31.644632]</v>
      </c>
      <c r="K80">
        <f>IF(FT!B80&lt;&gt;"",IF(FT!C80&lt;&gt;"",FT!C80,F80/$M$3*$M$4),"")</f>
        <v>31.644600000000001</v>
      </c>
      <c r="Y80" s="75">
        <f t="shared" si="19"/>
        <v>7.1305618758690423</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6.3428799999999992</v>
      </c>
      <c r="H81" s="50">
        <f>IF(FT!B81&lt;&gt;"",FT!B81*100,"")</f>
        <v>45.457300000000004</v>
      </c>
      <c r="I81" s="50">
        <f t="shared" si="18"/>
        <v>1</v>
      </c>
      <c r="J81" t="str">
        <f>IF(FT!B81&lt;&gt;"",FT!E81,"")</f>
        <v>0 [32.052764]</v>
      </c>
      <c r="K81">
        <f>IF(FT!B81&lt;&gt;"",IF(FT!C81&lt;&gt;"",FT!C81,F81/$M$3*$M$4),"")</f>
        <v>32.052799999999998</v>
      </c>
      <c r="Y81" s="75">
        <f t="shared" si="19"/>
        <v>7.1666656156194044</v>
      </c>
    </row>
    <row r="82" spans="1:25" ht="16.5" customHeight="1">
      <c r="A82" s="50">
        <f t="shared" si="20"/>
        <v>80</v>
      </c>
      <c r="B82" s="50">
        <f t="shared" si="16"/>
        <v>1.5573803921568627</v>
      </c>
      <c r="C82" s="50">
        <f>IF(FH!$C$2&gt;0,FH!A82/FH!$C$2,0)</f>
        <v>6.7182113240364008E-2</v>
      </c>
      <c r="D82" s="50">
        <f>IF(hist!$D$2&gt;0,hist!B82/hist!$D$2,0)</f>
        <v>0.74121409527310411</v>
      </c>
      <c r="E82" s="50">
        <f t="shared" si="17"/>
        <v>0.54526266825070935</v>
      </c>
      <c r="F82">
        <f t="shared" si="21"/>
        <v>80</v>
      </c>
      <c r="G82" s="50">
        <f>IF(FT!A82&lt;&gt;"",FT!A82*10,"")</f>
        <v>6.3584700000000005</v>
      </c>
      <c r="H82" s="50">
        <f>IF(FT!B82&lt;&gt;"",FT!B82*100,"")</f>
        <v>45.765799999999999</v>
      </c>
      <c r="I82" s="50">
        <f t="shared" si="18"/>
        <v>1</v>
      </c>
      <c r="J82" t="str">
        <f>IF(FT!B82&lt;&gt;"",FT!E82,"")</f>
        <v>0 [32.463998]</v>
      </c>
      <c r="K82">
        <f>IF(FT!B82&lt;&gt;"",IF(FT!C82&lt;&gt;"",FT!C82,F82/$M$3*$M$4),"")</f>
        <v>32.463999999999999</v>
      </c>
      <c r="Y82" s="75">
        <f t="shared" si="19"/>
        <v>7.1976120041456504</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6.3740399999999999</v>
      </c>
      <c r="H83" s="50">
        <f>IF(FT!B83&lt;&gt;"",FT!B83*100,"")</f>
        <v>46.065199999999997</v>
      </c>
      <c r="I83" s="50">
        <f t="shared" si="18"/>
        <v>1</v>
      </c>
      <c r="J83" t="str">
        <f>IF(FT!B83&lt;&gt;"",FT!E83,"")</f>
        <v>0 [32.861379]</v>
      </c>
      <c r="K83">
        <f>IF(FT!B83&lt;&gt;"",IF(FT!C83&lt;&gt;"",FT!C83,F83/$M$3*$M$4),"")</f>
        <v>32.861400000000003</v>
      </c>
      <c r="Y83" s="75">
        <f t="shared" si="19"/>
        <v>7.2270020269719044</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6.3865700000000007</v>
      </c>
      <c r="H84" s="50">
        <f>IF(FT!B84&lt;&gt;"",FT!B84*100,"")</f>
        <v>46.277099999999997</v>
      </c>
      <c r="I84" s="50">
        <f t="shared" si="18"/>
        <v>1</v>
      </c>
      <c r="J84" t="str">
        <f>IF(FT!B84&lt;&gt;"",FT!E84,"")</f>
        <v>0 [33.266992]</v>
      </c>
      <c r="K84">
        <f>IF(FT!B84&lt;&gt;"",IF(FT!C84&lt;&gt;"",FT!C84,F84/$M$3*$M$4),"")</f>
        <v>33.267000000000003</v>
      </c>
      <c r="Y84" s="75">
        <f t="shared" si="19"/>
        <v>7.2460021576526978</v>
      </c>
    </row>
    <row r="85" spans="1:25" ht="16.5" customHeight="1">
      <c r="A85" s="50">
        <f t="shared" si="20"/>
        <v>83</v>
      </c>
      <c r="B85" s="50">
        <f t="shared" si="16"/>
        <v>1.6157821568627451</v>
      </c>
      <c r="C85" s="50">
        <f>IF(FH!$C$2&gt;0,FH!A85/FH!$C$2,0)</f>
        <v>5.5289312668882193E-2</v>
      </c>
      <c r="D85" s="50">
        <f>IF(hist!$D$2&gt;0,hist!B85/hist!$D$2,0)</f>
        <v>0.75163929891520254</v>
      </c>
      <c r="E85" s="50">
        <f t="shared" si="17"/>
        <v>0.62483717980633824</v>
      </c>
      <c r="F85">
        <f t="shared" si="21"/>
        <v>83</v>
      </c>
      <c r="G85" s="50">
        <f>IF(FT!A85&lt;&gt;"",FT!A85*10,"")</f>
        <v>6.3967700000000001</v>
      </c>
      <c r="H85" s="50">
        <f>IF(FT!B85&lt;&gt;"",FT!B85*100,"")</f>
        <v>46.484900000000003</v>
      </c>
      <c r="I85" s="50">
        <f t="shared" si="18"/>
        <v>1</v>
      </c>
      <c r="J85" t="str">
        <f>IF(FT!B85&lt;&gt;"",FT!E85,"")</f>
        <v>0 [33.675164]</v>
      </c>
      <c r="K85">
        <f>IF(FT!B85&lt;&gt;"",IF(FT!C85&lt;&gt;"",FT!C85,F85/$M$3*$M$4),"")</f>
        <v>33.675199999999997</v>
      </c>
      <c r="Y85" s="75">
        <f t="shared" si="19"/>
        <v>7.2669331553268295</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6.4052799999999994</v>
      </c>
      <c r="H86" s="50">
        <f>IF(FT!B86&lt;&gt;"",FT!B86*100,"")</f>
        <v>46.656799999999997</v>
      </c>
      <c r="I86" s="50">
        <f t="shared" si="18"/>
        <v>1</v>
      </c>
      <c r="J86" t="str">
        <f>IF(FT!B86&lt;&gt;"",FT!E86,"")</f>
        <v>0 [34.076841]</v>
      </c>
      <c r="K86">
        <f>IF(FT!B86&lt;&gt;"",IF(FT!C86&lt;&gt;"",FT!C86,F86/$M$3*$M$4),"")</f>
        <v>34.076799999999999</v>
      </c>
      <c r="Y86" s="75">
        <f t="shared" si="19"/>
        <v>7.2841156046261837</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6.4125200000000007</v>
      </c>
      <c r="H87" s="50">
        <f>IF(FT!B87&lt;&gt;"",FT!B87*100,"")</f>
        <v>46.779600000000002</v>
      </c>
      <c r="I87" s="50">
        <f t="shared" si="18"/>
        <v>1</v>
      </c>
      <c r="J87" t="str">
        <f>IF(FT!B87&lt;&gt;"",FT!E87,"")</f>
        <v>0 [34.498725]</v>
      </c>
      <c r="K87">
        <f>IF(FT!B87&lt;&gt;"",IF(FT!C87&lt;&gt;"",FT!C87,F87/$M$3*$M$4),"")</f>
        <v>34.498699999999999</v>
      </c>
      <c r="Y87" s="75">
        <f t="shared" si="19"/>
        <v>7.2950415749190638</v>
      </c>
    </row>
    <row r="88" spans="1:25" ht="16.5" customHeight="1">
      <c r="A88" s="50">
        <f t="shared" si="20"/>
        <v>86</v>
      </c>
      <c r="B88" s="50">
        <f t="shared" si="16"/>
        <v>1.6741839215686276</v>
      </c>
      <c r="C88" s="50">
        <f>IF(FH!$C$2&gt;0,FH!A88/FH!$C$2,0)</f>
        <v>5.3279808677827126E-2</v>
      </c>
      <c r="D88" s="50">
        <f>IF(hist!$D$2&gt;0,hist!B88/hist!$D$2,0)</f>
        <v>0.74816343625426285</v>
      </c>
      <c r="E88" s="50">
        <f t="shared" si="17"/>
        <v>0.7023774271497798</v>
      </c>
      <c r="F88">
        <f t="shared" si="21"/>
        <v>86</v>
      </c>
      <c r="G88" s="50">
        <f>IF(FT!A88&lt;&gt;"",FT!A88*10,"")</f>
        <v>6.41873</v>
      </c>
      <c r="H88" s="50">
        <f>IF(FT!B88&lt;&gt;"",FT!B88*100,"")</f>
        <v>46.8399</v>
      </c>
      <c r="I88" s="50">
        <f t="shared" si="18"/>
        <v>1</v>
      </c>
      <c r="J88" t="str">
        <f>IF(FT!B88&lt;&gt;"",FT!E88,"")</f>
        <v>0 [34.898277]</v>
      </c>
      <c r="K88">
        <f>IF(FT!B88&lt;&gt;"",IF(FT!C88&lt;&gt;"",FT!C88,F88/$M$3*$M$4),"")</f>
        <v>34.898299999999999</v>
      </c>
      <c r="Y88" s="75">
        <f t="shared" si="19"/>
        <v>7.297378141781941</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6.425650000000001</v>
      </c>
      <c r="H89" s="50">
        <f>IF(FT!B89&lt;&gt;"",FT!B89*100,"")</f>
        <v>46.9313</v>
      </c>
      <c r="I89" s="50">
        <f t="shared" si="18"/>
        <v>1</v>
      </c>
      <c r="J89" t="str">
        <f>IF(FT!B89&lt;&gt;"",FT!E89,"")</f>
        <v>0 [35.303824]</v>
      </c>
      <c r="K89">
        <f>IF(FT!B89&lt;&gt;"",IF(FT!C89&lt;&gt;"",FT!C89,F89/$M$3*$M$4),"")</f>
        <v>35.303800000000003</v>
      </c>
      <c r="Y89" s="75">
        <f t="shared" si="19"/>
        <v>7.3037435901426306</v>
      </c>
    </row>
    <row r="90" spans="1:25" ht="16.5" customHeight="1">
      <c r="A90" s="50">
        <f t="shared" si="20"/>
        <v>88</v>
      </c>
      <c r="B90" s="50">
        <f t="shared" si="16"/>
        <v>1.7131184313725489</v>
      </c>
      <c r="C90" s="50">
        <f>IF(FH!$C$2&gt;0,FH!A90/FH!$C$2,0)</f>
        <v>7.2281967264030814E-2</v>
      </c>
      <c r="D90" s="50">
        <f>IF(hist!$D$2&gt;0,hist!B90/hist!$D$2,0)</f>
        <v>0.73899075378536305</v>
      </c>
      <c r="E90" s="50">
        <f t="shared" si="17"/>
        <v>0.75127105749767176</v>
      </c>
      <c r="F90">
        <f t="shared" si="21"/>
        <v>88</v>
      </c>
      <c r="G90" s="50">
        <f>IF(FT!A90&lt;&gt;"",FT!A90*10,"")</f>
        <v>6.4332999999999991</v>
      </c>
      <c r="H90" s="50">
        <f>IF(FT!B90&lt;&gt;"",FT!B90*100,"")</f>
        <v>47.041199999999996</v>
      </c>
      <c r="I90" s="50">
        <f t="shared" si="18"/>
        <v>1</v>
      </c>
      <c r="J90" t="str">
        <f>IF(FT!B90&lt;&gt;"",FT!E90,"")</f>
        <v>0 [35.709635]</v>
      </c>
      <c r="K90">
        <f>IF(FT!B90&lt;&gt;"",IF(FT!C90&lt;&gt;"",FT!C90,F90/$M$3*$M$4),"")</f>
        <v>35.709600000000002</v>
      </c>
      <c r="Y90" s="75">
        <f t="shared" si="19"/>
        <v>7.3121415136865995</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6.4413400000000003</v>
      </c>
      <c r="H91" s="50">
        <f>IF(FT!B91&lt;&gt;"",FT!B91*100,"")</f>
        <v>47.167299999999997</v>
      </c>
      <c r="I91" s="50">
        <f t="shared" si="18"/>
        <v>1</v>
      </c>
      <c r="J91" t="str">
        <f>IF(FT!B91&lt;&gt;"",FT!E91,"")</f>
        <v>0 [36.109842]</v>
      </c>
      <c r="K91">
        <f>IF(FT!B91&lt;&gt;"",IF(FT!C91&lt;&gt;"",FT!C91,F91/$M$3*$M$4),"")</f>
        <v>36.1098</v>
      </c>
      <c r="Y91" s="75">
        <f t="shared" si="19"/>
        <v>7.3225912620665881</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6.4466199999999994</v>
      </c>
      <c r="H92" s="50">
        <f>IF(FT!B92&lt;&gt;"",FT!B92*100,"")</f>
        <v>47.290300000000002</v>
      </c>
      <c r="I92" s="50">
        <f t="shared" si="18"/>
        <v>1</v>
      </c>
      <c r="J92" t="str">
        <f>IF(FT!B92&lt;&gt;"",FT!E92,"")</f>
        <v>0 [36.522219]</v>
      </c>
      <c r="K92">
        <f>IF(FT!B92&lt;&gt;"",IF(FT!C92&lt;&gt;"",FT!C92,F92/$M$3*$M$4),"")</f>
        <v>36.522199999999998</v>
      </c>
      <c r="Y92" s="75">
        <f t="shared" si="19"/>
        <v>7.3356735777818463</v>
      </c>
    </row>
    <row r="93" spans="1:25" ht="16.5" customHeight="1">
      <c r="A93" s="50">
        <f t="shared" si="20"/>
        <v>91</v>
      </c>
      <c r="B93" s="50">
        <f t="shared" si="16"/>
        <v>1.7715201960784315</v>
      </c>
      <c r="C93" s="50">
        <f>IF(FH!$C$2&gt;0,FH!A93/FH!$C$2,0)</f>
        <v>7.4642435630648818E-2</v>
      </c>
      <c r="D93" s="50">
        <f>IF(hist!$D$2&gt;0,hist!B93/hist!$D$2,0)</f>
        <v>0.72029608293195901</v>
      </c>
      <c r="E93" s="50">
        <f t="shared" si="17"/>
        <v>0.81784558293661058</v>
      </c>
      <c r="F93">
        <f t="shared" si="21"/>
        <v>91</v>
      </c>
      <c r="G93" s="50">
        <f>IF(FT!A93&lt;&gt;"",FT!A93*10,"")</f>
        <v>6.44937</v>
      </c>
      <c r="H93" s="50">
        <f>IF(FT!B93&lt;&gt;"",FT!B93*100,"")</f>
        <v>47.455999999999996</v>
      </c>
      <c r="I93" s="50">
        <f t="shared" si="18"/>
        <v>1</v>
      </c>
      <c r="J93" t="str">
        <f>IF(FT!B93&lt;&gt;"",FT!E93,"")</f>
        <v>0 [36.930406]</v>
      </c>
      <c r="K93">
        <f>IF(FT!B93&lt;&gt;"",IF(FT!C93&lt;&gt;"",FT!C93,F93/$M$3*$M$4),"")</f>
        <v>36.930399999999999</v>
      </c>
      <c r="Y93" s="75">
        <f t="shared" si="19"/>
        <v>7.3582380914724999</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6.45167</v>
      </c>
      <c r="H94" s="50">
        <f>IF(FT!B94&lt;&gt;"",FT!B94*100,"")</f>
        <v>47.634500000000003</v>
      </c>
      <c r="I94" s="50">
        <f t="shared" si="18"/>
        <v>1</v>
      </c>
      <c r="J94" t="str">
        <f>IF(FT!B94&lt;&gt;"",FT!E94,"")</f>
        <v>0 [37.335417]</v>
      </c>
      <c r="K94">
        <f>IF(FT!B94&lt;&gt;"",IF(FT!C94&lt;&gt;"",FT!C94,F94/$M$3*$M$4),"")</f>
        <v>37.3354</v>
      </c>
      <c r="Y94" s="75">
        <f t="shared" si="19"/>
        <v>7.3832821579529027</v>
      </c>
    </row>
    <row r="95" spans="1:25" ht="16.5" customHeight="1">
      <c r="A95" s="50">
        <f t="shared" si="20"/>
        <v>93</v>
      </c>
      <c r="B95" s="50">
        <f t="shared" si="16"/>
        <v>1.8104547058823528</v>
      </c>
      <c r="C95" s="50">
        <f>IF(FH!$C$2&gt;0,FH!A95/FH!$C$2,0)</f>
        <v>7.7690079821101349E-2</v>
      </c>
      <c r="D95" s="50">
        <f>IF(hist!$D$2&gt;0,hist!B95/hist!$D$2,0)</f>
        <v>0.70223546676005788</v>
      </c>
      <c r="E95" s="50">
        <f t="shared" si="17"/>
        <v>0.85627133592886806</v>
      </c>
      <c r="F95">
        <f t="shared" si="21"/>
        <v>93</v>
      </c>
      <c r="G95" s="50">
        <f>IF(FT!A95&lt;&gt;"",FT!A95*10,"")</f>
        <v>6.4610300000000001</v>
      </c>
      <c r="H95" s="50">
        <f>IF(FT!B95&lt;&gt;"",FT!B95*100,"")</f>
        <v>47.787600000000005</v>
      </c>
      <c r="I95" s="50">
        <f t="shared" si="18"/>
        <v>1</v>
      </c>
      <c r="J95" t="str">
        <f>IF(FT!B95&lt;&gt;"",FT!E95,"")</f>
        <v>0 [37.741020]</v>
      </c>
      <c r="K95">
        <f>IF(FT!B95&lt;&gt;"",IF(FT!C95&lt;&gt;"",FT!C95,F95/$M$3*$M$4),"")</f>
        <v>37.741</v>
      </c>
      <c r="Y95" s="75">
        <f t="shared" si="19"/>
        <v>7.396282016953954</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6.4758599999999999</v>
      </c>
      <c r="H96" s="50">
        <f>IF(FT!B96&lt;&gt;"",FT!B96*100,"")</f>
        <v>47.935400000000001</v>
      </c>
      <c r="I96" s="50">
        <f t="shared" si="18"/>
        <v>1</v>
      </c>
      <c r="J96" t="str">
        <f>IF(FT!B96&lt;&gt;"",FT!E96,"")</f>
        <v>0 [38.157047]</v>
      </c>
      <c r="K96">
        <f>IF(FT!B96&lt;&gt;"",IF(FT!C96&lt;&gt;"",FT!C96,F96/$M$3*$M$4),"")</f>
        <v>38.156999999999996</v>
      </c>
      <c r="Y96" s="75">
        <f t="shared" si="19"/>
        <v>7.4021674341323012</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6.4938599999999997</v>
      </c>
      <c r="H97" s="50">
        <f>IF(FT!B97&lt;&gt;"",FT!B97*100,"")</f>
        <v>48.027999999999999</v>
      </c>
      <c r="I97" s="50">
        <f t="shared" si="18"/>
        <v>1</v>
      </c>
      <c r="J97" t="str">
        <f>IF(FT!B97&lt;&gt;"",FT!E97,"")</f>
        <v>0 [38.556755]</v>
      </c>
      <c r="K97">
        <f>IF(FT!B97&lt;&gt;"",IF(FT!C97&lt;&gt;"",FT!C97,F97/$M$3*$M$4),"")</f>
        <v>38.556800000000003</v>
      </c>
      <c r="Y97" s="75">
        <f t="shared" si="19"/>
        <v>7.3959093666940774</v>
      </c>
    </row>
    <row r="98" spans="1:25" ht="16.5" customHeight="1">
      <c r="A98" s="50">
        <f t="shared" si="20"/>
        <v>96</v>
      </c>
      <c r="B98" s="50">
        <f t="shared" si="16"/>
        <v>1.8688564705882353</v>
      </c>
      <c r="C98" s="50">
        <f>IF(FH!$C$2&gt;0,FH!A98/FH!$C$2,0)</f>
        <v>8.6668012547752887E-2</v>
      </c>
      <c r="D98" s="50">
        <f>IF(hist!$D$2&gt;0,hist!B98/hist!$D$2,0)</f>
        <v>0.68166663661872506</v>
      </c>
      <c r="E98" s="50">
        <f t="shared" si="17"/>
        <v>0.90272824790152328</v>
      </c>
      <c r="F98">
        <f t="shared" si="21"/>
        <v>96</v>
      </c>
      <c r="G98" s="50">
        <f>IF(FT!A98&lt;&gt;"",FT!A98*10,"")</f>
        <v>6.5155500000000002</v>
      </c>
      <c r="H98" s="50">
        <f>IF(FT!B98&lt;&gt;"",FT!B98*100,"")</f>
        <v>48.141300000000001</v>
      </c>
      <c r="I98" s="50">
        <f t="shared" si="18"/>
        <v>1</v>
      </c>
      <c r="J98" t="str">
        <f>IF(FT!B98&lt;&gt;"",FT!E98,"")</f>
        <v>0 [38.962299]</v>
      </c>
      <c r="K98">
        <f>IF(FT!B98&lt;&gt;"",IF(FT!C98&lt;&gt;"",FT!C98,F98/$M$3*$M$4),"")</f>
        <v>38.962299999999999</v>
      </c>
      <c r="Y98" s="75">
        <f t="shared" si="19"/>
        <v>7.3886778552846648</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6.5547500000000003</v>
      </c>
      <c r="H99" s="50">
        <f>IF(FT!B99&lt;&gt;"",FT!B99*100,"")</f>
        <v>48.541400000000003</v>
      </c>
      <c r="I99" s="50">
        <f t="shared" si="18"/>
        <v>1</v>
      </c>
      <c r="J99" t="str">
        <f>IF(FT!B99&lt;&gt;"",FT!E99,"")</f>
        <v>0 [39.368149]</v>
      </c>
      <c r="K99">
        <f>IF(FT!B99&lt;&gt;"",IF(FT!C99&lt;&gt;"",FT!C99,F99/$M$3*$M$4),"")</f>
        <v>39.368099999999998</v>
      </c>
      <c r="Y99" s="75">
        <f t="shared" si="19"/>
        <v>7.4055303405927004</v>
      </c>
    </row>
    <row r="100" spans="1:25" ht="16.5" customHeight="1">
      <c r="A100" s="50">
        <f t="shared" si="20"/>
        <v>98</v>
      </c>
      <c r="B100" s="50">
        <f t="shared" si="16"/>
        <v>1.9077909803921569</v>
      </c>
      <c r="C100" s="50">
        <f>IF(FH!$C$2&gt;0,FH!A100/FH!$C$2,0)</f>
        <v>9.1537643258688697E-2</v>
      </c>
      <c r="D100" s="50">
        <f>IF(hist!$D$2&gt;0,hist!B100/hist!$D$2,0)</f>
        <v>0.65994491025752045</v>
      </c>
      <c r="E100" s="50">
        <f t="shared" si="17"/>
        <v>0.92514777239528223</v>
      </c>
      <c r="F100">
        <f t="shared" si="21"/>
        <v>98</v>
      </c>
      <c r="G100" s="50">
        <f>IF(FT!A100&lt;&gt;"",FT!A100*10,"")</f>
        <v>6.5923600000000002</v>
      </c>
      <c r="H100" s="50">
        <f>IF(FT!B100&lt;&gt;"",FT!B100*100,"")</f>
        <v>48.729900000000001</v>
      </c>
      <c r="I100" s="50">
        <f t="shared" si="18"/>
        <v>1</v>
      </c>
      <c r="J100" t="str">
        <f>IF(FT!B100&lt;&gt;"",FT!E100,"")</f>
        <v>0 [39.766665]</v>
      </c>
      <c r="K100">
        <f>IF(FT!B100&lt;&gt;"",IF(FT!C100&lt;&gt;"",FT!C100,F100/$M$3*$M$4),"")</f>
        <v>39.7667</v>
      </c>
      <c r="Y100" s="75">
        <f t="shared" si="19"/>
        <v>7.3918748369324492</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6.61381</v>
      </c>
      <c r="H101" s="50">
        <f>IF(FT!B101&lt;&gt;"",FT!B101*100,"")</f>
        <v>47.467599999999997</v>
      </c>
      <c r="I101" s="50">
        <f t="shared" si="18"/>
        <v>1</v>
      </c>
      <c r="J101" t="str">
        <f>IF(FT!B101&lt;&gt;"",FT!E101,"")</f>
        <v>0 [40.174267]</v>
      </c>
      <c r="K101">
        <f>IF(FT!B101&lt;&gt;"",IF(FT!C101&lt;&gt;"",FT!C101,F101/$M$3*$M$4),"")</f>
        <v>40.174300000000002</v>
      </c>
      <c r="Y101" s="75">
        <f t="shared" si="19"/>
        <v>7.1770431869073947</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0.1250465881914464</v>
      </c>
      <c r="D103" s="50">
        <f>IF(hist!$D$2&gt;0,hist!B103/hist!$D$2,0)</f>
        <v>0.63542556494844593</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0.13017788924433954</v>
      </c>
      <c r="D106" s="50">
        <f>IF(hist!$D$2&gt;0,hist!B106/hist!$D$2,0)</f>
        <v>0.61758539907121157</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0.15339394974687082</v>
      </c>
      <c r="D108" s="50">
        <f>IF(hist!$D$2&gt;0,hist!B108/hist!$D$2,0)</f>
        <v>0.60179229092483821</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0.15839208621921297</v>
      </c>
      <c r="D111" s="50">
        <f>IF(hist!$D$2&gt;0,hist!B111/hist!$D$2,0)</f>
        <v>0.59154461944443126</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0.19942774171506661</v>
      </c>
      <c r="D113" s="50">
        <f>IF(hist!$D$2&gt;0,hist!B113/hist!$D$2,0)</f>
        <v>0.58574368717395764</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0.25274287977140725</v>
      </c>
      <c r="D116" s="50">
        <f>IF(hist!$D$2&gt;0,hist!B116/hist!$D$2,0)</f>
        <v>0.57857957557767936</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0.3213998975059788</v>
      </c>
      <c r="D118" s="50">
        <f>IF(hist!$D$2&gt;0,hist!B118/hist!$D$2,0)</f>
        <v>0.5698262334096138</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0.38813748175295837</v>
      </c>
      <c r="D121" s="50">
        <f>IF(hist!$D$2&gt;0,hist!B121/hist!$D$2,0)</f>
        <v>0.56030761909216753</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0.42614606950958162</v>
      </c>
      <c r="D124" s="50">
        <f>IF(hist!$D$2&gt;0,hist!B124/hist!$D$2,0)</f>
        <v>0.55189112128537288</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0.45459592508618818</v>
      </c>
      <c r="D126" s="50">
        <f>IF(hist!$D$2&gt;0,hist!B126/hist!$D$2,0)</f>
        <v>0.5400801770557434</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0.49386588812622295</v>
      </c>
      <c r="D129" s="50">
        <f>IF(hist!$D$2&gt;0,hist!B129/hist!$D$2,0)</f>
        <v>0.52496978888473667</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0.52459856508370339</v>
      </c>
      <c r="D131" s="50">
        <f>IF(hist!$D$2&gt;0,hist!B131/hist!$D$2,0)</f>
        <v>0.50966727008856827</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0.54655713265211037</v>
      </c>
      <c r="D134" s="50">
        <f>IF(hist!$D$2&gt;0,hist!B134/hist!$D$2,0)</f>
        <v>0.49297661511725777</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0.62001894586452155</v>
      </c>
      <c r="D136" s="50">
        <f>IF(hist!$D$2&gt;0,hist!B136/hist!$D$2,0)</f>
        <v>0.47004654536753132</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0.66583066745348951</v>
      </c>
      <c r="D139" s="50">
        <f>IF(hist!$D$2&gt;0,hist!B139/hist!$D$2,0)</f>
        <v>0.43831672878080435</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0.75177811597353794</v>
      </c>
      <c r="D142" s="50">
        <f>IF(hist!$D$2&gt;0,hist!B142/hist!$D$2,0)</f>
        <v>0.40678249561452823</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0.86241730596018262</v>
      </c>
      <c r="D144" s="50">
        <f>IF(hist!$D$2&gt;0,hist!B144/hist!$D$2,0)</f>
        <v>0.37337754470872231</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0.89268410100319906</v>
      </c>
      <c r="D147" s="50">
        <f>IF(hist!$D$2&gt;0,hist!B147/hist!$D$2,0)</f>
        <v>0.33738297484226998</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0.8931538652669504</v>
      </c>
      <c r="D149" s="50">
        <f>IF(hist!$D$2&gt;0,hist!B149/hist!$D$2,0)</f>
        <v>0.30569725731198855</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0.87989952480044731</v>
      </c>
      <c r="D152" s="50">
        <f>IF(hist!$D$2&gt;0,hist!B152/hist!$D$2,0)</f>
        <v>0.27529786910682497</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0.84395673509954339</v>
      </c>
      <c r="D154" s="50">
        <f>IF(hist!$D$2&gt;0,hist!B154/hist!$D$2,0)</f>
        <v>0.24867155388283307</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0.84344038264434584</v>
      </c>
      <c r="D157" s="50">
        <f>IF(hist!$D$2&gt;0,hist!B157/hist!$D$2,0)</f>
        <v>0.2237125226485657</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0.85701307575239927</v>
      </c>
      <c r="D160" s="50">
        <f>IF(hist!$D$2&gt;0,hist!B160/hist!$D$2,0)</f>
        <v>0.19923047202737018</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0.87490682361710714</v>
      </c>
      <c r="D162" s="50">
        <f>IF(hist!$D$2&gt;0,hist!B162/hist!$D$2,0)</f>
        <v>0.17493039608949226</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0.97812684411591133</v>
      </c>
      <c r="D165" s="50">
        <f>IF(hist!$D$2&gt;0,hist!B165/hist!$D$2,0)</f>
        <v>0.15120907387403981</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1</v>
      </c>
      <c r="D167" s="50">
        <f>IF(hist!$D$2&gt;0,hist!B167/hist!$D$2,0)</f>
        <v>0.12853443224747946</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0.97207814392645275</v>
      </c>
      <c r="D170" s="50">
        <f>IF(hist!$D$2&gt;0,hist!B170/hist!$D$2,0)</f>
        <v>0.10819395896461893</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8.962019218078629E-2</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0.96232956486629184</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0.88302093362735656</v>
      </c>
      <c r="D175" s="50">
        <f>IF(hist!$D$2&gt;0,hist!B175/hist!$D$2,0)</f>
        <v>7.337945780474403E-2</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0.8680428300773364</v>
      </c>
      <c r="D178" s="50">
        <f>IF(hist!$D$2&gt;0,hist!B178/hist!$D$2,0)</f>
        <v>5.8933704609674037E-2</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0.76766080690747585</v>
      </c>
      <c r="D180" s="50">
        <f>IF(hist!$D$2&gt;0,hist!B180/hist!$D$2,0)</f>
        <v>4.6195892912375129E-2</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0.69099993788241143</v>
      </c>
      <c r="D183" s="50">
        <f>IF(hist!$D$2&gt;0,hist!B183/hist!$D$2,0)</f>
        <v>3.5554861447479047E-2</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0.61857859427897011</v>
      </c>
      <c r="D185" s="50">
        <f>IF(hist!$D$2&gt;0,hist!B185/hist!$D$2,0)</f>
        <v>2.6178688994322987E-2</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0.61179224772494334</v>
      </c>
      <c r="D188" s="50">
        <f>IF(hist!$D$2&gt;0,hist!B188/hist!$D$2,0)</f>
        <v>1.8703747093789514E-2</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0.54018619747181418</v>
      </c>
      <c r="D191" s="50">
        <f>IF(hist!$D$2&gt;0,hist!B191/hist!$D$2,0)</f>
        <v>1.2927704191312213E-2</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0.54079184396061752</v>
      </c>
      <c r="D193" s="50">
        <f>IF(hist!$D$2&gt;0,hist!B193/hist!$D$2,0)</f>
        <v>8.4832031125273745E-3</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0.40332562039941611</v>
      </c>
      <c r="D196" s="50">
        <f>IF(hist!$D$2&gt;0,hist!B196/hist!$D$2,0)</f>
        <v>5.3295526087178673E-3</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0.3752845762027518</v>
      </c>
      <c r="D198" s="50">
        <f>IF(hist!$D$2&gt;0,hist!B198/hist!$D$2,0)</f>
        <v>3.6600417347351895E-3</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0.27148725036494087</v>
      </c>
      <c r="D201" s="50">
        <f>IF(hist!$D$2&gt;0,hist!B201/hist!$D$2,0)</f>
        <v>2.2143327286967677E-3</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0.18921677485480015</v>
      </c>
      <c r="D203" s="50">
        <f>IF(hist!$D$2&gt;0,hist!B203/hist!$D$2,0)</f>
        <v>1.4197061959129319E-3</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0.13296347485790602</v>
      </c>
      <c r="D206" s="50">
        <f>IF(hist!$D$2&gt;0,hist!B206/hist!$D$2,0)</f>
        <v>7.8106278321145653E-4</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8.7877752585644633E-2</v>
      </c>
      <c r="D209" s="50">
        <f>IF(hist!$D$2&gt;0,hist!B209/hist!$D$2,0)</f>
        <v>3.8205685984553947E-4</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5.630765288691493E-2</v>
      </c>
      <c r="D211" s="50">
        <f>IF(hist!$D$2&gt;0,hist!B211/hist!$D$2,0)</f>
        <v>1.9781030470895932E-4</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2.1109070720874614E-2</v>
      </c>
      <c r="D214" s="50">
        <f>IF(hist!$D$2&gt;0,hist!B214/hist!$D$2,0)</f>
        <v>6.6694058842627299E-5</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4.6470944497934586E-3</v>
      </c>
      <c r="D216" s="50">
        <f>IF(hist!$D$2&gt;0,hist!B216/hist!$D$2,0)</f>
        <v>1.2439060553110588E-5</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4.2140183868062247E-4</v>
      </c>
      <c r="D219" s="50">
        <f>IF(hist!$D$2&gt;0,hist!B219/hist!$D$2,0)</f>
        <v>1.1359359094612744E-6</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54.923099999999998</v>
      </c>
      <c r="C5" s="49">
        <v>8.2512000000000008</v>
      </c>
      <c r="D5" s="49">
        <v>15.023199999999999</v>
      </c>
      <c r="E5" s="49">
        <v>20</v>
      </c>
      <c r="F5" s="49">
        <v>22.567699999999999</v>
      </c>
      <c r="G5" s="49">
        <v>50</v>
      </c>
      <c r="H5" s="49">
        <v>78.987799999999993</v>
      </c>
    </row>
    <row r="6" spans="1:10">
      <c r="A6" t="s">
        <v>1111</v>
      </c>
      <c r="B6" s="49">
        <v>16.184699999999999</v>
      </c>
      <c r="C6" s="49">
        <v>11.1387</v>
      </c>
      <c r="D6" s="49">
        <v>68.822000000000003</v>
      </c>
      <c r="E6" s="49">
        <v>20</v>
      </c>
      <c r="F6" s="49">
        <v>9.0767100000000003</v>
      </c>
      <c r="G6" s="49">
        <v>40</v>
      </c>
      <c r="H6" s="49">
        <v>54.993699999999997</v>
      </c>
    </row>
    <row r="7" spans="1:10">
      <c r="A7" t="s">
        <v>1112</v>
      </c>
      <c r="B7" s="49">
        <v>12.237500000000001</v>
      </c>
      <c r="C7" s="49">
        <v>22.28</v>
      </c>
      <c r="D7" s="49">
        <v>182.06299999999999</v>
      </c>
      <c r="E7" s="49">
        <v>15</v>
      </c>
      <c r="F7" s="49">
        <v>3.0621800000000001</v>
      </c>
      <c r="G7" s="49">
        <v>40</v>
      </c>
      <c r="H7" s="49">
        <v>60.8003</v>
      </c>
    </row>
    <row r="8" spans="1:10">
      <c r="A8" t="s">
        <v>1113</v>
      </c>
      <c r="B8" s="49">
        <v>32.810899999999997</v>
      </c>
      <c r="C8" s="49">
        <v>6.3857499999999998</v>
      </c>
      <c r="D8" s="49">
        <v>19.462299999999999</v>
      </c>
      <c r="E8" s="49">
        <v>20</v>
      </c>
      <c r="F8" s="49">
        <v>23.7227</v>
      </c>
      <c r="G8" s="49">
        <v>50</v>
      </c>
      <c r="H8" s="49">
        <v>46.7819</v>
      </c>
    </row>
    <row r="9" spans="1:10">
      <c r="A9" t="s">
        <v>1114</v>
      </c>
      <c r="B9" s="49">
        <v>65.636700000000005</v>
      </c>
      <c r="C9" s="49">
        <v>20.284600000000001</v>
      </c>
      <c r="D9" s="49">
        <v>30.904399999999999</v>
      </c>
      <c r="E9" s="49">
        <v>50</v>
      </c>
      <c r="F9" s="49">
        <v>0</v>
      </c>
      <c r="G9" s="49">
        <v>100</v>
      </c>
      <c r="H9" s="49">
        <v>79.776899999999998</v>
      </c>
    </row>
    <row r="10" spans="1:10">
      <c r="A10" t="s">
        <v>1115</v>
      </c>
      <c r="B10" s="49">
        <v>75.194699999999997</v>
      </c>
      <c r="C10" s="49">
        <v>9.2244899999999994</v>
      </c>
      <c r="D10" s="49">
        <v>12.2675</v>
      </c>
      <c r="E10" s="49">
        <v>40</v>
      </c>
      <c r="F10" s="49">
        <v>37.626199999999997</v>
      </c>
      <c r="G10" s="49">
        <v>100</v>
      </c>
      <c r="H10" s="49">
        <v>83.4589</v>
      </c>
    </row>
    <row r="11" spans="1:10">
      <c r="A11" t="s">
        <v>1116</v>
      </c>
      <c r="B11" s="49">
        <v>45.9833</v>
      </c>
      <c r="C11" s="49">
        <v>7.5408799999999996</v>
      </c>
      <c r="D11" s="49">
        <v>16.3992</v>
      </c>
      <c r="E11" s="49">
        <v>10</v>
      </c>
      <c r="F11" s="49">
        <v>10.3026</v>
      </c>
      <c r="G11" s="49">
        <v>50</v>
      </c>
      <c r="H11" s="49">
        <v>55.7</v>
      </c>
    </row>
    <row r="12" spans="1:10">
      <c r="A12" t="s">
        <v>1117</v>
      </c>
      <c r="B12" s="49">
        <v>70.585599999999999</v>
      </c>
      <c r="C12" s="49">
        <v>13.154500000000001</v>
      </c>
      <c r="D12" s="49">
        <v>18.636299999999999</v>
      </c>
      <c r="E12" s="49">
        <v>50</v>
      </c>
      <c r="F12" s="49">
        <v>22.177199999999999</v>
      </c>
      <c r="G12" s="49">
        <v>100</v>
      </c>
      <c r="H12" s="49">
        <v>77.753500000000003</v>
      </c>
    </row>
    <row r="13" spans="1:10">
      <c r="A13" t="s">
        <v>1118</v>
      </c>
      <c r="B13" s="49">
        <v>31.0443</v>
      </c>
      <c r="C13" s="49">
        <v>4.6481700000000004</v>
      </c>
      <c r="D13" s="49">
        <v>14.9727</v>
      </c>
      <c r="E13" s="49">
        <v>10</v>
      </c>
      <c r="F13" s="49">
        <v>21.255600000000001</v>
      </c>
      <c r="G13" s="49">
        <v>25</v>
      </c>
      <c r="H13" s="49">
        <v>42.352600000000002</v>
      </c>
      <c r="J13" s="49"/>
    </row>
    <row r="14" spans="1:10">
      <c r="A14" t="s">
        <v>1119</v>
      </c>
      <c r="B14" s="49">
        <v>46.481699999999996</v>
      </c>
      <c r="C14" s="49">
        <v>16.684100000000001</v>
      </c>
      <c r="D14" s="49">
        <v>35.893999999999998</v>
      </c>
      <c r="E14" s="49">
        <v>10</v>
      </c>
      <c r="F14" s="49">
        <v>2.8466999999999998</v>
      </c>
      <c r="G14" s="49">
        <v>50</v>
      </c>
      <c r="H14" s="49">
        <v>62.814799999999998</v>
      </c>
    </row>
    <row r="15" spans="1:10">
      <c r="A15" t="s">
        <v>1120</v>
      </c>
      <c r="B15" s="49">
        <v>0.158662</v>
      </c>
      <c r="C15" s="49">
        <v>0</v>
      </c>
      <c r="D15" s="49">
        <v>0</v>
      </c>
      <c r="E15" s="49">
        <v>0</v>
      </c>
      <c r="F15" s="49">
        <v>0</v>
      </c>
      <c r="G15" s="49">
        <v>0</v>
      </c>
      <c r="H15" s="49">
        <v>0</v>
      </c>
    </row>
    <row r="16" spans="1:10">
      <c r="A16" t="s">
        <v>1121</v>
      </c>
      <c r="B16" s="49">
        <v>0.42340299999999997</v>
      </c>
      <c r="C16" s="49">
        <v>0</v>
      </c>
      <c r="D16" s="49">
        <v>0</v>
      </c>
      <c r="E16" s="49">
        <v>0</v>
      </c>
      <c r="F16" s="49">
        <v>0</v>
      </c>
      <c r="G16" s="49">
        <v>0</v>
      </c>
      <c r="H16" s="49">
        <v>0</v>
      </c>
    </row>
    <row r="17" spans="1:8">
      <c r="A17" t="s">
        <v>1122</v>
      </c>
      <c r="B17" s="49">
        <v>41.444400000000002</v>
      </c>
      <c r="C17" s="49">
        <v>0</v>
      </c>
      <c r="D17" s="49">
        <v>0</v>
      </c>
      <c r="E17" s="49">
        <v>0</v>
      </c>
      <c r="F17" s="49">
        <v>0</v>
      </c>
      <c r="G17" s="49">
        <v>0</v>
      </c>
      <c r="H17" s="49">
        <v>0</v>
      </c>
    </row>
    <row r="18" spans="1:8">
      <c r="A18" t="s">
        <v>1123</v>
      </c>
      <c r="B18" s="49">
        <v>0.46112799999999998</v>
      </c>
      <c r="C18" s="49">
        <v>0</v>
      </c>
      <c r="D18" s="49">
        <v>0</v>
      </c>
      <c r="E18" s="49">
        <v>0</v>
      </c>
      <c r="F18" s="49">
        <v>0</v>
      </c>
      <c r="G18" s="49">
        <v>0</v>
      </c>
      <c r="H18" s="49">
        <v>0</v>
      </c>
    </row>
    <row r="19" spans="1:8">
      <c r="A19" t="s">
        <v>1124</v>
      </c>
      <c r="B19" s="49">
        <v>0.26310099999999997</v>
      </c>
      <c r="C19" s="49">
        <v>0</v>
      </c>
      <c r="D19" s="49">
        <v>0</v>
      </c>
      <c r="E19" s="49">
        <v>0</v>
      </c>
      <c r="F19" s="49">
        <v>0</v>
      </c>
      <c r="G19" s="49">
        <v>0</v>
      </c>
      <c r="H19" s="49">
        <v>0</v>
      </c>
    </row>
    <row r="20" spans="1:8">
      <c r="A20" t="s">
        <v>1125</v>
      </c>
      <c r="B20" s="49">
        <v>0.1777</v>
      </c>
      <c r="C20" s="49">
        <v>0.94220599999999999</v>
      </c>
      <c r="D20" s="49">
        <v>5.3022299999999998</v>
      </c>
      <c r="E20" s="49">
        <v>0</v>
      </c>
      <c r="F20" s="49">
        <v>2.57829E-3</v>
      </c>
      <c r="G20" s="49">
        <v>0</v>
      </c>
      <c r="H20" s="49">
        <v>12.268700000000001</v>
      </c>
    </row>
    <row r="21" spans="1:8">
      <c r="A21" t="s">
        <v>1126</v>
      </c>
      <c r="B21" s="49">
        <v>1.77197</v>
      </c>
      <c r="C21" s="49">
        <v>3.4216199999999999</v>
      </c>
      <c r="D21" s="49">
        <v>1.9309700000000001</v>
      </c>
      <c r="E21" s="49">
        <v>0</v>
      </c>
      <c r="F21" s="49">
        <v>5.1794600000000003E-2</v>
      </c>
      <c r="G21" s="49">
        <v>0</v>
      </c>
      <c r="H21" s="49">
        <v>25.340599999999998</v>
      </c>
    </row>
    <row r="22" spans="1:8">
      <c r="A22" t="s">
        <v>1127</v>
      </c>
      <c r="B22" s="49">
        <v>154.256</v>
      </c>
      <c r="C22" s="49">
        <v>79.480599999999995</v>
      </c>
      <c r="D22" s="49">
        <v>0.51525299999999996</v>
      </c>
      <c r="E22" s="49">
        <v>0</v>
      </c>
      <c r="F22" s="49">
        <v>74.156400000000005</v>
      </c>
      <c r="G22" s="49">
        <v>0</v>
      </c>
      <c r="H22" s="49">
        <v>440.77499999999998</v>
      </c>
    </row>
    <row r="23" spans="1:8">
      <c r="A23" t="s">
        <v>1128</v>
      </c>
      <c r="B23" s="49">
        <v>140.911</v>
      </c>
      <c r="C23" s="49">
        <v>32.158999999999999</v>
      </c>
      <c r="D23" s="49">
        <v>0.22822200000000001</v>
      </c>
      <c r="E23" s="49">
        <v>0</v>
      </c>
      <c r="F23" s="49">
        <v>86.197599999999994</v>
      </c>
      <c r="G23" s="49">
        <v>0</v>
      </c>
      <c r="H23" s="49">
        <v>186.458</v>
      </c>
    </row>
    <row r="24" spans="1:8">
      <c r="A24" t="s">
        <v>1129</v>
      </c>
      <c r="B24" s="49">
        <v>0.18961800000000001</v>
      </c>
      <c r="C24" s="49">
        <v>0.75374600000000003</v>
      </c>
      <c r="D24" s="49">
        <v>3.9750800000000002</v>
      </c>
      <c r="E24" s="49">
        <v>0</v>
      </c>
      <c r="F24" s="49">
        <v>3.79094E-3</v>
      </c>
      <c r="G24" s="49">
        <v>0</v>
      </c>
      <c r="H24" s="49">
        <v>4.4522199999999996</v>
      </c>
    </row>
    <row r="25" spans="1:8">
      <c r="A25" t="s">
        <v>1130</v>
      </c>
      <c r="B25" s="49">
        <v>1.8593599999999999</v>
      </c>
      <c r="C25" s="49">
        <v>2.42334</v>
      </c>
      <c r="D25" s="49">
        <v>1.30332</v>
      </c>
      <c r="E25" s="49">
        <v>0</v>
      </c>
      <c r="F25" s="49">
        <v>0.447658</v>
      </c>
      <c r="G25" s="49">
        <v>0</v>
      </c>
      <c r="H25" s="49">
        <v>9.4141399999999997</v>
      </c>
    </row>
    <row r="26" spans="1:8">
      <c r="A26" t="s">
        <v>1131</v>
      </c>
      <c r="B26" s="49">
        <v>1.5805099999999999E-2</v>
      </c>
      <c r="C26" s="49">
        <v>6.11704E-2</v>
      </c>
      <c r="D26" s="49">
        <v>3.8702999999999999</v>
      </c>
      <c r="E26" s="49">
        <v>0</v>
      </c>
      <c r="F26" s="173">
        <v>5.6585000000000001E-4</v>
      </c>
      <c r="G26" s="49">
        <v>0</v>
      </c>
      <c r="H26" s="49">
        <v>0.94308199999999998</v>
      </c>
    </row>
    <row r="27" spans="1:8">
      <c r="A27" t="s">
        <v>1132</v>
      </c>
      <c r="B27" s="173">
        <v>4.5985000000000001E-5</v>
      </c>
      <c r="C27" s="49">
        <v>7.1285000000000001E-2</v>
      </c>
      <c r="D27" s="49">
        <v>1550.18</v>
      </c>
      <c r="E27" s="49">
        <v>0</v>
      </c>
      <c r="F27" s="49">
        <v>-0.86443400000000004</v>
      </c>
      <c r="G27" s="49">
        <v>0</v>
      </c>
      <c r="H27" s="49">
        <v>0.86421099999999995</v>
      </c>
    </row>
    <row r="28" spans="1:8">
      <c r="A28" t="s">
        <v>1133</v>
      </c>
      <c r="B28" s="49">
        <v>7.6786300000000002E-2</v>
      </c>
      <c r="C28" s="49">
        <v>0.13340199999999999</v>
      </c>
      <c r="D28" s="49">
        <v>1.73732</v>
      </c>
      <c r="E28" s="49">
        <v>0</v>
      </c>
      <c r="F28" s="49">
        <v>5.9047099999999996E-3</v>
      </c>
      <c r="G28" s="49">
        <v>0</v>
      </c>
      <c r="H28" s="49">
        <v>0.96531199999999995</v>
      </c>
    </row>
    <row r="29" spans="1:8">
      <c r="A29" t="s">
        <v>1134</v>
      </c>
      <c r="B29" s="49">
        <v>107.563</v>
      </c>
      <c r="C29" s="49">
        <v>22.333600000000001</v>
      </c>
      <c r="D29" s="49">
        <v>0.20763200000000001</v>
      </c>
      <c r="E29" s="49">
        <v>0</v>
      </c>
      <c r="F29" s="49">
        <v>49.639000000000003</v>
      </c>
      <c r="G29" s="49">
        <v>0</v>
      </c>
      <c r="H29" s="49">
        <v>161.62200000000001</v>
      </c>
    </row>
    <row r="30" spans="1:8">
      <c r="A30" t="s">
        <v>1135</v>
      </c>
      <c r="B30" s="49">
        <v>70.507400000000004</v>
      </c>
      <c r="C30" s="49">
        <v>12.3071</v>
      </c>
      <c r="D30" s="49">
        <v>0.17455000000000001</v>
      </c>
      <c r="E30" s="49">
        <v>0</v>
      </c>
      <c r="F30" s="49">
        <v>30.737500000000001</v>
      </c>
      <c r="G30" s="49">
        <v>0</v>
      </c>
      <c r="H30" s="49">
        <v>91.2898</v>
      </c>
    </row>
    <row r="31" spans="1:8">
      <c r="A31" t="s">
        <v>1136</v>
      </c>
      <c r="B31" s="49">
        <v>446.76900000000001</v>
      </c>
      <c r="C31" s="49">
        <v>44.345700000000001</v>
      </c>
      <c r="D31" s="49">
        <v>9.9258700000000005E-2</v>
      </c>
      <c r="E31" s="49">
        <v>0</v>
      </c>
      <c r="F31" s="49">
        <v>385.04899999999998</v>
      </c>
      <c r="G31" s="49">
        <v>0</v>
      </c>
      <c r="H31" s="49">
        <v>582.14400000000001</v>
      </c>
    </row>
    <row r="32" spans="1:8">
      <c r="A32" t="s">
        <v>1137</v>
      </c>
      <c r="B32" s="49">
        <v>0.122375</v>
      </c>
      <c r="C32" s="49">
        <v>0.2228</v>
      </c>
      <c r="D32" s="49">
        <v>1.82063</v>
      </c>
      <c r="E32" s="49">
        <v>0.15</v>
      </c>
      <c r="F32" s="49">
        <v>3.0621800000000001E-2</v>
      </c>
      <c r="G32" s="49">
        <v>0.4</v>
      </c>
      <c r="H32" s="49">
        <v>0.60800299999999996</v>
      </c>
    </row>
    <row r="33" spans="1:8">
      <c r="A33" t="s">
        <v>1138</v>
      </c>
      <c r="B33" s="49">
        <v>0.34866000000000003</v>
      </c>
      <c r="C33" s="49">
        <v>4.1132200000000001E-2</v>
      </c>
      <c r="D33" s="49">
        <v>0.11797199999999999</v>
      </c>
      <c r="E33" s="49">
        <v>0</v>
      </c>
      <c r="F33" s="49">
        <v>0.28378900000000001</v>
      </c>
      <c r="G33" s="49">
        <v>0</v>
      </c>
      <c r="H33" s="49">
        <v>0.42194300000000001</v>
      </c>
    </row>
    <row r="34" spans="1:8">
      <c r="A34" t="s">
        <v>1139</v>
      </c>
      <c r="B34" s="49">
        <v>0.31044300000000002</v>
      </c>
      <c r="C34" s="49">
        <v>4.6481700000000001E-2</v>
      </c>
      <c r="D34" s="49">
        <v>0.149727</v>
      </c>
      <c r="E34" s="49">
        <v>0.1</v>
      </c>
      <c r="F34" s="49">
        <v>0.21255599999999999</v>
      </c>
      <c r="G34" s="49">
        <v>0.25</v>
      </c>
      <c r="H34" s="49">
        <v>0.42352600000000001</v>
      </c>
    </row>
    <row r="35" spans="1:8">
      <c r="A35" t="s">
        <v>1140</v>
      </c>
      <c r="B35" s="49">
        <v>0.124261</v>
      </c>
      <c r="C35" s="49">
        <v>6.0126400000000003E-2</v>
      </c>
      <c r="D35" s="49">
        <v>0.483871</v>
      </c>
      <c r="E35" s="49">
        <v>0</v>
      </c>
      <c r="F35" s="49">
        <v>4.1115400000000003E-2</v>
      </c>
      <c r="G35" s="49">
        <v>0</v>
      </c>
      <c r="H35" s="49">
        <v>0.28770600000000002</v>
      </c>
    </row>
    <row r="36" spans="1:8">
      <c r="A36" t="s">
        <v>1141</v>
      </c>
      <c r="B36" s="49">
        <v>0.282113</v>
      </c>
      <c r="C36" s="49">
        <v>0.15269199999999999</v>
      </c>
      <c r="D36" s="49">
        <v>0.541246</v>
      </c>
      <c r="E36" s="49">
        <v>0</v>
      </c>
      <c r="F36" s="49">
        <v>2.95867E-2</v>
      </c>
      <c r="G36" s="49">
        <v>0</v>
      </c>
      <c r="H36" s="49">
        <v>0.85087500000000005</v>
      </c>
    </row>
    <row r="37" spans="1:8">
      <c r="A37" t="s">
        <v>1142</v>
      </c>
      <c r="B37" s="49">
        <v>0.46481699999999998</v>
      </c>
      <c r="C37" s="49">
        <v>0.16684099999999999</v>
      </c>
      <c r="D37" s="49">
        <v>0.35893999999999998</v>
      </c>
      <c r="E37" s="49">
        <v>0.1</v>
      </c>
      <c r="F37" s="49">
        <v>2.8466999999999999E-2</v>
      </c>
      <c r="G37" s="49">
        <v>0.5</v>
      </c>
      <c r="H37" s="49">
        <v>0.62814800000000004</v>
      </c>
    </row>
    <row r="38" spans="1:8">
      <c r="A38" t="s">
        <v>1143</v>
      </c>
      <c r="B38" s="49">
        <v>5.4848999999999997</v>
      </c>
      <c r="C38" s="49">
        <v>81.483199999999997</v>
      </c>
      <c r="D38" s="49">
        <v>14.8559</v>
      </c>
      <c r="E38" s="49">
        <v>0</v>
      </c>
      <c r="F38" s="49">
        <v>-164.81200000000001</v>
      </c>
      <c r="G38" s="49">
        <v>0</v>
      </c>
      <c r="H38" s="49">
        <v>567.42899999999997</v>
      </c>
    </row>
    <row r="39" spans="1:8">
      <c r="A39" t="s">
        <v>1144</v>
      </c>
      <c r="B39" s="49">
        <v>9.7106300000000001</v>
      </c>
      <c r="C39" s="49">
        <v>24.028099999999998</v>
      </c>
      <c r="D39" s="49">
        <v>2.4744199999999998</v>
      </c>
      <c r="E39" s="49">
        <v>0</v>
      </c>
      <c r="F39" s="49">
        <v>-31.7361</v>
      </c>
      <c r="G39" s="49">
        <v>0</v>
      </c>
      <c r="H39" s="49">
        <v>108.691</v>
      </c>
    </row>
    <row r="40" spans="1:8">
      <c r="A40" t="s">
        <v>1145</v>
      </c>
      <c r="B40" s="49">
        <v>13.829499999999999</v>
      </c>
      <c r="C40" s="49">
        <v>18.288699999999999</v>
      </c>
      <c r="D40" s="49">
        <v>1.3224499999999999</v>
      </c>
      <c r="E40" s="49">
        <v>0</v>
      </c>
      <c r="F40" s="49">
        <v>-57.061100000000003</v>
      </c>
      <c r="G40" s="49">
        <v>0</v>
      </c>
      <c r="H40" s="49">
        <v>54.879600000000003</v>
      </c>
    </row>
    <row r="41" spans="1:8">
      <c r="A41" t="s">
        <v>1146</v>
      </c>
      <c r="B41" s="49">
        <v>3.1134999999999999E-3</v>
      </c>
      <c r="C41" s="49">
        <v>0.13245000000000001</v>
      </c>
      <c r="D41" s="49">
        <v>42.540700000000001</v>
      </c>
      <c r="E41" s="49">
        <v>0</v>
      </c>
      <c r="F41" s="49">
        <v>-0.27434500000000001</v>
      </c>
      <c r="G41" s="49">
        <v>0</v>
      </c>
      <c r="H41" s="49">
        <v>0.40560000000000002</v>
      </c>
    </row>
    <row r="42" spans="1:8">
      <c r="A42" t="s">
        <v>1147</v>
      </c>
      <c r="B42" s="49">
        <v>5.0117500000000002E-2</v>
      </c>
      <c r="C42" s="49">
        <v>8.3491999999999997E-2</v>
      </c>
      <c r="D42" s="49">
        <v>1.6659299999999999</v>
      </c>
      <c r="E42" s="49">
        <v>0</v>
      </c>
      <c r="F42" s="49">
        <v>-0.15887699999999999</v>
      </c>
      <c r="G42" s="49">
        <v>0</v>
      </c>
      <c r="H42" s="49">
        <v>0.25453900000000002</v>
      </c>
    </row>
    <row r="43" spans="1:8">
      <c r="A43" t="s">
        <v>1148</v>
      </c>
      <c r="B43" s="49">
        <v>5.9543699999999998E-2</v>
      </c>
      <c r="C43" s="49">
        <v>5.8874299999999997E-2</v>
      </c>
      <c r="D43" s="49">
        <v>0.988757</v>
      </c>
      <c r="E43" s="49">
        <v>0</v>
      </c>
      <c r="F43" s="49">
        <v>-0.26767299999999999</v>
      </c>
      <c r="G43" s="49">
        <v>0</v>
      </c>
      <c r="H43" s="49">
        <v>0.16894200000000001</v>
      </c>
    </row>
    <row r="44" spans="1:8">
      <c r="A44" t="s">
        <v>1149</v>
      </c>
      <c r="B44" s="49">
        <v>11.9053</v>
      </c>
      <c r="C44" s="49">
        <v>74.049000000000007</v>
      </c>
      <c r="D44" s="49">
        <v>6.2198399999999996</v>
      </c>
      <c r="E44" s="49">
        <v>0</v>
      </c>
      <c r="F44" s="49">
        <v>-218.10599999999999</v>
      </c>
      <c r="G44" s="49">
        <v>0</v>
      </c>
      <c r="H44" s="49">
        <v>81.5655</v>
      </c>
    </row>
    <row r="45" spans="1:8">
      <c r="A45" t="s">
        <v>1150</v>
      </c>
      <c r="B45" s="49">
        <v>38.824300000000001</v>
      </c>
      <c r="C45" s="49">
        <v>10.6938</v>
      </c>
      <c r="D45" s="49">
        <v>0.27544099999999999</v>
      </c>
      <c r="E45" s="49">
        <v>0</v>
      </c>
      <c r="F45" s="49">
        <v>24.002099999999999</v>
      </c>
      <c r="G45" s="49">
        <v>0</v>
      </c>
      <c r="H45" s="49">
        <v>83.014399999999995</v>
      </c>
    </row>
    <row r="46" spans="1:8">
      <c r="A46" t="s">
        <v>1151</v>
      </c>
      <c r="B46" s="49">
        <v>37.219799999999999</v>
      </c>
      <c r="C46" s="49">
        <v>7.0077199999999999</v>
      </c>
      <c r="D46" s="49">
        <v>0.18828</v>
      </c>
      <c r="E46" s="49">
        <v>0</v>
      </c>
      <c r="F46" s="49">
        <v>18.196000000000002</v>
      </c>
      <c r="G46" s="49">
        <v>0</v>
      </c>
      <c r="H46" s="49">
        <v>58.700200000000002</v>
      </c>
    </row>
    <row r="47" spans="1:8">
      <c r="A47" t="s">
        <v>1152</v>
      </c>
      <c r="B47" s="49">
        <v>5.0684399999999998</v>
      </c>
      <c r="C47" s="49">
        <v>3.3814500000000001</v>
      </c>
      <c r="D47" s="49">
        <v>0.66715899999999995</v>
      </c>
      <c r="E47" s="49">
        <v>0</v>
      </c>
      <c r="F47" s="49">
        <v>2.1827299999999998</v>
      </c>
      <c r="G47" s="49">
        <v>0</v>
      </c>
      <c r="H47" s="49">
        <v>20.5717</v>
      </c>
    </row>
    <row r="48" spans="1:8">
      <c r="A48" t="s">
        <v>1153</v>
      </c>
      <c r="B48" s="49">
        <v>1.8352299999999999</v>
      </c>
      <c r="C48" s="49">
        <v>0.28316599999999997</v>
      </c>
      <c r="D48" s="49">
        <v>0.15429399999999999</v>
      </c>
      <c r="E48" s="49">
        <v>0</v>
      </c>
      <c r="F48" s="49">
        <v>0.45315</v>
      </c>
      <c r="G48" s="49">
        <v>0</v>
      </c>
      <c r="H48" s="49">
        <v>2.31568</v>
      </c>
    </row>
    <row r="50" spans="1:4">
      <c r="A50" t="str">
        <f>lang!B7</f>
        <v>긍정감정</v>
      </c>
      <c r="B50" s="134">
        <f>SUM(B9:B12)</f>
        <v>257.40030000000002</v>
      </c>
      <c r="C50" s="134"/>
      <c r="D50" s="134">
        <f t="shared" ref="D50" si="0">SUM(D9:D12)</f>
        <v>78.207400000000007</v>
      </c>
    </row>
    <row r="51" spans="1:4">
      <c r="A51" t="str">
        <f>lang!B8</f>
        <v>부정감정</v>
      </c>
      <c r="B51" s="134">
        <f>SUM(B5:B8)</f>
        <v>116.15619999999998</v>
      </c>
      <c r="C51" s="134"/>
      <c r="D51" s="134">
        <f t="shared" ref="D51" si="1">SUM(D5:D8)</f>
        <v>285.37049999999999</v>
      </c>
    </row>
    <row r="52" spans="1:4">
      <c r="A52" t="str">
        <f>lang!B9</f>
        <v>생리감정</v>
      </c>
      <c r="B52" s="134">
        <f>SUM(B13:B14)</f>
        <v>77.525999999999996</v>
      </c>
      <c r="C52" s="134"/>
      <c r="D52" s="134">
        <f t="shared" ref="D52" si="2">SUM(D13:D14)</f>
        <v>50.866699999999994</v>
      </c>
    </row>
    <row r="53" spans="1:4">
      <c r="B53" s="50">
        <f>SUM(B50:B52)</f>
        <v>451.08250000000004</v>
      </c>
      <c r="D53" s="50">
        <f>SUM(D50:D52)</f>
        <v>414.44459999999998</v>
      </c>
    </row>
    <row r="54" spans="1:4">
      <c r="A54" t="str">
        <f>lang!B7</f>
        <v>긍정감정</v>
      </c>
      <c r="B54" s="135">
        <f>IF(B$53&lt;&gt;0,B50/B$53,0)</f>
        <v>0.57062798933676206</v>
      </c>
      <c r="C54" s="135"/>
      <c r="D54" s="135">
        <f>IF(D$53&lt;&gt;0,D50/D$53,0)</f>
        <v>0.18870411147834962</v>
      </c>
    </row>
    <row r="55" spans="1:4">
      <c r="A55" t="str">
        <f>lang!B8</f>
        <v>부정감정</v>
      </c>
      <c r="B55" s="135">
        <f>IF(B$53&lt;&gt;0,B51/B$53,0)</f>
        <v>0.25750544523451913</v>
      </c>
      <c r="C55" s="135"/>
      <c r="D55" s="135">
        <f>IF(D$53&lt;&gt;0,D51/D$53,0)</f>
        <v>0.68856126970890685</v>
      </c>
    </row>
    <row r="56" spans="1:4">
      <c r="A56" t="str">
        <f>lang!B9</f>
        <v>생리감정</v>
      </c>
      <c r="B56" s="135">
        <f>IF(B$53&lt;&gt;0,B52/B$53,0)</f>
        <v>0.17186656542871867</v>
      </c>
      <c r="C56" s="135"/>
      <c r="D56" s="135">
        <f>IF(D$53&lt;&gt;0,D52/D$53,0)</f>
        <v>0.1227346188127436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25.7576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7.23618E-3</v>
      </c>
      <c r="B8" s="49">
        <v>7.23618E-3</v>
      </c>
    </row>
    <row r="9" spans="1:3">
      <c r="A9" s="49">
        <v>0</v>
      </c>
      <c r="B9" s="49">
        <v>0</v>
      </c>
    </row>
    <row r="10" spans="1:3">
      <c r="A10" s="49">
        <v>1.2060299999999999E-2</v>
      </c>
      <c r="B10" s="49">
        <v>1.2060299999999999E-2</v>
      </c>
    </row>
    <row r="11" spans="1:3">
      <c r="A11" s="49">
        <v>0</v>
      </c>
      <c r="B11" s="49">
        <v>0</v>
      </c>
    </row>
    <row r="12" spans="1:3">
      <c r="A12" s="49">
        <v>0</v>
      </c>
      <c r="B12" s="49">
        <v>0</v>
      </c>
    </row>
    <row r="13" spans="1:3">
      <c r="A13" s="49">
        <v>6.3316600000000002E-3</v>
      </c>
      <c r="B13" s="49">
        <v>6.3316600000000002E-3</v>
      </c>
    </row>
    <row r="14" spans="1:3">
      <c r="A14" s="49">
        <v>0</v>
      </c>
      <c r="B14" s="49">
        <v>0</v>
      </c>
    </row>
    <row r="15" spans="1:3">
      <c r="A15" s="49">
        <v>7.6180899999999996E-2</v>
      </c>
      <c r="B15" s="49">
        <v>7.6180899999999996E-2</v>
      </c>
    </row>
    <row r="16" spans="1:3">
      <c r="A16" s="49">
        <v>0</v>
      </c>
      <c r="B16" s="49">
        <v>0</v>
      </c>
    </row>
    <row r="17" spans="1:2">
      <c r="A17" s="49">
        <v>0</v>
      </c>
      <c r="B17" s="49">
        <v>0</v>
      </c>
    </row>
    <row r="18" spans="1:2">
      <c r="A18" s="49">
        <v>5.2663300000000003E-2</v>
      </c>
      <c r="B18" s="49">
        <v>5.2663300000000003E-2</v>
      </c>
    </row>
    <row r="19" spans="1:2">
      <c r="A19" s="49">
        <v>0</v>
      </c>
      <c r="B19" s="49">
        <v>0</v>
      </c>
    </row>
    <row r="20" spans="1:2">
      <c r="A20" s="49">
        <v>0</v>
      </c>
      <c r="B20" s="49">
        <v>0</v>
      </c>
    </row>
    <row r="21" spans="1:2">
      <c r="A21" s="49">
        <v>2.4422099999999999E-2</v>
      </c>
      <c r="B21" s="49">
        <v>2.4422099999999999E-2</v>
      </c>
    </row>
    <row r="22" spans="1:2">
      <c r="A22" s="49">
        <v>0</v>
      </c>
      <c r="B22" s="49">
        <v>0</v>
      </c>
    </row>
    <row r="23" spans="1:2">
      <c r="A23" s="49">
        <v>7.3869299999999999E-2</v>
      </c>
      <c r="B23" s="49">
        <v>7.3869299999999999E-2</v>
      </c>
    </row>
    <row r="24" spans="1:2">
      <c r="A24" s="49">
        <v>0</v>
      </c>
      <c r="B24" s="49">
        <v>0</v>
      </c>
    </row>
    <row r="25" spans="1:2">
      <c r="A25" s="49">
        <v>0</v>
      </c>
      <c r="B25" s="49">
        <v>0</v>
      </c>
    </row>
    <row r="26" spans="1:2">
      <c r="A26" s="49">
        <v>0.103518</v>
      </c>
      <c r="B26" s="49">
        <v>0.103518</v>
      </c>
    </row>
    <row r="27" spans="1:2">
      <c r="A27" s="49">
        <v>0</v>
      </c>
      <c r="B27" s="49">
        <v>0</v>
      </c>
    </row>
    <row r="28" spans="1:2">
      <c r="A28" s="49">
        <v>0.18954799999999999</v>
      </c>
      <c r="B28" s="49">
        <v>0.18954799999999999</v>
      </c>
    </row>
    <row r="29" spans="1:2">
      <c r="A29" s="49">
        <v>0</v>
      </c>
      <c r="B29" s="49">
        <v>0</v>
      </c>
    </row>
    <row r="30" spans="1:2">
      <c r="A30" s="49">
        <v>0</v>
      </c>
      <c r="B30" s="49">
        <v>0</v>
      </c>
    </row>
    <row r="31" spans="1:2">
      <c r="A31" s="49">
        <v>0.39537699999999998</v>
      </c>
      <c r="B31" s="49">
        <v>0.39537699999999998</v>
      </c>
    </row>
    <row r="32" spans="1:2">
      <c r="A32" s="49">
        <v>0</v>
      </c>
      <c r="B32" s="49">
        <v>0</v>
      </c>
    </row>
    <row r="33" spans="1:2">
      <c r="A33" s="49">
        <v>0.42984899999999998</v>
      </c>
      <c r="B33" s="49">
        <v>0.42984899999999998</v>
      </c>
    </row>
    <row r="34" spans="1:2">
      <c r="A34" s="49">
        <v>0</v>
      </c>
      <c r="B34" s="49">
        <v>0</v>
      </c>
    </row>
    <row r="35" spans="1:2">
      <c r="A35" s="49">
        <v>0</v>
      </c>
      <c r="B35" s="49">
        <v>0</v>
      </c>
    </row>
    <row r="36" spans="1:2">
      <c r="A36" s="49">
        <v>0.69085399999999997</v>
      </c>
      <c r="B36" s="49">
        <v>0.69085399999999997</v>
      </c>
    </row>
    <row r="37" spans="1:2">
      <c r="A37" s="49">
        <v>0</v>
      </c>
      <c r="B37" s="49">
        <v>0</v>
      </c>
    </row>
    <row r="38" spans="1:2">
      <c r="A38" s="49">
        <v>0</v>
      </c>
      <c r="B38" s="49">
        <v>0</v>
      </c>
    </row>
    <row r="39" spans="1:2">
      <c r="A39" s="49">
        <v>0.88834199999999996</v>
      </c>
      <c r="B39" s="49">
        <v>0.88834199999999996</v>
      </c>
    </row>
    <row r="40" spans="1:2">
      <c r="A40" s="49">
        <v>0</v>
      </c>
      <c r="B40" s="49">
        <v>0</v>
      </c>
    </row>
    <row r="41" spans="1:2">
      <c r="A41" s="49">
        <v>1.2524599999999999</v>
      </c>
      <c r="B41" s="49">
        <v>1.2524599999999999</v>
      </c>
    </row>
    <row r="42" spans="1:2">
      <c r="A42" s="49">
        <v>0</v>
      </c>
      <c r="B42" s="49">
        <v>0</v>
      </c>
    </row>
    <row r="43" spans="1:2">
      <c r="A43" s="49">
        <v>0</v>
      </c>
      <c r="B43" s="49">
        <v>0</v>
      </c>
    </row>
    <row r="44" spans="1:2">
      <c r="A44" s="49">
        <v>1.7987899999999999</v>
      </c>
      <c r="B44" s="49">
        <v>1.7987899999999999</v>
      </c>
    </row>
    <row r="45" spans="1:2">
      <c r="A45" s="49">
        <v>0</v>
      </c>
      <c r="B45" s="49">
        <v>0</v>
      </c>
    </row>
    <row r="46" spans="1:2">
      <c r="A46" s="49">
        <v>1.6197999999999999</v>
      </c>
      <c r="B46" s="49">
        <v>1.6197999999999999</v>
      </c>
    </row>
    <row r="47" spans="1:2">
      <c r="A47" s="49">
        <v>0</v>
      </c>
      <c r="B47" s="49">
        <v>0</v>
      </c>
    </row>
    <row r="48" spans="1:2">
      <c r="A48" s="49">
        <v>0</v>
      </c>
      <c r="B48" s="49">
        <v>0</v>
      </c>
    </row>
    <row r="49" spans="1:2">
      <c r="A49" s="49">
        <v>2.1455299999999999</v>
      </c>
      <c r="B49" s="49">
        <v>2.1455299999999999</v>
      </c>
    </row>
    <row r="50" spans="1:2">
      <c r="A50" s="49">
        <v>0</v>
      </c>
      <c r="B50" s="49">
        <v>0</v>
      </c>
    </row>
    <row r="51" spans="1:2">
      <c r="A51" s="49">
        <v>2.3277399999999999</v>
      </c>
      <c r="B51" s="49">
        <v>2.3277399999999999</v>
      </c>
    </row>
    <row r="52" spans="1:2">
      <c r="A52" s="49">
        <v>0</v>
      </c>
      <c r="B52" s="49">
        <v>0</v>
      </c>
    </row>
    <row r="53" spans="1:2">
      <c r="A53" s="49">
        <v>0</v>
      </c>
      <c r="B53" s="49">
        <v>0</v>
      </c>
    </row>
    <row r="54" spans="1:2">
      <c r="A54" s="49">
        <v>2.1902499999999998</v>
      </c>
      <c r="B54" s="49">
        <v>2.1902499999999998</v>
      </c>
    </row>
    <row r="55" spans="1:2">
      <c r="A55" s="49">
        <v>0</v>
      </c>
      <c r="B55" s="49">
        <v>0</v>
      </c>
    </row>
    <row r="56" spans="1:2">
      <c r="A56" s="49">
        <v>0</v>
      </c>
      <c r="B56" s="49">
        <v>0</v>
      </c>
    </row>
    <row r="57" spans="1:2">
      <c r="A57" s="49">
        <v>2.3373900000000001</v>
      </c>
      <c r="B57" s="49">
        <v>2.3373900000000001</v>
      </c>
    </row>
    <row r="58" spans="1:2">
      <c r="A58" s="49">
        <v>0</v>
      </c>
      <c r="B58" s="49">
        <v>0</v>
      </c>
    </row>
    <row r="59" spans="1:2">
      <c r="A59" s="49">
        <v>2.0642200000000002</v>
      </c>
      <c r="B59" s="49">
        <v>2.0642200000000002</v>
      </c>
    </row>
    <row r="60" spans="1:2">
      <c r="A60" s="49">
        <v>0</v>
      </c>
      <c r="B60" s="49">
        <v>0</v>
      </c>
    </row>
    <row r="61" spans="1:2">
      <c r="A61" s="49">
        <v>0</v>
      </c>
      <c r="B61" s="49">
        <v>0</v>
      </c>
    </row>
    <row r="62" spans="1:2">
      <c r="A62" s="49">
        <v>2.1123599999999998</v>
      </c>
      <c r="B62" s="49">
        <v>2.1123599999999998</v>
      </c>
    </row>
    <row r="63" spans="1:2">
      <c r="A63" s="49">
        <v>0</v>
      </c>
      <c r="B63" s="49">
        <v>0</v>
      </c>
    </row>
    <row r="64" spans="1:2">
      <c r="A64" s="49">
        <v>2.20844</v>
      </c>
      <c r="B64" s="49">
        <v>2.20844</v>
      </c>
    </row>
    <row r="65" spans="1:2">
      <c r="A65" s="49">
        <v>0</v>
      </c>
      <c r="B65" s="49">
        <v>0</v>
      </c>
    </row>
    <row r="66" spans="1:2">
      <c r="A66" s="49">
        <v>0</v>
      </c>
      <c r="B66" s="49">
        <v>0</v>
      </c>
    </row>
    <row r="67" spans="1:2">
      <c r="A67" s="49">
        <v>2.1452300000000002</v>
      </c>
      <c r="B67" s="49">
        <v>2.1452300000000002</v>
      </c>
    </row>
    <row r="68" spans="1:2">
      <c r="A68" s="49">
        <v>0</v>
      </c>
      <c r="B68" s="49">
        <v>0</v>
      </c>
    </row>
    <row r="69" spans="1:2">
      <c r="A69" s="49">
        <v>2.0388899999999999</v>
      </c>
      <c r="B69" s="49">
        <v>2.0388899999999999</v>
      </c>
    </row>
    <row r="70" spans="1:2">
      <c r="A70" s="49">
        <v>0</v>
      </c>
      <c r="B70" s="49">
        <v>0</v>
      </c>
    </row>
    <row r="71" spans="1:2">
      <c r="A71" s="49">
        <v>0</v>
      </c>
      <c r="B71" s="49">
        <v>0</v>
      </c>
    </row>
    <row r="72" spans="1:2">
      <c r="A72" s="49">
        <v>1.8243199999999999</v>
      </c>
      <c r="B72" s="49">
        <v>1.8243199999999999</v>
      </c>
    </row>
    <row r="73" spans="1:2">
      <c r="A73" s="49">
        <v>0</v>
      </c>
      <c r="B73" s="49">
        <v>0</v>
      </c>
    </row>
    <row r="74" spans="1:2">
      <c r="A74" s="49">
        <v>0</v>
      </c>
      <c r="B74" s="49">
        <v>0</v>
      </c>
    </row>
    <row r="75" spans="1:2">
      <c r="A75" s="49">
        <v>1.82935</v>
      </c>
      <c r="B75" s="49">
        <v>1.82935</v>
      </c>
    </row>
    <row r="76" spans="1:2">
      <c r="A76" s="49">
        <v>0</v>
      </c>
      <c r="B76" s="49">
        <v>0</v>
      </c>
    </row>
    <row r="77" spans="1:2">
      <c r="A77" s="49">
        <v>1.7782899999999999</v>
      </c>
      <c r="B77" s="49">
        <v>1.7782899999999999</v>
      </c>
    </row>
    <row r="78" spans="1:2">
      <c r="A78" s="49">
        <v>0</v>
      </c>
      <c r="B78" s="49">
        <v>0</v>
      </c>
    </row>
    <row r="79" spans="1:2">
      <c r="A79" s="49">
        <v>0</v>
      </c>
      <c r="B79" s="49">
        <v>0</v>
      </c>
    </row>
    <row r="80" spans="1:2">
      <c r="A80" s="49">
        <v>1.83568</v>
      </c>
      <c r="B80" s="49">
        <v>1.83568</v>
      </c>
    </row>
    <row r="81" spans="1:2">
      <c r="A81" s="49">
        <v>0</v>
      </c>
      <c r="B81" s="49">
        <v>0</v>
      </c>
    </row>
    <row r="82" spans="1:2">
      <c r="A82" s="49">
        <v>1.73045</v>
      </c>
      <c r="B82" s="49">
        <v>1.73045</v>
      </c>
    </row>
    <row r="83" spans="1:2">
      <c r="A83" s="49">
        <v>0</v>
      </c>
      <c r="B83" s="49">
        <v>0</v>
      </c>
    </row>
    <row r="84" spans="1:2">
      <c r="A84" s="49">
        <v>0</v>
      </c>
      <c r="B84" s="49">
        <v>0</v>
      </c>
    </row>
    <row r="85" spans="1:2">
      <c r="A85" s="49">
        <v>1.4241200000000001</v>
      </c>
      <c r="B85" s="49">
        <v>1.4241200000000001</v>
      </c>
    </row>
    <row r="86" spans="1:2">
      <c r="A86" s="49">
        <v>0</v>
      </c>
      <c r="B86" s="49">
        <v>0</v>
      </c>
    </row>
    <row r="87" spans="1:2">
      <c r="A87" s="49">
        <v>0</v>
      </c>
      <c r="B87" s="49">
        <v>0</v>
      </c>
    </row>
    <row r="88" spans="1:2">
      <c r="A88" s="49">
        <v>1.37236</v>
      </c>
      <c r="B88" s="49">
        <v>1.37236</v>
      </c>
    </row>
    <row r="89" spans="1:2">
      <c r="A89" s="49">
        <v>0</v>
      </c>
      <c r="B89" s="49">
        <v>0</v>
      </c>
    </row>
    <row r="90" spans="1:2">
      <c r="A90" s="49">
        <v>1.86181</v>
      </c>
      <c r="B90" s="49">
        <v>1.86181</v>
      </c>
    </row>
    <row r="91" spans="1:2">
      <c r="A91" s="49">
        <v>0</v>
      </c>
      <c r="B91" s="49">
        <v>0</v>
      </c>
    </row>
    <row r="92" spans="1:2">
      <c r="A92" s="49">
        <v>0</v>
      </c>
      <c r="B92" s="49">
        <v>0</v>
      </c>
    </row>
    <row r="93" spans="1:2">
      <c r="A93" s="49">
        <v>1.9226099999999999</v>
      </c>
      <c r="B93" s="49">
        <v>1.9226099999999999</v>
      </c>
    </row>
    <row r="94" spans="1:2">
      <c r="A94" s="49">
        <v>0</v>
      </c>
      <c r="B94" s="49">
        <v>0</v>
      </c>
    </row>
    <row r="95" spans="1:2">
      <c r="A95" s="49">
        <v>2.0011100000000002</v>
      </c>
      <c r="B95" s="49">
        <v>2.0011100000000002</v>
      </c>
    </row>
    <row r="96" spans="1:2">
      <c r="A96" s="49">
        <v>0</v>
      </c>
      <c r="B96" s="49">
        <v>0</v>
      </c>
    </row>
    <row r="97" spans="1:2">
      <c r="A97" s="49">
        <v>0</v>
      </c>
      <c r="B97" s="49">
        <v>0</v>
      </c>
    </row>
    <row r="98" spans="1:2">
      <c r="A98" s="49">
        <v>2.2323599999999999</v>
      </c>
      <c r="B98" s="49">
        <v>2.2323599999999999</v>
      </c>
    </row>
    <row r="99" spans="1:2">
      <c r="A99" s="49">
        <v>0</v>
      </c>
      <c r="B99" s="49">
        <v>0</v>
      </c>
    </row>
    <row r="100" spans="1:2">
      <c r="A100" s="49">
        <v>2.3577900000000001</v>
      </c>
      <c r="B100" s="49">
        <v>2.3577900000000001</v>
      </c>
    </row>
    <row r="101" spans="1:2">
      <c r="A101" s="49">
        <v>0</v>
      </c>
      <c r="B101" s="49">
        <v>0</v>
      </c>
    </row>
    <row r="102" spans="1:2">
      <c r="A102" s="49">
        <v>0</v>
      </c>
      <c r="B102" s="49">
        <v>0</v>
      </c>
    </row>
    <row r="103" spans="1:2">
      <c r="A103" s="49">
        <v>3.2208999999999999</v>
      </c>
      <c r="B103" s="49">
        <v>3.2208999999999999</v>
      </c>
    </row>
    <row r="104" spans="1:2">
      <c r="A104" s="49">
        <v>0</v>
      </c>
      <c r="B104" s="49">
        <v>0</v>
      </c>
    </row>
    <row r="105" spans="1:2">
      <c r="A105" s="49">
        <v>0</v>
      </c>
      <c r="B105" s="49">
        <v>0</v>
      </c>
    </row>
    <row r="106" spans="1:2">
      <c r="A106" s="49">
        <v>3.3530700000000002</v>
      </c>
      <c r="B106" s="49">
        <v>3.3530700000000002</v>
      </c>
    </row>
    <row r="107" spans="1:2">
      <c r="A107" s="49">
        <v>0</v>
      </c>
      <c r="B107" s="49">
        <v>0</v>
      </c>
    </row>
    <row r="108" spans="1:2">
      <c r="A108" s="49">
        <v>3.95106</v>
      </c>
      <c r="B108" s="49">
        <v>3.95106</v>
      </c>
    </row>
    <row r="109" spans="1:2">
      <c r="A109" s="49">
        <v>0</v>
      </c>
      <c r="B109" s="49">
        <v>0</v>
      </c>
    </row>
    <row r="110" spans="1:2">
      <c r="A110" s="49">
        <v>0</v>
      </c>
      <c r="B110" s="49">
        <v>0</v>
      </c>
    </row>
    <row r="111" spans="1:2">
      <c r="A111" s="49">
        <v>4.0797999999999996</v>
      </c>
      <c r="B111" s="49">
        <v>4.0797999999999996</v>
      </c>
    </row>
    <row r="112" spans="1:2">
      <c r="A112" s="49">
        <v>0</v>
      </c>
      <c r="B112" s="49">
        <v>0</v>
      </c>
    </row>
    <row r="113" spans="1:2">
      <c r="A113" s="49">
        <v>5.1367799999999999</v>
      </c>
      <c r="B113" s="49">
        <v>5.1367799999999999</v>
      </c>
    </row>
    <row r="114" spans="1:2">
      <c r="A114" s="49">
        <v>0</v>
      </c>
      <c r="B114" s="49">
        <v>0</v>
      </c>
    </row>
    <row r="115" spans="1:2">
      <c r="A115" s="49">
        <v>0</v>
      </c>
      <c r="B115" s="49">
        <v>0</v>
      </c>
    </row>
    <row r="116" spans="1:2">
      <c r="A116" s="49">
        <v>6.5100499999999997</v>
      </c>
      <c r="B116" s="49">
        <v>6.5100499999999997</v>
      </c>
    </row>
    <row r="117" spans="1:2">
      <c r="A117" s="49">
        <v>0</v>
      </c>
      <c r="B117" s="49">
        <v>0</v>
      </c>
    </row>
    <row r="118" spans="1:2">
      <c r="A118" s="49">
        <v>8.2784899999999997</v>
      </c>
      <c r="B118" s="49">
        <v>8.2784899999999997</v>
      </c>
    </row>
    <row r="119" spans="1:2">
      <c r="A119" s="49">
        <v>0</v>
      </c>
      <c r="B119" s="49">
        <v>0</v>
      </c>
    </row>
    <row r="120" spans="1:2">
      <c r="A120" s="49">
        <v>0</v>
      </c>
      <c r="B120" s="49">
        <v>0</v>
      </c>
    </row>
    <row r="121" spans="1:2">
      <c r="A121" s="49">
        <v>9.9974900000000009</v>
      </c>
      <c r="B121" s="49">
        <v>9.9974900000000009</v>
      </c>
    </row>
    <row r="122" spans="1:2">
      <c r="A122" s="49">
        <v>0</v>
      </c>
      <c r="B122" s="49">
        <v>0</v>
      </c>
    </row>
    <row r="123" spans="1:2">
      <c r="A123" s="49">
        <v>0</v>
      </c>
      <c r="B123" s="49">
        <v>0</v>
      </c>
    </row>
    <row r="124" spans="1:2">
      <c r="A124" s="49">
        <v>10.9765</v>
      </c>
      <c r="B124" s="49">
        <v>10.9765</v>
      </c>
    </row>
    <row r="125" spans="1:2">
      <c r="A125" s="49">
        <v>0</v>
      </c>
      <c r="B125" s="49">
        <v>0</v>
      </c>
    </row>
    <row r="126" spans="1:2">
      <c r="A126" s="49">
        <v>11.709300000000001</v>
      </c>
      <c r="B126" s="49">
        <v>11.709300000000001</v>
      </c>
    </row>
    <row r="127" spans="1:2">
      <c r="A127" s="49">
        <v>0</v>
      </c>
      <c r="B127" s="49">
        <v>0</v>
      </c>
    </row>
    <row r="128" spans="1:2">
      <c r="A128" s="49">
        <v>0</v>
      </c>
      <c r="B128" s="49">
        <v>0</v>
      </c>
    </row>
    <row r="129" spans="1:2">
      <c r="A129" s="49">
        <v>12.720800000000001</v>
      </c>
      <c r="B129" s="49">
        <v>12.720800000000001</v>
      </c>
    </row>
    <row r="130" spans="1:2">
      <c r="A130" s="49">
        <v>0</v>
      </c>
      <c r="B130" s="49">
        <v>0</v>
      </c>
    </row>
    <row r="131" spans="1:2">
      <c r="A131" s="49">
        <v>13.5124</v>
      </c>
      <c r="B131" s="49">
        <v>13.5124</v>
      </c>
    </row>
    <row r="132" spans="1:2">
      <c r="A132" s="49">
        <v>0</v>
      </c>
      <c r="B132" s="49">
        <v>0</v>
      </c>
    </row>
    <row r="133" spans="1:2">
      <c r="A133" s="49">
        <v>0</v>
      </c>
      <c r="B133" s="49">
        <v>0</v>
      </c>
    </row>
    <row r="134" spans="1:2">
      <c r="A134" s="49">
        <v>14.077999999999999</v>
      </c>
      <c r="B134" s="49">
        <v>14.077999999999999</v>
      </c>
    </row>
    <row r="135" spans="1:2">
      <c r="A135" s="49">
        <v>0</v>
      </c>
      <c r="B135" s="49">
        <v>0</v>
      </c>
    </row>
    <row r="136" spans="1:2">
      <c r="A136" s="49">
        <v>15.9702</v>
      </c>
      <c r="B136" s="49">
        <v>15.9702</v>
      </c>
    </row>
    <row r="137" spans="1:2">
      <c r="A137" s="49">
        <v>0</v>
      </c>
      <c r="B137" s="49">
        <v>0</v>
      </c>
    </row>
    <row r="138" spans="1:2">
      <c r="A138" s="49">
        <v>0</v>
      </c>
      <c r="B138" s="49">
        <v>0</v>
      </c>
    </row>
    <row r="139" spans="1:2">
      <c r="A139" s="49">
        <v>17.150200000000002</v>
      </c>
      <c r="B139" s="49">
        <v>17.150200000000002</v>
      </c>
    </row>
    <row r="140" spans="1:2">
      <c r="A140" s="49">
        <v>0</v>
      </c>
      <c r="B140" s="49">
        <v>0</v>
      </c>
    </row>
    <row r="141" spans="1:2">
      <c r="A141" s="49">
        <v>0</v>
      </c>
      <c r="B141" s="49">
        <v>0</v>
      </c>
    </row>
    <row r="142" spans="1:2">
      <c r="A142" s="49">
        <v>19.364000000000001</v>
      </c>
      <c r="B142" s="49">
        <v>19.364000000000001</v>
      </c>
    </row>
    <row r="143" spans="1:2">
      <c r="A143" s="49">
        <v>0</v>
      </c>
      <c r="B143" s="49">
        <v>0</v>
      </c>
    </row>
    <row r="144" spans="1:2">
      <c r="A144" s="49">
        <v>22.213799999999999</v>
      </c>
      <c r="B144" s="49">
        <v>22.213799999999999</v>
      </c>
    </row>
    <row r="145" spans="1:2">
      <c r="A145" s="49">
        <v>0</v>
      </c>
      <c r="B145" s="49">
        <v>0</v>
      </c>
    </row>
    <row r="146" spans="1:2">
      <c r="A146" s="49">
        <v>0</v>
      </c>
      <c r="B146" s="49">
        <v>0</v>
      </c>
    </row>
    <row r="147" spans="1:2">
      <c r="A147" s="49">
        <v>22.993400000000001</v>
      </c>
      <c r="B147" s="49">
        <v>22.993400000000001</v>
      </c>
    </row>
    <row r="148" spans="1:2">
      <c r="A148" s="49">
        <v>0</v>
      </c>
      <c r="B148" s="49">
        <v>0</v>
      </c>
    </row>
    <row r="149" spans="1:2">
      <c r="A149" s="49">
        <v>23.005500000000001</v>
      </c>
      <c r="B149" s="49">
        <v>23.005500000000001</v>
      </c>
    </row>
    <row r="150" spans="1:2">
      <c r="A150" s="49">
        <v>0</v>
      </c>
      <c r="B150" s="49">
        <v>0</v>
      </c>
    </row>
    <row r="151" spans="1:2">
      <c r="A151" s="49">
        <v>0</v>
      </c>
      <c r="B151" s="49">
        <v>0</v>
      </c>
    </row>
    <row r="152" spans="1:2">
      <c r="A152" s="49">
        <v>22.664100000000001</v>
      </c>
      <c r="B152" s="49">
        <v>22.664100000000001</v>
      </c>
    </row>
    <row r="153" spans="1:2">
      <c r="A153" s="49">
        <v>0</v>
      </c>
      <c r="B153" s="49">
        <v>0</v>
      </c>
    </row>
    <row r="154" spans="1:2">
      <c r="A154" s="49">
        <v>21.738299999999999</v>
      </c>
      <c r="B154" s="49">
        <v>21.738299999999999</v>
      </c>
    </row>
    <row r="155" spans="1:2">
      <c r="A155" s="49">
        <v>0</v>
      </c>
      <c r="B155" s="49">
        <v>0</v>
      </c>
    </row>
    <row r="156" spans="1:2">
      <c r="A156" s="49">
        <v>0</v>
      </c>
      <c r="B156" s="49">
        <v>0</v>
      </c>
    </row>
    <row r="157" spans="1:2">
      <c r="A157" s="49">
        <v>21.725000000000001</v>
      </c>
      <c r="B157" s="49">
        <v>21.725000000000001</v>
      </c>
    </row>
    <row r="158" spans="1:2">
      <c r="A158" s="49">
        <v>0</v>
      </c>
      <c r="B158" s="49">
        <v>0</v>
      </c>
    </row>
    <row r="159" spans="1:2">
      <c r="A159" s="49">
        <v>0</v>
      </c>
      <c r="B159" s="49">
        <v>0</v>
      </c>
    </row>
    <row r="160" spans="1:2">
      <c r="A160" s="49">
        <v>22.0746</v>
      </c>
      <c r="B160" s="49">
        <v>22.0746</v>
      </c>
    </row>
    <row r="161" spans="1:2">
      <c r="A161" s="49">
        <v>0</v>
      </c>
      <c r="B161" s="49">
        <v>0</v>
      </c>
    </row>
    <row r="162" spans="1:2">
      <c r="A162" s="49">
        <v>22.535499999999999</v>
      </c>
      <c r="B162" s="49">
        <v>22.535499999999999</v>
      </c>
    </row>
    <row r="163" spans="1:2">
      <c r="A163" s="49">
        <v>0</v>
      </c>
      <c r="B163" s="49">
        <v>0</v>
      </c>
    </row>
    <row r="164" spans="1:2">
      <c r="A164" s="49">
        <v>0</v>
      </c>
      <c r="B164" s="49">
        <v>0</v>
      </c>
    </row>
    <row r="165" spans="1:2">
      <c r="A165" s="49">
        <v>25.194199999999999</v>
      </c>
      <c r="B165" s="49">
        <v>25.194199999999999</v>
      </c>
    </row>
    <row r="166" spans="1:2">
      <c r="A166" s="49">
        <v>0</v>
      </c>
      <c r="B166" s="49">
        <v>0</v>
      </c>
    </row>
    <row r="167" spans="1:2">
      <c r="A167" s="49">
        <v>25.7576</v>
      </c>
      <c r="B167" s="49">
        <v>25.7576</v>
      </c>
    </row>
    <row r="168" spans="1:2">
      <c r="A168" s="49">
        <v>0</v>
      </c>
      <c r="B168" s="49">
        <v>0</v>
      </c>
    </row>
    <row r="169" spans="1:2">
      <c r="A169" s="49">
        <v>0</v>
      </c>
      <c r="B169" s="49">
        <v>0</v>
      </c>
    </row>
    <row r="170" spans="1:2">
      <c r="A170" s="49">
        <v>25.038399999999999</v>
      </c>
      <c r="B170" s="49">
        <v>25.038399999999999</v>
      </c>
    </row>
    <row r="171" spans="1:2">
      <c r="A171" s="49">
        <v>0</v>
      </c>
      <c r="B171" s="49">
        <v>0</v>
      </c>
    </row>
    <row r="172" spans="1:2">
      <c r="A172" s="49">
        <v>0</v>
      </c>
      <c r="B172" s="49">
        <v>0</v>
      </c>
    </row>
    <row r="173" spans="1:2">
      <c r="A173" s="49">
        <v>24.787299999999998</v>
      </c>
      <c r="B173" s="49">
        <v>24.787299999999998</v>
      </c>
    </row>
    <row r="174" spans="1:2">
      <c r="A174" s="49">
        <v>0</v>
      </c>
      <c r="B174" s="49">
        <v>0</v>
      </c>
    </row>
    <row r="175" spans="1:2">
      <c r="A175" s="49">
        <v>22.744499999999999</v>
      </c>
      <c r="B175" s="49">
        <v>22.744499999999999</v>
      </c>
    </row>
    <row r="176" spans="1:2">
      <c r="A176" s="49">
        <v>0</v>
      </c>
      <c r="B176" s="49">
        <v>0</v>
      </c>
    </row>
    <row r="177" spans="1:2">
      <c r="A177" s="49">
        <v>0</v>
      </c>
      <c r="B177" s="49">
        <v>0</v>
      </c>
    </row>
    <row r="178" spans="1:2">
      <c r="A178" s="49">
        <v>22.358699999999999</v>
      </c>
      <c r="B178" s="49">
        <v>22.358699999999999</v>
      </c>
    </row>
    <row r="179" spans="1:2">
      <c r="A179" s="49">
        <v>0</v>
      </c>
      <c r="B179" s="49">
        <v>0</v>
      </c>
    </row>
    <row r="180" spans="1:2">
      <c r="A180" s="49">
        <v>19.773099999999999</v>
      </c>
      <c r="B180" s="49">
        <v>19.773099999999999</v>
      </c>
    </row>
    <row r="181" spans="1:2">
      <c r="A181" s="49">
        <v>0</v>
      </c>
      <c r="B181" s="49">
        <v>0</v>
      </c>
    </row>
    <row r="182" spans="1:2">
      <c r="A182" s="49">
        <v>0</v>
      </c>
      <c r="B182" s="49">
        <v>0</v>
      </c>
    </row>
    <row r="183" spans="1:2">
      <c r="A183" s="49">
        <v>17.798500000000001</v>
      </c>
      <c r="B183" s="49">
        <v>17.798500000000001</v>
      </c>
    </row>
    <row r="184" spans="1:2">
      <c r="A184" s="49">
        <v>0</v>
      </c>
      <c r="B184" s="49">
        <v>0</v>
      </c>
    </row>
    <row r="185" spans="1:2">
      <c r="A185" s="49">
        <v>15.9331</v>
      </c>
      <c r="B185" s="49">
        <v>15.9331</v>
      </c>
    </row>
    <row r="186" spans="1:2">
      <c r="A186" s="49">
        <v>0</v>
      </c>
      <c r="B186" s="49">
        <v>0</v>
      </c>
    </row>
    <row r="187" spans="1:2">
      <c r="A187" s="49">
        <v>0</v>
      </c>
      <c r="B187" s="49">
        <v>0</v>
      </c>
    </row>
    <row r="188" spans="1:2">
      <c r="A188" s="49">
        <v>15.7583</v>
      </c>
      <c r="B188" s="49">
        <v>15.7583</v>
      </c>
    </row>
    <row r="189" spans="1:2">
      <c r="A189" s="49">
        <v>0</v>
      </c>
      <c r="B189" s="49">
        <v>0</v>
      </c>
    </row>
    <row r="190" spans="1:2">
      <c r="A190" s="49">
        <v>0</v>
      </c>
      <c r="B190" s="49">
        <v>0</v>
      </c>
    </row>
    <row r="191" spans="1:2">
      <c r="A191" s="49">
        <v>13.9139</v>
      </c>
      <c r="B191" s="49">
        <v>13.9139</v>
      </c>
    </row>
    <row r="192" spans="1:2">
      <c r="A192" s="49">
        <v>0</v>
      </c>
      <c r="B192" s="49">
        <v>0</v>
      </c>
    </row>
    <row r="193" spans="1:2">
      <c r="A193" s="49">
        <v>13.929500000000001</v>
      </c>
      <c r="B193" s="49">
        <v>13.929500000000001</v>
      </c>
    </row>
    <row r="194" spans="1:2">
      <c r="A194" s="49">
        <v>0</v>
      </c>
      <c r="B194" s="49">
        <v>0</v>
      </c>
    </row>
    <row r="195" spans="1:2">
      <c r="A195" s="49">
        <v>0</v>
      </c>
      <c r="B195" s="49">
        <v>0</v>
      </c>
    </row>
    <row r="196" spans="1:2">
      <c r="A196" s="49">
        <v>10.3887</v>
      </c>
      <c r="B196" s="49">
        <v>10.3887</v>
      </c>
    </row>
    <row r="197" spans="1:2">
      <c r="A197" s="49">
        <v>0</v>
      </c>
      <c r="B197" s="49">
        <v>0</v>
      </c>
    </row>
    <row r="198" spans="1:2">
      <c r="A198" s="49">
        <v>9.6664300000000001</v>
      </c>
      <c r="B198" s="49">
        <v>9.6664300000000001</v>
      </c>
    </row>
    <row r="199" spans="1:2">
      <c r="A199" s="49">
        <v>0</v>
      </c>
      <c r="B199" s="49">
        <v>0</v>
      </c>
    </row>
    <row r="200" spans="1:2">
      <c r="A200" s="49">
        <v>0</v>
      </c>
      <c r="B200" s="49">
        <v>0</v>
      </c>
    </row>
    <row r="201" spans="1:2">
      <c r="A201" s="49">
        <v>6.9928600000000003</v>
      </c>
      <c r="B201" s="49">
        <v>6.9928600000000003</v>
      </c>
    </row>
    <row r="202" spans="1:2">
      <c r="A202" s="49">
        <v>0</v>
      </c>
      <c r="B202" s="49">
        <v>0</v>
      </c>
    </row>
    <row r="203" spans="1:2">
      <c r="A203" s="49">
        <v>4.8737700000000004</v>
      </c>
      <c r="B203" s="49">
        <v>4.8737700000000004</v>
      </c>
    </row>
    <row r="204" spans="1:2">
      <c r="A204" s="49">
        <v>0</v>
      </c>
      <c r="B204" s="49">
        <v>0</v>
      </c>
    </row>
    <row r="205" spans="1:2">
      <c r="A205" s="49">
        <v>0</v>
      </c>
      <c r="B205" s="49">
        <v>0</v>
      </c>
    </row>
    <row r="206" spans="1:2">
      <c r="A206" s="49">
        <v>3.42482</v>
      </c>
      <c r="B206" s="49">
        <v>3.42482</v>
      </c>
    </row>
    <row r="207" spans="1:2">
      <c r="A207" s="49">
        <v>0</v>
      </c>
      <c r="B207" s="49">
        <v>0</v>
      </c>
    </row>
    <row r="208" spans="1:2">
      <c r="A208" s="49">
        <v>0</v>
      </c>
      <c r="B208" s="49">
        <v>0</v>
      </c>
    </row>
    <row r="209" spans="1:2">
      <c r="A209" s="49">
        <v>2.2635200000000002</v>
      </c>
      <c r="B209" s="49">
        <v>2.2635200000000002</v>
      </c>
    </row>
    <row r="210" spans="1:2">
      <c r="A210" s="49">
        <v>0</v>
      </c>
      <c r="B210" s="49">
        <v>0</v>
      </c>
    </row>
    <row r="211" spans="1:2">
      <c r="A211" s="49">
        <v>1.45035</v>
      </c>
      <c r="B211" s="49">
        <v>1.45035</v>
      </c>
    </row>
    <row r="212" spans="1:2">
      <c r="A212" s="49">
        <v>0</v>
      </c>
      <c r="B212" s="49">
        <v>0</v>
      </c>
    </row>
    <row r="213" spans="1:2">
      <c r="A213" s="49">
        <v>0</v>
      </c>
      <c r="B213" s="49">
        <v>0</v>
      </c>
    </row>
    <row r="214" spans="1:2">
      <c r="A214" s="49">
        <v>0.54371899999999995</v>
      </c>
      <c r="B214" s="49">
        <v>0.54371899999999995</v>
      </c>
    </row>
    <row r="215" spans="1:2">
      <c r="A215" s="49">
        <v>0</v>
      </c>
      <c r="B215" s="49">
        <v>0</v>
      </c>
    </row>
    <row r="216" spans="1:2">
      <c r="A216" s="49">
        <v>0.119698</v>
      </c>
      <c r="B216" s="49">
        <v>0.119698</v>
      </c>
    </row>
    <row r="217" spans="1:2">
      <c r="A217" s="49">
        <v>0</v>
      </c>
      <c r="B217" s="49">
        <v>0</v>
      </c>
    </row>
    <row r="218" spans="1:2">
      <c r="A218" s="49">
        <v>0</v>
      </c>
      <c r="B218" s="49">
        <v>0</v>
      </c>
    </row>
    <row r="219" spans="1:2">
      <c r="A219" s="49">
        <v>1.0854300000000001E-2</v>
      </c>
      <c r="B219" s="49">
        <v>1.0854300000000001E-2</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0.46520600000000001</v>
      </c>
      <c r="B2" s="49">
        <v>0.28202100000000002</v>
      </c>
      <c r="C2">
        <v>0</v>
      </c>
      <c r="D2">
        <v>0</v>
      </c>
      <c r="E2" t="s">
        <v>1161</v>
      </c>
      <c r="F2" s="49">
        <f>IF(A2&lt;&gt;"",1,"")</f>
        <v>1</v>
      </c>
      <c r="G2">
        <f>IF($H8&gt;0,LOOKUP(COUNT(A2:A1000)*$H8,F2:F1000,A2:A1000),LOOKUP(1,F2:F1000,A2:A1000))</f>
        <v>0.52300800000000003</v>
      </c>
      <c r="H2">
        <f>IF($H8&gt;0,LOOKUP(COUNT(B2:B1000)*$H8,F2:F1000,B2:B1000),LOOKUP(1,F2:F1000,B2:B1000))</f>
        <v>0.16251299999999999</v>
      </c>
      <c r="J2" s="49">
        <f>IF(A2&lt;&gt;"",A2*10,"")</f>
        <v>4.6520600000000005</v>
      </c>
      <c r="K2" s="49">
        <f>IF(B2&lt;&gt;"",B2*100,"")</f>
        <v>28.202100000000002</v>
      </c>
      <c r="L2" s="49">
        <f>IF(F2&lt;&gt;"",IF(K2&lt;&gt;0,K2/J2,0),"")</f>
        <v>6.0622820857856512</v>
      </c>
    </row>
    <row r="3" spans="1:12">
      <c r="A3" s="49">
        <v>0.47180800000000001</v>
      </c>
      <c r="B3" s="49">
        <v>0.25851299999999999</v>
      </c>
      <c r="C3">
        <v>0.37674200000000002</v>
      </c>
      <c r="D3">
        <v>0</v>
      </c>
      <c r="E3" t="s">
        <v>2560</v>
      </c>
      <c r="F3" s="49">
        <f>IF(A3&lt;&gt;"",F2+1,"")</f>
        <v>2</v>
      </c>
      <c r="G3">
        <f>IF($H9&gt;0,LOOKUP(COUNT(A2:A1000)*$H9,F2:F1000,A2:A1000),LOOKUP(1,F2:F1000,A2:A1000))</f>
        <v>0.64413399999999998</v>
      </c>
      <c r="H3">
        <f>IF($H9&gt;0,LOOKUP(COUNT(B2:B1000)*$H9,F2:F1000,B2:B1000),LOOKUP(1,F2:F1000,B2:B1000))</f>
        <v>0.47167300000000001</v>
      </c>
      <c r="J3" s="49">
        <f t="shared" ref="J3:J66" si="0">IF(A3&lt;&gt;"",A3*10,"")</f>
        <v>4.7180800000000005</v>
      </c>
      <c r="K3" s="49">
        <f t="shared" ref="K3:K66" si="1">IF(B3&lt;&gt;"",B3*100,"")</f>
        <v>25.851299999999998</v>
      </c>
      <c r="L3" s="49">
        <f t="shared" ref="L3:L66" si="2">IF(F3&lt;&gt;"",IF(K3&lt;&gt;0,K3/J3,0),"")</f>
        <v>5.4791991657623429</v>
      </c>
    </row>
    <row r="4" spans="1:12">
      <c r="A4" s="49">
        <v>0.478773</v>
      </c>
      <c r="B4" s="49">
        <v>0.238426</v>
      </c>
      <c r="C4">
        <v>0.76875199999999999</v>
      </c>
      <c r="D4">
        <v>0</v>
      </c>
      <c r="E4" t="s">
        <v>2561</v>
      </c>
      <c r="F4" s="49">
        <f t="shared" ref="F4:F67" si="3">IF(A4&lt;&gt;"",F3+1,"")</f>
        <v>3</v>
      </c>
      <c r="G4" s="71" t="s">
        <v>209</v>
      </c>
      <c r="H4" s="23">
        <f>IF(ISERROR(G3-G2)=FALSE,(G3-G2)*10,0)</f>
        <v>1.2112599999999996</v>
      </c>
      <c r="J4" s="49">
        <f t="shared" si="0"/>
        <v>4.7877299999999998</v>
      </c>
      <c r="K4" s="49">
        <f t="shared" si="1"/>
        <v>23.842600000000001</v>
      </c>
      <c r="L4" s="49">
        <f t="shared" si="2"/>
        <v>4.979938300614279</v>
      </c>
    </row>
    <row r="5" spans="1:12">
      <c r="A5" s="49">
        <v>0.485599</v>
      </c>
      <c r="B5" s="49">
        <v>0.219997</v>
      </c>
      <c r="C5">
        <v>1.1787300000000001</v>
      </c>
      <c r="D5">
        <v>0</v>
      </c>
      <c r="E5" t="s">
        <v>2562</v>
      </c>
      <c r="F5" s="49">
        <f t="shared" si="3"/>
        <v>4</v>
      </c>
      <c r="G5" s="71" t="s">
        <v>210</v>
      </c>
      <c r="H5" s="23">
        <f>IF(ISERROR(H3-H2)=FALSE,H3-H2,0)</f>
        <v>0.30915999999999999</v>
      </c>
      <c r="J5" s="49">
        <f t="shared" si="0"/>
        <v>4.8559900000000003</v>
      </c>
      <c r="K5" s="49">
        <f t="shared" si="1"/>
        <v>21.999700000000001</v>
      </c>
      <c r="L5" s="49">
        <f t="shared" si="2"/>
        <v>4.5304253097720544</v>
      </c>
    </row>
    <row r="6" spans="1:12">
      <c r="A6" s="49">
        <v>0.49170199999999997</v>
      </c>
      <c r="B6" s="49">
        <v>0.202573</v>
      </c>
      <c r="C6">
        <v>1.57995</v>
      </c>
      <c r="D6">
        <v>0</v>
      </c>
      <c r="E6" t="s">
        <v>2563</v>
      </c>
      <c r="F6" s="49">
        <f t="shared" si="3"/>
        <v>5</v>
      </c>
      <c r="G6" s="71" t="s">
        <v>211</v>
      </c>
      <c r="H6" s="23">
        <f>IF(H4&lt;&gt;0,H5/H4,0)</f>
        <v>0.25523834684543378</v>
      </c>
      <c r="J6" s="49">
        <f t="shared" si="0"/>
        <v>4.9170199999999999</v>
      </c>
      <c r="K6" s="49">
        <f t="shared" si="1"/>
        <v>20.257300000000001</v>
      </c>
      <c r="L6" s="49">
        <f t="shared" si="2"/>
        <v>4.1198327442231273</v>
      </c>
    </row>
    <row r="7" spans="1:12">
      <c r="A7" s="49">
        <v>0.49768499999999999</v>
      </c>
      <c r="B7" s="49">
        <v>0.18723799999999999</v>
      </c>
      <c r="C7">
        <v>1.98387</v>
      </c>
      <c r="D7">
        <v>0</v>
      </c>
      <c r="E7" t="s">
        <v>2564</v>
      </c>
      <c r="F7" s="49">
        <f t="shared" si="3"/>
        <v>6</v>
      </c>
      <c r="G7" s="71" t="s">
        <v>212</v>
      </c>
      <c r="H7" s="23">
        <f>DEGREES(ATAN(H6))</f>
        <v>14.318373600843085</v>
      </c>
      <c r="J7" s="49">
        <f t="shared" si="0"/>
        <v>4.9768499999999998</v>
      </c>
      <c r="K7" s="49">
        <f t="shared" si="1"/>
        <v>18.723799999999997</v>
      </c>
      <c r="L7" s="49">
        <f t="shared" si="2"/>
        <v>3.7621788882526093</v>
      </c>
    </row>
    <row r="8" spans="1:12">
      <c r="A8" s="49">
        <v>0.50401700000000005</v>
      </c>
      <c r="B8" s="49">
        <v>0.17499000000000001</v>
      </c>
      <c r="C8">
        <v>2.3910200000000001</v>
      </c>
      <c r="D8">
        <v>0</v>
      </c>
      <c r="E8" t="s">
        <v>2565</v>
      </c>
      <c r="F8" s="49">
        <f t="shared" si="3"/>
        <v>7</v>
      </c>
      <c r="G8" s="71" t="s">
        <v>213</v>
      </c>
      <c r="H8" s="72">
        <v>0.1</v>
      </c>
      <c r="J8" s="49">
        <f t="shared" si="0"/>
        <v>5.0401700000000007</v>
      </c>
      <c r="K8" s="49">
        <f t="shared" si="1"/>
        <v>17.499000000000002</v>
      </c>
      <c r="L8" s="49">
        <f t="shared" si="2"/>
        <v>3.4719067015596696</v>
      </c>
    </row>
    <row r="9" spans="1:12">
      <c r="A9" s="49">
        <v>0.51073000000000002</v>
      </c>
      <c r="B9" s="49">
        <v>0.166822</v>
      </c>
      <c r="C9">
        <v>2.7965900000000001</v>
      </c>
      <c r="D9">
        <v>0</v>
      </c>
      <c r="E9" t="s">
        <v>2566</v>
      </c>
      <c r="F9" s="49">
        <f t="shared" si="3"/>
        <v>8</v>
      </c>
      <c r="G9" s="71" t="s">
        <v>214</v>
      </c>
      <c r="H9" s="72">
        <v>0.9</v>
      </c>
      <c r="J9" s="49">
        <f t="shared" si="0"/>
        <v>5.1073000000000004</v>
      </c>
      <c r="K9" s="49">
        <f t="shared" si="1"/>
        <v>16.682199999999998</v>
      </c>
      <c r="L9" s="49">
        <f t="shared" si="2"/>
        <v>3.2663442523446826</v>
      </c>
    </row>
    <row r="10" spans="1:12">
      <c r="A10" s="49">
        <v>0.51713299999999995</v>
      </c>
      <c r="B10" s="49">
        <v>0.162688</v>
      </c>
      <c r="C10">
        <v>3.2152500000000002</v>
      </c>
      <c r="D10">
        <v>0</v>
      </c>
      <c r="E10" t="s">
        <v>2567</v>
      </c>
      <c r="F10" s="49">
        <f t="shared" si="3"/>
        <v>9</v>
      </c>
      <c r="G10" t="s">
        <v>215</v>
      </c>
      <c r="J10" s="49">
        <f t="shared" si="0"/>
        <v>5.1713299999999993</v>
      </c>
      <c r="K10" s="49">
        <f t="shared" si="1"/>
        <v>16.268799999999999</v>
      </c>
      <c r="L10" s="49">
        <f t="shared" si="2"/>
        <v>3.1459605169269804</v>
      </c>
    </row>
    <row r="11" spans="1:12">
      <c r="A11" s="49">
        <v>0.52300800000000003</v>
      </c>
      <c r="B11" s="49">
        <v>0.16251299999999999</v>
      </c>
      <c r="C11">
        <v>3.6116199999999998</v>
      </c>
      <c r="D11">
        <v>0</v>
      </c>
      <c r="E11" t="s">
        <v>2568</v>
      </c>
      <c r="F11" s="49">
        <f t="shared" si="3"/>
        <v>10</v>
      </c>
      <c r="G11" s="71" t="s">
        <v>216</v>
      </c>
      <c r="H11" s="73">
        <f>MIN(B2:B1000)</f>
        <v>0.16251299999999999</v>
      </c>
      <c r="J11" s="49">
        <f t="shared" si="0"/>
        <v>5.2300800000000001</v>
      </c>
      <c r="K11" s="49">
        <f t="shared" si="1"/>
        <v>16.251300000000001</v>
      </c>
      <c r="L11" s="49">
        <f t="shared" si="2"/>
        <v>3.1072756057268722</v>
      </c>
    </row>
    <row r="12" spans="1:12">
      <c r="A12" s="49">
        <v>0.52872799999999998</v>
      </c>
      <c r="B12" s="49">
        <v>0.16433</v>
      </c>
      <c r="C12">
        <v>4.0176299999999996</v>
      </c>
      <c r="D12">
        <v>0</v>
      </c>
      <c r="E12" t="s">
        <v>2569</v>
      </c>
      <c r="F12" s="49">
        <f t="shared" si="3"/>
        <v>11</v>
      </c>
      <c r="G12" s="71" t="s">
        <v>218</v>
      </c>
      <c r="H12" s="73">
        <f>MAX(B2:B1000)</f>
        <v>0.48729899999999998</v>
      </c>
      <c r="J12" s="49">
        <f t="shared" si="0"/>
        <v>5.28728</v>
      </c>
      <c r="K12" s="49">
        <f t="shared" si="1"/>
        <v>16.433</v>
      </c>
      <c r="L12" s="49">
        <f t="shared" si="2"/>
        <v>3.1080252984521342</v>
      </c>
    </row>
    <row r="13" spans="1:12">
      <c r="A13" s="49">
        <v>0.53428900000000001</v>
      </c>
      <c r="B13" s="49">
        <v>0.168547</v>
      </c>
      <c r="C13">
        <v>4.42814</v>
      </c>
      <c r="D13">
        <v>0</v>
      </c>
      <c r="E13" t="s">
        <v>2570</v>
      </c>
      <c r="F13" s="49">
        <f t="shared" si="3"/>
        <v>12</v>
      </c>
      <c r="G13" s="71" t="s">
        <v>220</v>
      </c>
      <c r="H13">
        <f>MATCH($H$11,B2:B1000,0)</f>
        <v>10</v>
      </c>
      <c r="J13" s="49">
        <f t="shared" si="0"/>
        <v>5.3428900000000006</v>
      </c>
      <c r="K13" s="49">
        <f t="shared" si="1"/>
        <v>16.854700000000001</v>
      </c>
      <c r="L13" s="49">
        <f t="shared" si="2"/>
        <v>3.1546035946837758</v>
      </c>
    </row>
    <row r="14" spans="1:12">
      <c r="A14" s="49">
        <v>0.53961700000000001</v>
      </c>
      <c r="B14" s="49">
        <v>0.17508799999999999</v>
      </c>
      <c r="C14">
        <v>4.8320100000000004</v>
      </c>
      <c r="D14">
        <v>0</v>
      </c>
      <c r="E14" t="s">
        <v>2571</v>
      </c>
      <c r="F14" s="49">
        <f t="shared" si="3"/>
        <v>13</v>
      </c>
      <c r="G14" s="71" t="s">
        <v>221</v>
      </c>
      <c r="H14">
        <f>MATCH($H$12,B2:B1000,0)</f>
        <v>99</v>
      </c>
      <c r="J14" s="49">
        <f t="shared" si="0"/>
        <v>5.3961699999999997</v>
      </c>
      <c r="K14" s="49">
        <f t="shared" si="1"/>
        <v>17.508800000000001</v>
      </c>
      <c r="L14" s="49">
        <f t="shared" si="2"/>
        <v>3.244671683805366</v>
      </c>
    </row>
    <row r="15" spans="1:12">
      <c r="A15" s="49">
        <v>0.544435</v>
      </c>
      <c r="B15" s="49">
        <v>0.183948</v>
      </c>
      <c r="C15">
        <v>5.2417800000000003</v>
      </c>
      <c r="D15">
        <v>0</v>
      </c>
      <c r="E15" t="s">
        <v>2572</v>
      </c>
      <c r="F15" s="49">
        <f t="shared" si="3"/>
        <v>14</v>
      </c>
      <c r="G15">
        <f>LOOKUP($H13,F2:F1000,A2:A1000)</f>
        <v>0.52300800000000003</v>
      </c>
      <c r="H15">
        <f>LOOKUP($H13,F2:F1000,B2:B1000)</f>
        <v>0.16251299999999999</v>
      </c>
      <c r="J15" s="49">
        <f t="shared" si="0"/>
        <v>5.44435</v>
      </c>
      <c r="K15" s="49">
        <f t="shared" si="1"/>
        <v>18.3948</v>
      </c>
      <c r="L15" s="49">
        <f t="shared" si="2"/>
        <v>3.3786953447151635</v>
      </c>
    </row>
    <row r="16" spans="1:12">
      <c r="A16" s="49">
        <v>0.54849499999999995</v>
      </c>
      <c r="B16" s="49">
        <v>0.192243</v>
      </c>
      <c r="C16">
        <v>5.6506400000000001</v>
      </c>
      <c r="D16">
        <v>0</v>
      </c>
      <c r="E16" t="s">
        <v>2573</v>
      </c>
      <c r="F16" s="49">
        <f t="shared" si="3"/>
        <v>15</v>
      </c>
      <c r="G16">
        <f>LOOKUP($H14,F2:F1000,A2:A1000)</f>
        <v>0.65923600000000004</v>
      </c>
      <c r="H16">
        <f>LOOKUP($H14,F2:F1000,B2:B1000)</f>
        <v>0.48729899999999998</v>
      </c>
      <c r="J16" s="49">
        <f t="shared" si="0"/>
        <v>5.4849499999999995</v>
      </c>
      <c r="K16" s="49">
        <f t="shared" si="1"/>
        <v>19.224299999999999</v>
      </c>
      <c r="L16" s="49">
        <f t="shared" si="2"/>
        <v>3.5049180028988416</v>
      </c>
    </row>
    <row r="17" spans="1:12">
      <c r="A17" s="49">
        <v>0.55266499999999996</v>
      </c>
      <c r="B17" s="49">
        <v>0.204702</v>
      </c>
      <c r="C17">
        <v>6.05443</v>
      </c>
      <c r="D17">
        <v>0</v>
      </c>
      <c r="E17" t="s">
        <v>2574</v>
      </c>
      <c r="F17" s="49">
        <f t="shared" si="3"/>
        <v>16</v>
      </c>
      <c r="J17" s="49">
        <f t="shared" si="0"/>
        <v>5.5266500000000001</v>
      </c>
      <c r="K17" s="49">
        <f t="shared" si="1"/>
        <v>20.470199999999998</v>
      </c>
      <c r="L17" s="49">
        <f t="shared" si="2"/>
        <v>3.7039074303601636</v>
      </c>
    </row>
    <row r="18" spans="1:12">
      <c r="A18" s="49">
        <v>0.55696000000000001</v>
      </c>
      <c r="B18" s="49">
        <v>0.22118299999999999</v>
      </c>
      <c r="C18">
        <v>6.4661299999999997</v>
      </c>
      <c r="D18">
        <v>0</v>
      </c>
      <c r="E18" t="s">
        <v>2575</v>
      </c>
      <c r="F18" s="49">
        <f t="shared" si="3"/>
        <v>17</v>
      </c>
      <c r="J18" s="49">
        <f t="shared" si="0"/>
        <v>5.5696000000000003</v>
      </c>
      <c r="K18" s="49">
        <f t="shared" si="1"/>
        <v>22.118299999999998</v>
      </c>
      <c r="L18" s="49">
        <f t="shared" si="2"/>
        <v>3.9712546681987928</v>
      </c>
    </row>
    <row r="19" spans="1:12">
      <c r="A19" s="49">
        <v>0.56112499999999998</v>
      </c>
      <c r="B19" s="49">
        <v>0.23935699999999999</v>
      </c>
      <c r="C19">
        <v>6.8780099999999997</v>
      </c>
      <c r="D19">
        <v>0</v>
      </c>
      <c r="E19" t="s">
        <v>2576</v>
      </c>
      <c r="F19" s="49">
        <f t="shared" si="3"/>
        <v>18</v>
      </c>
      <c r="J19" s="49">
        <f t="shared" si="0"/>
        <v>5.6112500000000001</v>
      </c>
      <c r="K19" s="49">
        <f t="shared" si="1"/>
        <v>23.935699999999997</v>
      </c>
      <c r="L19" s="49">
        <f t="shared" si="2"/>
        <v>4.265662731120516</v>
      </c>
    </row>
    <row r="20" spans="1:12">
      <c r="A20" s="49">
        <v>0.56472599999999995</v>
      </c>
      <c r="B20" s="49">
        <v>0.25866600000000001</v>
      </c>
      <c r="C20">
        <v>7.2816099999999997</v>
      </c>
      <c r="D20">
        <v>0</v>
      </c>
      <c r="E20" t="s">
        <v>2577</v>
      </c>
      <c r="F20" s="49">
        <f t="shared" si="3"/>
        <v>19</v>
      </c>
      <c r="J20" s="49">
        <f t="shared" si="0"/>
        <v>5.6472599999999993</v>
      </c>
      <c r="K20" s="49">
        <f t="shared" si="1"/>
        <v>25.866600000000002</v>
      </c>
      <c r="L20" s="49">
        <f t="shared" si="2"/>
        <v>4.5803805739420538</v>
      </c>
    </row>
    <row r="21" spans="1:12">
      <c r="A21" s="49">
        <v>0.567971</v>
      </c>
      <c r="B21" s="49">
        <v>0.278895</v>
      </c>
      <c r="C21">
        <v>7.6726700000000001</v>
      </c>
      <c r="D21">
        <v>0</v>
      </c>
      <c r="E21" t="s">
        <v>2578</v>
      </c>
      <c r="F21" s="49">
        <f t="shared" si="3"/>
        <v>20</v>
      </c>
      <c r="J21" s="49">
        <f t="shared" si="0"/>
        <v>5.67971</v>
      </c>
      <c r="K21" s="49">
        <f t="shared" si="1"/>
        <v>27.889500000000002</v>
      </c>
      <c r="L21" s="49">
        <f t="shared" si="2"/>
        <v>4.9103739451486081</v>
      </c>
    </row>
    <row r="22" spans="1:12">
      <c r="A22" s="49">
        <v>0.570994</v>
      </c>
      <c r="B22" s="49">
        <v>0.30127900000000002</v>
      </c>
      <c r="C22">
        <v>8.0863999999999994</v>
      </c>
      <c r="D22">
        <v>0</v>
      </c>
      <c r="E22" t="s">
        <v>2579</v>
      </c>
      <c r="F22" s="49">
        <f t="shared" si="3"/>
        <v>21</v>
      </c>
      <c r="J22" s="49">
        <f t="shared" si="0"/>
        <v>5.7099399999999996</v>
      </c>
      <c r="K22" s="49">
        <f t="shared" si="1"/>
        <v>30.1279</v>
      </c>
      <c r="L22" s="49">
        <f t="shared" si="2"/>
        <v>5.2763951985484967</v>
      </c>
    </row>
    <row r="23" spans="1:12">
      <c r="A23" s="49">
        <v>0.57338100000000003</v>
      </c>
      <c r="B23" s="49">
        <v>0.32251600000000002</v>
      </c>
      <c r="C23">
        <v>8.4972300000000001</v>
      </c>
      <c r="D23">
        <v>0</v>
      </c>
      <c r="E23" t="s">
        <v>2580</v>
      </c>
      <c r="F23" s="49">
        <f t="shared" si="3"/>
        <v>22</v>
      </c>
      <c r="J23" s="49">
        <f t="shared" si="0"/>
        <v>5.7338100000000001</v>
      </c>
      <c r="K23" s="49">
        <f t="shared" si="1"/>
        <v>32.251600000000003</v>
      </c>
      <c r="L23" s="49">
        <f t="shared" si="2"/>
        <v>5.6248114255617123</v>
      </c>
    </row>
    <row r="24" spans="1:12">
      <c r="A24" s="49">
        <v>0.57584199999999996</v>
      </c>
      <c r="B24" s="49">
        <v>0.34922900000000001</v>
      </c>
      <c r="C24">
        <v>8.8917999999999999</v>
      </c>
      <c r="D24">
        <v>0</v>
      </c>
      <c r="E24" t="s">
        <v>2581</v>
      </c>
      <c r="F24" s="49">
        <f t="shared" si="3"/>
        <v>23</v>
      </c>
      <c r="G24" t="s">
        <v>245</v>
      </c>
      <c r="H24">
        <f>COUNT(A2:A2000)</f>
        <v>100</v>
      </c>
      <c r="J24" s="49">
        <f t="shared" si="0"/>
        <v>5.7584199999999992</v>
      </c>
      <c r="K24" s="49">
        <f t="shared" si="1"/>
        <v>34.922899999999998</v>
      </c>
      <c r="L24" s="49">
        <f t="shared" si="2"/>
        <v>6.0646670440850103</v>
      </c>
    </row>
    <row r="25" spans="1:12">
      <c r="A25" s="49">
        <v>0.57909299999999997</v>
      </c>
      <c r="B25" s="49">
        <v>0.382909</v>
      </c>
      <c r="C25">
        <v>9.2930399999999995</v>
      </c>
      <c r="D25">
        <v>0</v>
      </c>
      <c r="E25" t="s">
        <v>2582</v>
      </c>
      <c r="F25" s="49">
        <f t="shared" si="3"/>
        <v>24</v>
      </c>
      <c r="J25" s="49">
        <f t="shared" si="0"/>
        <v>5.7909299999999995</v>
      </c>
      <c r="K25" s="49">
        <f t="shared" si="1"/>
        <v>38.290900000000001</v>
      </c>
      <c r="L25" s="49">
        <f t="shared" si="2"/>
        <v>6.6122194535247365</v>
      </c>
    </row>
    <row r="26" spans="1:12">
      <c r="A26" s="49">
        <v>0.577322</v>
      </c>
      <c r="B26" s="49">
        <v>0.387577</v>
      </c>
      <c r="C26">
        <v>9.7098700000000004</v>
      </c>
      <c r="D26">
        <v>0</v>
      </c>
      <c r="E26" t="s">
        <v>2583</v>
      </c>
      <c r="F26" s="49">
        <f t="shared" si="3"/>
        <v>25</v>
      </c>
      <c r="J26" s="49">
        <f t="shared" si="0"/>
        <v>5.7732200000000002</v>
      </c>
      <c r="K26" s="49">
        <f t="shared" si="1"/>
        <v>38.7577</v>
      </c>
      <c r="L26" s="49">
        <f t="shared" si="2"/>
        <v>6.7133592691773396</v>
      </c>
    </row>
    <row r="27" spans="1:12">
      <c r="A27" s="49">
        <v>0.57520800000000005</v>
      </c>
      <c r="B27" s="49">
        <v>0.39130500000000001</v>
      </c>
      <c r="C27">
        <v>10.1126</v>
      </c>
      <c r="D27">
        <v>0</v>
      </c>
      <c r="E27" t="s">
        <v>2584</v>
      </c>
      <c r="F27" s="49">
        <f t="shared" si="3"/>
        <v>26</v>
      </c>
      <c r="J27" s="49">
        <f t="shared" si="0"/>
        <v>5.7520800000000003</v>
      </c>
      <c r="K27" s="49">
        <f t="shared" si="1"/>
        <v>39.130499999999998</v>
      </c>
      <c r="L27" s="49">
        <f t="shared" si="2"/>
        <v>6.802843493136395</v>
      </c>
    </row>
    <row r="28" spans="1:12">
      <c r="A28" s="49">
        <v>0.57325899999999996</v>
      </c>
      <c r="B28" s="49">
        <v>0.39393499999999998</v>
      </c>
      <c r="C28">
        <v>10.518599999999999</v>
      </c>
      <c r="D28">
        <v>0</v>
      </c>
      <c r="E28" t="s">
        <v>2585</v>
      </c>
      <c r="F28" s="49">
        <f t="shared" si="3"/>
        <v>27</v>
      </c>
      <c r="J28" s="49">
        <f t="shared" si="0"/>
        <v>5.7325900000000001</v>
      </c>
      <c r="K28" s="49">
        <f t="shared" si="1"/>
        <v>39.393499999999996</v>
      </c>
      <c r="L28" s="49">
        <f t="shared" si="2"/>
        <v>6.8718502457004593</v>
      </c>
    </row>
    <row r="29" spans="1:12">
      <c r="A29" s="49">
        <v>0.57115400000000005</v>
      </c>
      <c r="B29" s="49">
        <v>0.39535799999999999</v>
      </c>
      <c r="C29">
        <v>10.9191</v>
      </c>
      <c r="D29">
        <v>0</v>
      </c>
      <c r="E29" t="s">
        <v>2586</v>
      </c>
      <c r="F29" s="49">
        <f t="shared" si="3"/>
        <v>28</v>
      </c>
      <c r="J29" s="49">
        <f t="shared" si="0"/>
        <v>5.7115400000000003</v>
      </c>
      <c r="K29" s="49">
        <f t="shared" si="1"/>
        <v>39.535800000000002</v>
      </c>
      <c r="L29" s="49">
        <f t="shared" si="2"/>
        <v>6.9220910647566152</v>
      </c>
    </row>
    <row r="30" spans="1:12">
      <c r="A30" s="49">
        <v>0.56930800000000004</v>
      </c>
      <c r="B30" s="49">
        <v>0.398532</v>
      </c>
      <c r="C30">
        <v>11.322699999999999</v>
      </c>
      <c r="D30">
        <v>0</v>
      </c>
      <c r="E30" t="s">
        <v>2587</v>
      </c>
      <c r="F30" s="49">
        <f t="shared" si="3"/>
        <v>29</v>
      </c>
      <c r="J30" s="49">
        <f t="shared" si="0"/>
        <v>5.6930800000000001</v>
      </c>
      <c r="K30" s="49">
        <f t="shared" si="1"/>
        <v>39.853200000000001</v>
      </c>
      <c r="L30" s="49">
        <f t="shared" si="2"/>
        <v>7.0002880690241485</v>
      </c>
    </row>
    <row r="31" spans="1:12">
      <c r="A31" s="49">
        <v>0.56795399999999996</v>
      </c>
      <c r="B31" s="49">
        <v>0.40195199999999998</v>
      </c>
      <c r="C31">
        <v>11.744999999999999</v>
      </c>
      <c r="D31">
        <v>0</v>
      </c>
      <c r="E31" t="s">
        <v>2588</v>
      </c>
      <c r="F31" s="49">
        <f t="shared" si="3"/>
        <v>30</v>
      </c>
      <c r="J31" s="49">
        <f t="shared" si="0"/>
        <v>5.6795399999999994</v>
      </c>
      <c r="K31" s="49">
        <f t="shared" si="1"/>
        <v>40.1952</v>
      </c>
      <c r="L31" s="49">
        <f t="shared" si="2"/>
        <v>7.0771928712536587</v>
      </c>
    </row>
    <row r="32" spans="1:12">
      <c r="A32" s="49">
        <v>0.56678200000000001</v>
      </c>
      <c r="B32" s="49">
        <v>0.40391300000000002</v>
      </c>
      <c r="C32">
        <v>12.143700000000001</v>
      </c>
      <c r="D32">
        <v>0</v>
      </c>
      <c r="E32" t="s">
        <v>2589</v>
      </c>
      <c r="F32" s="49">
        <f t="shared" si="3"/>
        <v>31</v>
      </c>
      <c r="J32" s="49">
        <f t="shared" si="0"/>
        <v>5.6678199999999999</v>
      </c>
      <c r="K32" s="49">
        <f t="shared" si="1"/>
        <v>40.391300000000001</v>
      </c>
      <c r="L32" s="49">
        <f t="shared" si="2"/>
        <v>7.1264260332896958</v>
      </c>
    </row>
    <row r="33" spans="1:12">
      <c r="A33" s="49">
        <v>0.56564099999999995</v>
      </c>
      <c r="B33" s="49">
        <v>0.40459499999999998</v>
      </c>
      <c r="C33">
        <v>12.552</v>
      </c>
      <c r="D33">
        <v>0</v>
      </c>
      <c r="E33" t="s">
        <v>2590</v>
      </c>
      <c r="F33" s="49">
        <f t="shared" si="3"/>
        <v>32</v>
      </c>
      <c r="J33" s="49">
        <f t="shared" si="0"/>
        <v>5.6564099999999993</v>
      </c>
      <c r="K33" s="49">
        <f t="shared" si="1"/>
        <v>40.459499999999998</v>
      </c>
      <c r="L33" s="49">
        <f t="shared" si="2"/>
        <v>7.1528584384795311</v>
      </c>
    </row>
    <row r="34" spans="1:12">
      <c r="A34" s="49">
        <v>0.56414299999999995</v>
      </c>
      <c r="B34" s="49">
        <v>0.402943</v>
      </c>
      <c r="C34">
        <v>12.952400000000001</v>
      </c>
      <c r="D34">
        <v>0</v>
      </c>
      <c r="E34" t="s">
        <v>2591</v>
      </c>
      <c r="F34" s="49">
        <f t="shared" si="3"/>
        <v>33</v>
      </c>
      <c r="J34" s="49">
        <f t="shared" si="0"/>
        <v>5.6414299999999997</v>
      </c>
      <c r="K34" s="49">
        <f t="shared" si="1"/>
        <v>40.2943</v>
      </c>
      <c r="L34" s="49">
        <f t="shared" si="2"/>
        <v>7.1425684622515924</v>
      </c>
    </row>
    <row r="35" spans="1:12">
      <c r="A35" s="49">
        <v>0.56341399999999997</v>
      </c>
      <c r="B35" s="49">
        <v>0.40252700000000002</v>
      </c>
      <c r="C35">
        <v>13.365</v>
      </c>
      <c r="D35">
        <v>0</v>
      </c>
      <c r="E35" t="s">
        <v>2592</v>
      </c>
      <c r="F35" s="49">
        <f t="shared" si="3"/>
        <v>34</v>
      </c>
      <c r="J35" s="49">
        <f t="shared" si="0"/>
        <v>5.6341399999999995</v>
      </c>
      <c r="K35" s="49">
        <f t="shared" si="1"/>
        <v>40.252700000000004</v>
      </c>
      <c r="L35" s="49">
        <f t="shared" si="2"/>
        <v>7.1444266560646357</v>
      </c>
    </row>
    <row r="36" spans="1:12">
      <c r="A36" s="49">
        <v>0.56352100000000005</v>
      </c>
      <c r="B36" s="49">
        <v>0.40170699999999998</v>
      </c>
      <c r="C36">
        <v>13.770799999999999</v>
      </c>
      <c r="D36">
        <v>0</v>
      </c>
      <c r="E36" t="s">
        <v>2593</v>
      </c>
      <c r="F36" s="49">
        <f t="shared" si="3"/>
        <v>35</v>
      </c>
      <c r="J36" s="49">
        <f t="shared" si="0"/>
        <v>5.6352100000000007</v>
      </c>
      <c r="K36" s="49">
        <f t="shared" si="1"/>
        <v>40.170699999999997</v>
      </c>
      <c r="L36" s="49">
        <f t="shared" si="2"/>
        <v>7.1285187242356525</v>
      </c>
    </row>
    <row r="37" spans="1:12">
      <c r="A37" s="49">
        <v>0.56391599999999997</v>
      </c>
      <c r="B37" s="49">
        <v>0.40055099999999999</v>
      </c>
      <c r="C37">
        <v>14.168799999999999</v>
      </c>
      <c r="D37">
        <v>0</v>
      </c>
      <c r="E37" t="s">
        <v>2594</v>
      </c>
      <c r="F37" s="49">
        <f t="shared" si="3"/>
        <v>36</v>
      </c>
      <c r="J37" s="49">
        <f t="shared" si="0"/>
        <v>5.6391599999999995</v>
      </c>
      <c r="K37" s="49">
        <f t="shared" si="1"/>
        <v>40.055099999999996</v>
      </c>
      <c r="L37" s="49">
        <f t="shared" si="2"/>
        <v>7.1030259825931523</v>
      </c>
    </row>
    <row r="38" spans="1:12">
      <c r="A38" s="49">
        <v>0.56448699999999996</v>
      </c>
      <c r="B38" s="49">
        <v>0.39842699999999998</v>
      </c>
      <c r="C38">
        <v>14.578900000000001</v>
      </c>
      <c r="D38">
        <v>0</v>
      </c>
      <c r="E38" t="s">
        <v>2595</v>
      </c>
      <c r="F38" s="49">
        <f t="shared" si="3"/>
        <v>37</v>
      </c>
      <c r="J38" s="49">
        <f t="shared" si="0"/>
        <v>5.6448699999999992</v>
      </c>
      <c r="K38" s="49">
        <f t="shared" si="1"/>
        <v>39.842700000000001</v>
      </c>
      <c r="L38" s="49">
        <f t="shared" si="2"/>
        <v>7.058213918123891</v>
      </c>
    </row>
    <row r="39" spans="1:12">
      <c r="A39" s="49">
        <v>0.56510899999999997</v>
      </c>
      <c r="B39" s="49">
        <v>0.39523000000000003</v>
      </c>
      <c r="C39">
        <v>14.987299999999999</v>
      </c>
      <c r="D39">
        <v>0</v>
      </c>
      <c r="E39" t="s">
        <v>2596</v>
      </c>
      <c r="F39" s="49">
        <f t="shared" si="3"/>
        <v>38</v>
      </c>
      <c r="J39" s="49">
        <f t="shared" si="0"/>
        <v>5.6510899999999999</v>
      </c>
      <c r="K39" s="49">
        <f t="shared" si="1"/>
        <v>39.523000000000003</v>
      </c>
      <c r="L39" s="49">
        <f t="shared" si="2"/>
        <v>6.9938719786802199</v>
      </c>
    </row>
    <row r="40" spans="1:12">
      <c r="A40" s="49">
        <v>0.56631900000000002</v>
      </c>
      <c r="B40" s="49">
        <v>0.391569</v>
      </c>
      <c r="C40">
        <v>15.3888</v>
      </c>
      <c r="D40">
        <v>0</v>
      </c>
      <c r="E40" t="s">
        <v>2597</v>
      </c>
      <c r="F40" s="49">
        <f t="shared" si="3"/>
        <v>39</v>
      </c>
      <c r="J40" s="49">
        <f t="shared" si="0"/>
        <v>5.6631900000000002</v>
      </c>
      <c r="K40" s="49">
        <f t="shared" si="1"/>
        <v>39.1569</v>
      </c>
      <c r="L40" s="49">
        <f t="shared" si="2"/>
        <v>6.9142832926318913</v>
      </c>
    </row>
    <row r="41" spans="1:12">
      <c r="A41" s="49">
        <v>0.56810400000000005</v>
      </c>
      <c r="B41" s="49">
        <v>0.38694099999999998</v>
      </c>
      <c r="C41">
        <v>15.803000000000001</v>
      </c>
      <c r="D41">
        <v>0</v>
      </c>
      <c r="E41" t="s">
        <v>2598</v>
      </c>
      <c r="F41" s="49">
        <f t="shared" si="3"/>
        <v>40</v>
      </c>
      <c r="J41" s="49">
        <f t="shared" si="0"/>
        <v>5.6810400000000003</v>
      </c>
      <c r="K41" s="49">
        <f t="shared" si="1"/>
        <v>38.694099999999999</v>
      </c>
      <c r="L41" s="49">
        <f t="shared" si="2"/>
        <v>6.8110944474955284</v>
      </c>
    </row>
    <row r="42" spans="1:12">
      <c r="A42" s="49">
        <v>0.570268</v>
      </c>
      <c r="B42" s="49">
        <v>0.38126599999999999</v>
      </c>
      <c r="C42">
        <v>16.208300000000001</v>
      </c>
      <c r="D42">
        <v>0</v>
      </c>
      <c r="E42" t="s">
        <v>2599</v>
      </c>
      <c r="F42" s="49">
        <f t="shared" si="3"/>
        <v>41</v>
      </c>
      <c r="J42" s="49">
        <f t="shared" si="0"/>
        <v>5.70268</v>
      </c>
      <c r="K42" s="49">
        <f t="shared" si="1"/>
        <v>38.126599999999996</v>
      </c>
      <c r="L42" s="49">
        <f t="shared" si="2"/>
        <v>6.6857337251958722</v>
      </c>
    </row>
    <row r="43" spans="1:12">
      <c r="A43" s="49">
        <v>0.57255800000000001</v>
      </c>
      <c r="B43" s="49">
        <v>0.37542999999999999</v>
      </c>
      <c r="C43">
        <v>16.632400000000001</v>
      </c>
      <c r="D43">
        <v>0</v>
      </c>
      <c r="E43" t="s">
        <v>2600</v>
      </c>
      <c r="F43" s="49">
        <f t="shared" si="3"/>
        <v>42</v>
      </c>
      <c r="J43" s="49">
        <f t="shared" si="0"/>
        <v>5.7255799999999999</v>
      </c>
      <c r="K43" s="49">
        <f t="shared" si="1"/>
        <v>37.542999999999999</v>
      </c>
      <c r="L43" s="49">
        <f t="shared" si="2"/>
        <v>6.557064961104377</v>
      </c>
    </row>
    <row r="44" spans="1:12">
      <c r="A44" s="49">
        <v>0.57462599999999997</v>
      </c>
      <c r="B44" s="49">
        <v>0.369392</v>
      </c>
      <c r="C44">
        <v>17.037299999999998</v>
      </c>
      <c r="D44">
        <v>0</v>
      </c>
      <c r="E44" t="s">
        <v>2601</v>
      </c>
      <c r="F44" s="49">
        <f t="shared" si="3"/>
        <v>43</v>
      </c>
      <c r="J44" s="49">
        <f t="shared" si="0"/>
        <v>5.7462599999999995</v>
      </c>
      <c r="K44" s="49">
        <f t="shared" si="1"/>
        <v>36.9392</v>
      </c>
      <c r="L44" s="49">
        <f t="shared" si="2"/>
        <v>6.4283899440679679</v>
      </c>
    </row>
    <row r="45" spans="1:12">
      <c r="A45" s="49">
        <v>0.57667000000000002</v>
      </c>
      <c r="B45" s="49">
        <v>0.36360500000000001</v>
      </c>
      <c r="C45">
        <v>17.427099999999999</v>
      </c>
      <c r="D45">
        <v>0</v>
      </c>
      <c r="E45" t="s">
        <v>2602</v>
      </c>
      <c r="F45" s="49">
        <f t="shared" si="3"/>
        <v>44</v>
      </c>
      <c r="J45" s="49">
        <f t="shared" si="0"/>
        <v>5.7667000000000002</v>
      </c>
      <c r="K45" s="49">
        <f t="shared" si="1"/>
        <v>36.360500000000002</v>
      </c>
      <c r="L45" s="49">
        <f t="shared" si="2"/>
        <v>6.3052525707943889</v>
      </c>
    </row>
    <row r="46" spans="1:12">
      <c r="A46" s="49">
        <v>0.57872000000000001</v>
      </c>
      <c r="B46" s="49">
        <v>0.35836400000000002</v>
      </c>
      <c r="C46">
        <v>17.828700000000001</v>
      </c>
      <c r="D46">
        <v>0</v>
      </c>
      <c r="E46" t="s">
        <v>2603</v>
      </c>
      <c r="F46" s="49">
        <f t="shared" si="3"/>
        <v>45</v>
      </c>
      <c r="J46" s="49">
        <f t="shared" si="0"/>
        <v>5.7872000000000003</v>
      </c>
      <c r="K46" s="49">
        <f t="shared" si="1"/>
        <v>35.836400000000005</v>
      </c>
      <c r="L46" s="49">
        <f t="shared" si="2"/>
        <v>6.1923555432679018</v>
      </c>
    </row>
    <row r="47" spans="1:12">
      <c r="A47" s="49">
        <v>0.58057199999999998</v>
      </c>
      <c r="B47" s="49">
        <v>0.35435899999999998</v>
      </c>
      <c r="C47">
        <v>18.237400000000001</v>
      </c>
      <c r="D47">
        <v>0</v>
      </c>
      <c r="E47" t="s">
        <v>2604</v>
      </c>
      <c r="F47" s="49">
        <f t="shared" si="3"/>
        <v>46</v>
      </c>
      <c r="J47" s="49">
        <f t="shared" si="0"/>
        <v>5.80572</v>
      </c>
      <c r="K47" s="49">
        <f t="shared" si="1"/>
        <v>35.435899999999997</v>
      </c>
      <c r="L47" s="49">
        <f t="shared" si="2"/>
        <v>6.1036185003754913</v>
      </c>
    </row>
    <row r="48" spans="1:12">
      <c r="A48" s="49">
        <v>0.58268699999999995</v>
      </c>
      <c r="B48" s="49">
        <v>0.35207100000000002</v>
      </c>
      <c r="C48">
        <v>18.6447</v>
      </c>
      <c r="D48">
        <v>0</v>
      </c>
      <c r="E48" t="s">
        <v>2605</v>
      </c>
      <c r="F48" s="49">
        <f t="shared" si="3"/>
        <v>47</v>
      </c>
      <c r="J48" s="49">
        <f t="shared" si="0"/>
        <v>5.8268699999999995</v>
      </c>
      <c r="K48" s="49">
        <f t="shared" si="1"/>
        <v>35.207100000000004</v>
      </c>
      <c r="L48" s="49">
        <f t="shared" si="2"/>
        <v>6.0421976120970617</v>
      </c>
    </row>
    <row r="49" spans="1:12">
      <c r="A49" s="49">
        <v>0.58479300000000001</v>
      </c>
      <c r="B49" s="49">
        <v>0.35086099999999998</v>
      </c>
      <c r="C49">
        <v>19.055299999999999</v>
      </c>
      <c r="D49">
        <v>0</v>
      </c>
      <c r="E49" t="s">
        <v>2606</v>
      </c>
      <c r="F49" s="49">
        <f t="shared" si="3"/>
        <v>48</v>
      </c>
      <c r="J49" s="49">
        <f t="shared" si="0"/>
        <v>5.8479299999999999</v>
      </c>
      <c r="K49" s="49">
        <f t="shared" si="1"/>
        <v>35.086099999999995</v>
      </c>
      <c r="L49" s="49">
        <f t="shared" si="2"/>
        <v>5.9997469189952675</v>
      </c>
    </row>
    <row r="50" spans="1:12">
      <c r="A50" s="49">
        <v>0.58690900000000001</v>
      </c>
      <c r="B50" s="49">
        <v>0.34924300000000003</v>
      </c>
      <c r="C50">
        <v>19.4559</v>
      </c>
      <c r="D50">
        <v>0</v>
      </c>
      <c r="E50" t="s">
        <v>2607</v>
      </c>
      <c r="F50" s="49">
        <f t="shared" si="3"/>
        <v>49</v>
      </c>
      <c r="J50" s="49">
        <f t="shared" si="0"/>
        <v>5.8690899999999999</v>
      </c>
      <c r="K50" s="49">
        <f t="shared" si="1"/>
        <v>34.924300000000002</v>
      </c>
      <c r="L50" s="49">
        <f t="shared" si="2"/>
        <v>5.950547699898963</v>
      </c>
    </row>
    <row r="51" spans="1:12">
      <c r="A51" s="49">
        <v>0.58905300000000005</v>
      </c>
      <c r="B51" s="49">
        <v>0.34785300000000002</v>
      </c>
      <c r="C51">
        <v>19.8597</v>
      </c>
      <c r="D51">
        <v>0</v>
      </c>
      <c r="E51" t="s">
        <v>2608</v>
      </c>
      <c r="F51" s="49">
        <f t="shared" si="3"/>
        <v>50</v>
      </c>
      <c r="J51" s="49">
        <f t="shared" si="0"/>
        <v>5.89053</v>
      </c>
      <c r="K51" s="49">
        <f t="shared" si="1"/>
        <v>34.785299999999999</v>
      </c>
      <c r="L51" s="49">
        <f t="shared" si="2"/>
        <v>5.9052920535164066</v>
      </c>
    </row>
    <row r="52" spans="1:12">
      <c r="A52" s="49">
        <v>0.59115499999999999</v>
      </c>
      <c r="B52" s="49">
        <v>0.34911999999999999</v>
      </c>
      <c r="C52">
        <v>20.264900000000001</v>
      </c>
      <c r="D52">
        <v>0</v>
      </c>
      <c r="E52" t="s">
        <v>2609</v>
      </c>
      <c r="F52" s="49">
        <f t="shared" si="3"/>
        <v>51</v>
      </c>
      <c r="J52" s="49">
        <f t="shared" si="0"/>
        <v>5.9115500000000001</v>
      </c>
      <c r="K52" s="49">
        <f t="shared" si="1"/>
        <v>34.911999999999999</v>
      </c>
      <c r="L52" s="49">
        <f t="shared" si="2"/>
        <v>5.9057269244106871</v>
      </c>
    </row>
    <row r="53" spans="1:12">
      <c r="A53" s="49">
        <v>0.59309199999999995</v>
      </c>
      <c r="B53" s="49">
        <v>0.35114200000000001</v>
      </c>
      <c r="C53">
        <v>20.6754</v>
      </c>
      <c r="D53">
        <v>0</v>
      </c>
      <c r="E53" t="s">
        <v>2610</v>
      </c>
      <c r="F53" s="49">
        <f t="shared" si="3"/>
        <v>52</v>
      </c>
      <c r="J53" s="49">
        <f t="shared" si="0"/>
        <v>5.9309199999999995</v>
      </c>
      <c r="K53" s="49">
        <f t="shared" si="1"/>
        <v>35.114200000000004</v>
      </c>
      <c r="L53" s="49">
        <f t="shared" si="2"/>
        <v>5.9205317218913773</v>
      </c>
    </row>
    <row r="54" spans="1:12">
      <c r="A54" s="49">
        <v>0.59489000000000003</v>
      </c>
      <c r="B54" s="49">
        <v>0.35263899999999998</v>
      </c>
      <c r="C54">
        <v>21.080200000000001</v>
      </c>
      <c r="D54">
        <v>0</v>
      </c>
      <c r="E54" t="s">
        <v>2611</v>
      </c>
      <c r="F54" s="49">
        <f t="shared" si="3"/>
        <v>53</v>
      </c>
      <c r="J54" s="49">
        <f t="shared" si="0"/>
        <v>5.9489000000000001</v>
      </c>
      <c r="K54" s="49">
        <f t="shared" si="1"/>
        <v>35.2639</v>
      </c>
      <c r="L54" s="49">
        <f t="shared" si="2"/>
        <v>5.9278017784800552</v>
      </c>
    </row>
    <row r="55" spans="1:12">
      <c r="A55" s="49">
        <v>0.596414</v>
      </c>
      <c r="B55" s="49">
        <v>0.35435299999999997</v>
      </c>
      <c r="C55">
        <v>21.488499999999998</v>
      </c>
      <c r="D55">
        <v>0</v>
      </c>
      <c r="E55" t="s">
        <v>2612</v>
      </c>
      <c r="F55" s="49">
        <f t="shared" si="3"/>
        <v>54</v>
      </c>
      <c r="J55" s="49">
        <f t="shared" si="0"/>
        <v>5.9641400000000004</v>
      </c>
      <c r="K55" s="49">
        <f t="shared" si="1"/>
        <v>35.435299999999998</v>
      </c>
      <c r="L55" s="49">
        <f t="shared" si="2"/>
        <v>5.9413930591837207</v>
      </c>
    </row>
    <row r="56" spans="1:12">
      <c r="A56" s="49">
        <v>0.597916</v>
      </c>
      <c r="B56" s="49">
        <v>0.35754599999999997</v>
      </c>
      <c r="C56">
        <v>21.900400000000001</v>
      </c>
      <c r="D56">
        <v>0</v>
      </c>
      <c r="E56" t="s">
        <v>2613</v>
      </c>
      <c r="F56" s="49">
        <f t="shared" si="3"/>
        <v>55</v>
      </c>
      <c r="J56" s="49">
        <f t="shared" si="0"/>
        <v>5.9791600000000003</v>
      </c>
      <c r="K56" s="49">
        <f t="shared" si="1"/>
        <v>35.754599999999996</v>
      </c>
      <c r="L56" s="49">
        <f t="shared" si="2"/>
        <v>5.9798700820851085</v>
      </c>
    </row>
    <row r="57" spans="1:12">
      <c r="A57" s="49">
        <v>0.59940099999999996</v>
      </c>
      <c r="B57" s="49">
        <v>0.36277300000000001</v>
      </c>
      <c r="C57">
        <v>22.308199999999999</v>
      </c>
      <c r="D57">
        <v>0</v>
      </c>
      <c r="E57" t="s">
        <v>2614</v>
      </c>
      <c r="F57" s="49">
        <f t="shared" si="3"/>
        <v>56</v>
      </c>
      <c r="J57" s="49">
        <f t="shared" si="0"/>
        <v>5.9940099999999994</v>
      </c>
      <c r="K57" s="49">
        <f t="shared" si="1"/>
        <v>36.277300000000004</v>
      </c>
      <c r="L57" s="49">
        <f t="shared" si="2"/>
        <v>6.0522588384070106</v>
      </c>
    </row>
    <row r="58" spans="1:12">
      <c r="A58" s="49">
        <v>0.60087000000000002</v>
      </c>
      <c r="B58" s="49">
        <v>0.36813299999999999</v>
      </c>
      <c r="C58">
        <v>22.703499999999998</v>
      </c>
      <c r="D58">
        <v>0</v>
      </c>
      <c r="E58" t="s">
        <v>2615</v>
      </c>
      <c r="F58" s="49">
        <f t="shared" si="3"/>
        <v>57</v>
      </c>
      <c r="J58" s="49">
        <f t="shared" si="0"/>
        <v>6.0087000000000002</v>
      </c>
      <c r="K58" s="49">
        <f t="shared" si="1"/>
        <v>36.813299999999998</v>
      </c>
      <c r="L58" s="49">
        <f t="shared" si="2"/>
        <v>6.1266663338159661</v>
      </c>
    </row>
    <row r="59" spans="1:12">
      <c r="A59" s="49">
        <v>0.60275699999999999</v>
      </c>
      <c r="B59" s="49">
        <v>0.37398500000000001</v>
      </c>
      <c r="C59">
        <v>23.107800000000001</v>
      </c>
      <c r="D59">
        <v>0</v>
      </c>
      <c r="E59" t="s">
        <v>2616</v>
      </c>
      <c r="F59" s="49">
        <f t="shared" si="3"/>
        <v>58</v>
      </c>
      <c r="J59" s="49">
        <f t="shared" si="0"/>
        <v>6.0275699999999999</v>
      </c>
      <c r="K59" s="49">
        <f t="shared" si="1"/>
        <v>37.398499999999999</v>
      </c>
      <c r="L59" s="49">
        <f t="shared" si="2"/>
        <v>6.2045733189328365</v>
      </c>
    </row>
    <row r="60" spans="1:12">
      <c r="A60" s="49">
        <v>0.604576</v>
      </c>
      <c r="B60" s="49">
        <v>0.37761699999999998</v>
      </c>
      <c r="C60">
        <v>23.515599999999999</v>
      </c>
      <c r="D60">
        <v>0</v>
      </c>
      <c r="E60" t="s">
        <v>2617</v>
      </c>
      <c r="F60" s="49">
        <f t="shared" si="3"/>
        <v>59</v>
      </c>
      <c r="J60" s="49">
        <f t="shared" si="0"/>
        <v>6.0457599999999996</v>
      </c>
      <c r="K60" s="49">
        <f t="shared" si="1"/>
        <v>37.761699999999998</v>
      </c>
      <c r="L60" s="49">
        <f t="shared" si="2"/>
        <v>6.2459806542105545</v>
      </c>
    </row>
    <row r="61" spans="1:12">
      <c r="A61" s="49">
        <v>0.60626000000000002</v>
      </c>
      <c r="B61" s="49">
        <v>0.37997900000000001</v>
      </c>
      <c r="C61">
        <v>23.928000000000001</v>
      </c>
      <c r="D61">
        <v>0</v>
      </c>
      <c r="E61" t="s">
        <v>2618</v>
      </c>
      <c r="F61" s="49">
        <f t="shared" si="3"/>
        <v>60</v>
      </c>
      <c r="J61" s="49">
        <f t="shared" si="0"/>
        <v>6.0625999999999998</v>
      </c>
      <c r="K61" s="49">
        <f t="shared" si="1"/>
        <v>37.997900000000001</v>
      </c>
      <c r="L61" s="49">
        <f t="shared" si="2"/>
        <v>6.267591462408868</v>
      </c>
    </row>
    <row r="62" spans="1:12">
      <c r="A62" s="49">
        <v>0.60794400000000004</v>
      </c>
      <c r="B62" s="49">
        <v>0.382544</v>
      </c>
      <c r="C62">
        <v>24.335899999999999</v>
      </c>
      <c r="D62">
        <v>0</v>
      </c>
      <c r="E62" t="s">
        <v>2619</v>
      </c>
      <c r="F62" s="49">
        <f t="shared" si="3"/>
        <v>61</v>
      </c>
      <c r="J62" s="49">
        <f t="shared" si="0"/>
        <v>6.07944</v>
      </c>
      <c r="K62" s="49">
        <f t="shared" si="1"/>
        <v>38.254399999999997</v>
      </c>
      <c r="L62" s="49">
        <f t="shared" si="2"/>
        <v>6.2924216704170117</v>
      </c>
    </row>
    <row r="63" spans="1:12">
      <c r="A63" s="49">
        <v>0.60966100000000001</v>
      </c>
      <c r="B63" s="49">
        <v>0.38561499999999999</v>
      </c>
      <c r="C63">
        <v>24.749300000000002</v>
      </c>
      <c r="D63">
        <v>0</v>
      </c>
      <c r="E63" t="s">
        <v>2620</v>
      </c>
      <c r="F63" s="49">
        <f t="shared" si="3"/>
        <v>62</v>
      </c>
      <c r="J63" s="49">
        <f t="shared" si="0"/>
        <v>6.0966100000000001</v>
      </c>
      <c r="K63" s="49">
        <f t="shared" si="1"/>
        <v>38.561499999999995</v>
      </c>
      <c r="L63" s="49">
        <f t="shared" si="2"/>
        <v>6.3250724583005953</v>
      </c>
    </row>
    <row r="64" spans="1:12">
      <c r="A64" s="49">
        <v>0.61139100000000002</v>
      </c>
      <c r="B64" s="49">
        <v>0.38893800000000001</v>
      </c>
      <c r="C64">
        <v>25.1465</v>
      </c>
      <c r="D64">
        <v>0</v>
      </c>
      <c r="E64" t="s">
        <v>2621</v>
      </c>
      <c r="F64" s="49">
        <f t="shared" si="3"/>
        <v>63</v>
      </c>
      <c r="J64" s="49">
        <f t="shared" si="0"/>
        <v>6.1139100000000006</v>
      </c>
      <c r="K64" s="49">
        <f t="shared" si="1"/>
        <v>38.893799999999999</v>
      </c>
      <c r="L64" s="49">
        <f t="shared" si="2"/>
        <v>6.361526420899227</v>
      </c>
    </row>
    <row r="65" spans="1:12">
      <c r="A65" s="49">
        <v>0.61295299999999997</v>
      </c>
      <c r="B65" s="49">
        <v>0.39197799999999999</v>
      </c>
      <c r="C65">
        <v>25.558499999999999</v>
      </c>
      <c r="D65">
        <v>0</v>
      </c>
      <c r="E65" t="s">
        <v>2622</v>
      </c>
      <c r="F65" s="49">
        <f t="shared" si="3"/>
        <v>64</v>
      </c>
      <c r="J65" s="49">
        <f t="shared" si="0"/>
        <v>6.1295299999999999</v>
      </c>
      <c r="K65" s="49">
        <f t="shared" si="1"/>
        <v>39.197800000000001</v>
      </c>
      <c r="L65" s="49">
        <f t="shared" si="2"/>
        <v>6.3949111922121276</v>
      </c>
    </row>
    <row r="66" spans="1:12">
      <c r="A66" s="49">
        <v>0.61425300000000005</v>
      </c>
      <c r="B66" s="49">
        <v>0.39507900000000001</v>
      </c>
      <c r="C66">
        <v>25.963699999999999</v>
      </c>
      <c r="D66">
        <v>0</v>
      </c>
      <c r="E66" t="s">
        <v>2623</v>
      </c>
      <c r="F66" s="49">
        <f t="shared" si="3"/>
        <v>65</v>
      </c>
      <c r="J66" s="49">
        <f t="shared" si="0"/>
        <v>6.1425300000000007</v>
      </c>
      <c r="K66" s="49">
        <f t="shared" si="1"/>
        <v>39.507899999999999</v>
      </c>
      <c r="L66" s="49">
        <f t="shared" si="2"/>
        <v>6.4318611386513362</v>
      </c>
    </row>
    <row r="67" spans="1:12">
      <c r="A67" s="49">
        <v>0.61551</v>
      </c>
      <c r="B67" s="49">
        <v>0.39843600000000001</v>
      </c>
      <c r="C67">
        <v>26.370699999999999</v>
      </c>
      <c r="D67">
        <v>0</v>
      </c>
      <c r="E67" t="s">
        <v>2624</v>
      </c>
      <c r="F67" s="49">
        <f t="shared" si="3"/>
        <v>66</v>
      </c>
      <c r="J67" s="49">
        <f t="shared" ref="J67:J130" si="4">IF(A67&lt;&gt;"",A67*10,"")</f>
        <v>6.1551</v>
      </c>
      <c r="K67" s="49">
        <f t="shared" ref="K67:K130" si="5">IF(B67&lt;&gt;"",B67*100,"")</f>
        <v>39.843600000000002</v>
      </c>
      <c r="L67" s="49">
        <f t="shared" ref="L67:L130" si="6">IF(F67&lt;&gt;"",IF(K67&lt;&gt;0,K67/J67,0),"")</f>
        <v>6.4732660720378226</v>
      </c>
    </row>
    <row r="68" spans="1:12">
      <c r="A68" s="49">
        <v>0.61675500000000005</v>
      </c>
      <c r="B68" s="49">
        <v>0.40175300000000003</v>
      </c>
      <c r="C68">
        <v>26.767499999999998</v>
      </c>
      <c r="D68">
        <v>0</v>
      </c>
      <c r="E68" t="s">
        <v>2625</v>
      </c>
      <c r="F68" s="49">
        <f t="shared" ref="F68:F131" si="7">IF(A68&lt;&gt;"",F67+1,"")</f>
        <v>67</v>
      </c>
      <c r="J68" s="49">
        <f t="shared" si="4"/>
        <v>6.1675500000000003</v>
      </c>
      <c r="K68" s="49">
        <f t="shared" si="5"/>
        <v>40.1753</v>
      </c>
      <c r="L68" s="49">
        <f t="shared" si="6"/>
        <v>6.5139804298303217</v>
      </c>
    </row>
    <row r="69" spans="1:12">
      <c r="A69" s="49">
        <v>0.61807500000000004</v>
      </c>
      <c r="B69" s="49">
        <v>0.40554400000000002</v>
      </c>
      <c r="C69">
        <v>27.182500000000001</v>
      </c>
      <c r="D69">
        <v>0</v>
      </c>
      <c r="E69" t="s">
        <v>2626</v>
      </c>
      <c r="F69" s="49">
        <f t="shared" si="7"/>
        <v>68</v>
      </c>
      <c r="J69" s="49">
        <f t="shared" si="4"/>
        <v>6.1807500000000006</v>
      </c>
      <c r="K69" s="49">
        <f t="shared" si="5"/>
        <v>40.554400000000001</v>
      </c>
      <c r="L69" s="49">
        <f t="shared" si="6"/>
        <v>6.5614043603122596</v>
      </c>
    </row>
    <row r="70" spans="1:12">
      <c r="A70" s="49">
        <v>0.61925200000000002</v>
      </c>
      <c r="B70" s="49">
        <v>0.40970800000000002</v>
      </c>
      <c r="C70">
        <v>27.580500000000001</v>
      </c>
      <c r="D70">
        <v>0</v>
      </c>
      <c r="E70" t="s">
        <v>2627</v>
      </c>
      <c r="F70" s="49">
        <f t="shared" si="7"/>
        <v>69</v>
      </c>
      <c r="J70" s="49">
        <f t="shared" si="4"/>
        <v>6.19252</v>
      </c>
      <c r="K70" s="49">
        <f t="shared" si="5"/>
        <v>40.970800000000004</v>
      </c>
      <c r="L70" s="49">
        <f t="shared" si="6"/>
        <v>6.6161756441642501</v>
      </c>
    </row>
    <row r="71" spans="1:12">
      <c r="A71" s="49">
        <v>0.62038400000000005</v>
      </c>
      <c r="B71" s="49">
        <v>0.41440399999999999</v>
      </c>
      <c r="C71">
        <v>27.982099999999999</v>
      </c>
      <c r="D71">
        <v>0</v>
      </c>
      <c r="E71" t="s">
        <v>2628</v>
      </c>
      <c r="F71" s="49">
        <f t="shared" si="7"/>
        <v>70</v>
      </c>
      <c r="J71" s="49">
        <f t="shared" si="4"/>
        <v>6.2038400000000005</v>
      </c>
      <c r="K71" s="49">
        <f t="shared" si="5"/>
        <v>41.440399999999997</v>
      </c>
      <c r="L71" s="49">
        <f t="shared" si="6"/>
        <v>6.6797983184608229</v>
      </c>
    </row>
    <row r="72" spans="1:12">
      <c r="A72" s="49">
        <v>0.62166299999999997</v>
      </c>
      <c r="B72" s="49">
        <v>0.41904599999999997</v>
      </c>
      <c r="C72">
        <v>28.392299999999999</v>
      </c>
      <c r="D72">
        <v>0</v>
      </c>
      <c r="E72" t="s">
        <v>2629</v>
      </c>
      <c r="F72" s="49">
        <f t="shared" si="7"/>
        <v>71</v>
      </c>
      <c r="J72" s="49">
        <f t="shared" si="4"/>
        <v>6.2166299999999994</v>
      </c>
      <c r="K72" s="49">
        <f t="shared" si="5"/>
        <v>41.904599999999995</v>
      </c>
      <c r="L72" s="49">
        <f t="shared" si="6"/>
        <v>6.7407260847114916</v>
      </c>
    </row>
    <row r="73" spans="1:12">
      <c r="A73" s="49">
        <v>0.62297199999999997</v>
      </c>
      <c r="B73" s="49">
        <v>0.42346400000000001</v>
      </c>
      <c r="C73">
        <v>28.802600000000002</v>
      </c>
      <c r="D73">
        <v>0</v>
      </c>
      <c r="E73" t="s">
        <v>2630</v>
      </c>
      <c r="F73" s="49">
        <f t="shared" si="7"/>
        <v>72</v>
      </c>
      <c r="J73" s="49">
        <f t="shared" si="4"/>
        <v>6.2297199999999995</v>
      </c>
      <c r="K73" s="49">
        <f t="shared" si="5"/>
        <v>42.346400000000003</v>
      </c>
      <c r="L73" s="49">
        <f t="shared" si="6"/>
        <v>6.7974804646115725</v>
      </c>
    </row>
    <row r="74" spans="1:12">
      <c r="A74" s="49">
        <v>0.62432500000000002</v>
      </c>
      <c r="B74" s="49">
        <v>0.42803600000000003</v>
      </c>
      <c r="C74">
        <v>29.212499999999999</v>
      </c>
      <c r="D74">
        <v>0</v>
      </c>
      <c r="E74" t="s">
        <v>2631</v>
      </c>
      <c r="F74" s="49">
        <f t="shared" si="7"/>
        <v>73</v>
      </c>
      <c r="J74" s="49">
        <f t="shared" si="4"/>
        <v>6.2432499999999997</v>
      </c>
      <c r="K74" s="49">
        <f t="shared" si="5"/>
        <v>42.803600000000003</v>
      </c>
      <c r="L74" s="49">
        <f t="shared" si="6"/>
        <v>6.8559804588956084</v>
      </c>
    </row>
    <row r="75" spans="1:12">
      <c r="A75" s="49">
        <v>0.62595100000000004</v>
      </c>
      <c r="B75" s="49">
        <v>0.43284299999999998</v>
      </c>
      <c r="C75">
        <v>29.6265</v>
      </c>
      <c r="D75">
        <v>0</v>
      </c>
      <c r="E75" t="s">
        <v>2632</v>
      </c>
      <c r="F75" s="49">
        <f t="shared" si="7"/>
        <v>74</v>
      </c>
      <c r="J75" s="49">
        <f t="shared" si="4"/>
        <v>6.2595100000000006</v>
      </c>
      <c r="K75" s="49">
        <f t="shared" si="5"/>
        <v>43.284299999999995</v>
      </c>
      <c r="L75" s="49">
        <f t="shared" si="6"/>
        <v>6.9149661874491759</v>
      </c>
    </row>
    <row r="76" spans="1:12">
      <c r="A76" s="49">
        <v>0.62787199999999999</v>
      </c>
      <c r="B76" s="49">
        <v>0.43765999999999999</v>
      </c>
      <c r="C76">
        <v>30.031500000000001</v>
      </c>
      <c r="D76">
        <v>0</v>
      </c>
      <c r="E76" t="s">
        <v>2633</v>
      </c>
      <c r="F76" s="49">
        <f t="shared" si="7"/>
        <v>75</v>
      </c>
      <c r="J76" s="49">
        <f t="shared" si="4"/>
        <v>6.2787199999999999</v>
      </c>
      <c r="K76" s="49">
        <f t="shared" si="5"/>
        <v>43.765999999999998</v>
      </c>
      <c r="L76" s="49">
        <f t="shared" si="6"/>
        <v>6.9705290250242085</v>
      </c>
    </row>
    <row r="77" spans="1:12">
      <c r="A77" s="49">
        <v>0.62934400000000001</v>
      </c>
      <c r="B77" s="49">
        <v>0.44115300000000002</v>
      </c>
      <c r="C77">
        <v>30.434200000000001</v>
      </c>
      <c r="D77">
        <v>0</v>
      </c>
      <c r="E77" t="s">
        <v>2634</v>
      </c>
      <c r="F77" s="49">
        <f t="shared" si="7"/>
        <v>76</v>
      </c>
      <c r="J77" s="49">
        <f t="shared" si="4"/>
        <v>6.2934400000000004</v>
      </c>
      <c r="K77" s="49">
        <f t="shared" si="5"/>
        <v>44.115300000000005</v>
      </c>
      <c r="L77" s="49">
        <f t="shared" si="6"/>
        <v>7.0097275893628925</v>
      </c>
    </row>
    <row r="78" spans="1:12">
      <c r="A78" s="49">
        <v>0.63034500000000004</v>
      </c>
      <c r="B78" s="49">
        <v>0.44452199999999997</v>
      </c>
      <c r="C78">
        <v>30.832999999999998</v>
      </c>
      <c r="D78">
        <v>0</v>
      </c>
      <c r="E78" t="s">
        <v>2635</v>
      </c>
      <c r="F78" s="49">
        <f t="shared" si="7"/>
        <v>77</v>
      </c>
      <c r="J78" s="49">
        <f t="shared" si="4"/>
        <v>6.3034500000000007</v>
      </c>
      <c r="K78" s="49">
        <f t="shared" si="5"/>
        <v>44.452199999999998</v>
      </c>
      <c r="L78" s="49">
        <f t="shared" si="6"/>
        <v>7.0520429288722832</v>
      </c>
    </row>
    <row r="79" spans="1:12">
      <c r="A79" s="49">
        <v>0.63150099999999998</v>
      </c>
      <c r="B79" s="49">
        <v>0.44801999999999997</v>
      </c>
      <c r="C79">
        <v>31.230599999999999</v>
      </c>
      <c r="D79">
        <v>0</v>
      </c>
      <c r="E79" t="s">
        <v>2636</v>
      </c>
      <c r="F79" s="49">
        <f t="shared" si="7"/>
        <v>78</v>
      </c>
      <c r="J79" s="49">
        <f t="shared" si="4"/>
        <v>6.31501</v>
      </c>
      <c r="K79" s="49">
        <f t="shared" si="5"/>
        <v>44.802</v>
      </c>
      <c r="L79" s="49">
        <f t="shared" si="6"/>
        <v>7.0945255826989984</v>
      </c>
    </row>
    <row r="80" spans="1:12">
      <c r="A80" s="49">
        <v>0.63288</v>
      </c>
      <c r="B80" s="49">
        <v>0.45127899999999999</v>
      </c>
      <c r="C80">
        <v>31.644600000000001</v>
      </c>
      <c r="D80">
        <v>0</v>
      </c>
      <c r="E80" t="s">
        <v>2637</v>
      </c>
      <c r="F80" s="49">
        <f t="shared" si="7"/>
        <v>79</v>
      </c>
      <c r="J80" s="49">
        <f t="shared" si="4"/>
        <v>6.3288000000000002</v>
      </c>
      <c r="K80" s="49">
        <f t="shared" si="5"/>
        <v>45.127899999999997</v>
      </c>
      <c r="L80" s="49">
        <f t="shared" si="6"/>
        <v>7.1305618758690423</v>
      </c>
    </row>
    <row r="81" spans="1:12">
      <c r="A81" s="49">
        <v>0.63428799999999996</v>
      </c>
      <c r="B81" s="49">
        <v>0.454573</v>
      </c>
      <c r="C81">
        <v>32.052799999999998</v>
      </c>
      <c r="D81">
        <v>0</v>
      </c>
      <c r="E81" t="s">
        <v>2638</v>
      </c>
      <c r="F81" s="49">
        <f t="shared" si="7"/>
        <v>80</v>
      </c>
      <c r="J81" s="49">
        <f t="shared" si="4"/>
        <v>6.3428799999999992</v>
      </c>
      <c r="K81" s="49">
        <f t="shared" si="5"/>
        <v>45.457300000000004</v>
      </c>
      <c r="L81" s="49">
        <f t="shared" si="6"/>
        <v>7.1666656156194044</v>
      </c>
    </row>
    <row r="82" spans="1:12">
      <c r="A82" s="49">
        <v>0.63584700000000005</v>
      </c>
      <c r="B82" s="49">
        <v>0.45765800000000001</v>
      </c>
      <c r="C82">
        <v>32.463999999999999</v>
      </c>
      <c r="D82">
        <v>0</v>
      </c>
      <c r="E82" t="s">
        <v>2639</v>
      </c>
      <c r="F82" s="49">
        <f t="shared" si="7"/>
        <v>81</v>
      </c>
      <c r="J82" s="49">
        <f t="shared" si="4"/>
        <v>6.3584700000000005</v>
      </c>
      <c r="K82" s="49">
        <f t="shared" si="5"/>
        <v>45.765799999999999</v>
      </c>
      <c r="L82" s="49">
        <f t="shared" si="6"/>
        <v>7.1976120041456504</v>
      </c>
    </row>
    <row r="83" spans="1:12">
      <c r="A83" s="49">
        <v>0.63740399999999997</v>
      </c>
      <c r="B83" s="49">
        <v>0.46065200000000001</v>
      </c>
      <c r="C83">
        <v>32.861400000000003</v>
      </c>
      <c r="D83">
        <v>0</v>
      </c>
      <c r="E83" t="s">
        <v>2640</v>
      </c>
      <c r="F83" s="49">
        <f t="shared" si="7"/>
        <v>82</v>
      </c>
      <c r="J83" s="49">
        <f t="shared" si="4"/>
        <v>6.3740399999999999</v>
      </c>
      <c r="K83" s="49">
        <f t="shared" si="5"/>
        <v>46.065199999999997</v>
      </c>
      <c r="L83" s="49">
        <f t="shared" si="6"/>
        <v>7.2270020269719044</v>
      </c>
    </row>
    <row r="84" spans="1:12">
      <c r="A84" s="49">
        <v>0.63865700000000003</v>
      </c>
      <c r="B84" s="49">
        <v>0.46277099999999999</v>
      </c>
      <c r="C84">
        <v>33.267000000000003</v>
      </c>
      <c r="D84">
        <v>0</v>
      </c>
      <c r="E84" t="s">
        <v>2641</v>
      </c>
      <c r="F84" s="49">
        <f t="shared" si="7"/>
        <v>83</v>
      </c>
      <c r="J84" s="49">
        <f t="shared" si="4"/>
        <v>6.3865700000000007</v>
      </c>
      <c r="K84" s="49">
        <f t="shared" si="5"/>
        <v>46.277099999999997</v>
      </c>
      <c r="L84" s="49">
        <f t="shared" si="6"/>
        <v>7.2460021576526978</v>
      </c>
    </row>
    <row r="85" spans="1:12">
      <c r="A85" s="49">
        <v>0.63967700000000005</v>
      </c>
      <c r="B85" s="49">
        <v>0.46484900000000001</v>
      </c>
      <c r="C85">
        <v>33.675199999999997</v>
      </c>
      <c r="D85">
        <v>0</v>
      </c>
      <c r="E85" t="s">
        <v>2642</v>
      </c>
      <c r="F85" s="49">
        <f t="shared" si="7"/>
        <v>84</v>
      </c>
      <c r="J85" s="49">
        <f t="shared" si="4"/>
        <v>6.3967700000000001</v>
      </c>
      <c r="K85" s="49">
        <f t="shared" si="5"/>
        <v>46.484900000000003</v>
      </c>
      <c r="L85" s="49">
        <f t="shared" si="6"/>
        <v>7.2669331553268295</v>
      </c>
    </row>
    <row r="86" spans="1:12">
      <c r="A86" s="49">
        <v>0.64052799999999999</v>
      </c>
      <c r="B86" s="49">
        <v>0.46656799999999998</v>
      </c>
      <c r="C86">
        <v>34.076799999999999</v>
      </c>
      <c r="D86">
        <v>0</v>
      </c>
      <c r="E86" t="s">
        <v>2643</v>
      </c>
      <c r="F86" s="49">
        <f t="shared" si="7"/>
        <v>85</v>
      </c>
      <c r="J86" s="49">
        <f t="shared" si="4"/>
        <v>6.4052799999999994</v>
      </c>
      <c r="K86" s="49">
        <f t="shared" si="5"/>
        <v>46.656799999999997</v>
      </c>
      <c r="L86" s="49">
        <f t="shared" si="6"/>
        <v>7.2841156046261837</v>
      </c>
    </row>
    <row r="87" spans="1:12">
      <c r="A87" s="49">
        <v>0.64125200000000004</v>
      </c>
      <c r="B87" s="49">
        <v>0.46779599999999999</v>
      </c>
      <c r="C87">
        <v>34.498699999999999</v>
      </c>
      <c r="D87">
        <v>0</v>
      </c>
      <c r="E87" t="s">
        <v>2644</v>
      </c>
      <c r="F87" s="49">
        <f t="shared" si="7"/>
        <v>86</v>
      </c>
      <c r="J87" s="49">
        <f t="shared" si="4"/>
        <v>6.4125200000000007</v>
      </c>
      <c r="K87" s="49">
        <f t="shared" si="5"/>
        <v>46.779600000000002</v>
      </c>
      <c r="L87" s="49">
        <f t="shared" si="6"/>
        <v>7.2950415749190638</v>
      </c>
    </row>
    <row r="88" spans="1:12">
      <c r="A88" s="49">
        <v>0.64187300000000003</v>
      </c>
      <c r="B88" s="49">
        <v>0.46839900000000001</v>
      </c>
      <c r="C88">
        <v>34.898299999999999</v>
      </c>
      <c r="D88">
        <v>0</v>
      </c>
      <c r="E88" t="s">
        <v>2645</v>
      </c>
      <c r="F88" s="49">
        <f t="shared" si="7"/>
        <v>87</v>
      </c>
      <c r="J88" s="49">
        <f t="shared" si="4"/>
        <v>6.41873</v>
      </c>
      <c r="K88" s="49">
        <f t="shared" si="5"/>
        <v>46.8399</v>
      </c>
      <c r="L88" s="49">
        <f t="shared" si="6"/>
        <v>7.297378141781941</v>
      </c>
    </row>
    <row r="89" spans="1:12">
      <c r="A89" s="49">
        <v>0.64256500000000005</v>
      </c>
      <c r="B89" s="49">
        <v>0.46931299999999998</v>
      </c>
      <c r="C89">
        <v>35.303800000000003</v>
      </c>
      <c r="D89">
        <v>0</v>
      </c>
      <c r="E89" t="s">
        <v>2646</v>
      </c>
      <c r="F89" s="49">
        <f t="shared" si="7"/>
        <v>88</v>
      </c>
      <c r="J89" s="49">
        <f t="shared" si="4"/>
        <v>6.425650000000001</v>
      </c>
      <c r="K89" s="49">
        <f t="shared" si="5"/>
        <v>46.9313</v>
      </c>
      <c r="L89" s="49">
        <f t="shared" si="6"/>
        <v>7.3037435901426306</v>
      </c>
    </row>
    <row r="90" spans="1:12">
      <c r="A90" s="49">
        <v>0.64332999999999996</v>
      </c>
      <c r="B90" s="49">
        <v>0.470412</v>
      </c>
      <c r="C90">
        <v>35.709600000000002</v>
      </c>
      <c r="D90">
        <v>0</v>
      </c>
      <c r="E90" t="s">
        <v>2647</v>
      </c>
      <c r="F90" s="49">
        <f t="shared" si="7"/>
        <v>89</v>
      </c>
      <c r="J90" s="49">
        <f t="shared" si="4"/>
        <v>6.4332999999999991</v>
      </c>
      <c r="K90" s="49">
        <f t="shared" si="5"/>
        <v>47.041199999999996</v>
      </c>
      <c r="L90" s="49">
        <f t="shared" si="6"/>
        <v>7.3121415136865995</v>
      </c>
    </row>
    <row r="91" spans="1:12">
      <c r="A91" s="49">
        <v>0.64413399999999998</v>
      </c>
      <c r="B91" s="49">
        <v>0.47167300000000001</v>
      </c>
      <c r="C91">
        <v>36.1098</v>
      </c>
      <c r="D91">
        <v>0</v>
      </c>
      <c r="E91" t="s">
        <v>2648</v>
      </c>
      <c r="F91" s="49">
        <f t="shared" si="7"/>
        <v>90</v>
      </c>
      <c r="J91" s="49">
        <f t="shared" si="4"/>
        <v>6.4413400000000003</v>
      </c>
      <c r="K91" s="49">
        <f t="shared" si="5"/>
        <v>47.167299999999997</v>
      </c>
      <c r="L91" s="49">
        <f t="shared" si="6"/>
        <v>7.3225912620665881</v>
      </c>
    </row>
    <row r="92" spans="1:12">
      <c r="A92" s="49">
        <v>0.64466199999999996</v>
      </c>
      <c r="B92" s="49">
        <v>0.47290300000000002</v>
      </c>
      <c r="C92">
        <v>36.522199999999998</v>
      </c>
      <c r="D92">
        <v>0</v>
      </c>
      <c r="E92" t="s">
        <v>2649</v>
      </c>
      <c r="F92" s="49">
        <f t="shared" si="7"/>
        <v>91</v>
      </c>
      <c r="J92" s="49">
        <f t="shared" si="4"/>
        <v>6.4466199999999994</v>
      </c>
      <c r="K92" s="49">
        <f t="shared" si="5"/>
        <v>47.290300000000002</v>
      </c>
      <c r="L92" s="49">
        <f t="shared" si="6"/>
        <v>7.3356735777818463</v>
      </c>
    </row>
    <row r="93" spans="1:12">
      <c r="A93" s="49">
        <v>0.64493699999999998</v>
      </c>
      <c r="B93" s="49">
        <v>0.47455999999999998</v>
      </c>
      <c r="C93">
        <v>36.930399999999999</v>
      </c>
      <c r="D93">
        <v>0</v>
      </c>
      <c r="E93" t="s">
        <v>2650</v>
      </c>
      <c r="F93" s="49">
        <f t="shared" si="7"/>
        <v>92</v>
      </c>
      <c r="J93" s="49">
        <f t="shared" si="4"/>
        <v>6.44937</v>
      </c>
      <c r="K93" s="49">
        <f t="shared" si="5"/>
        <v>47.455999999999996</v>
      </c>
      <c r="L93" s="49">
        <f t="shared" si="6"/>
        <v>7.3582380914724999</v>
      </c>
    </row>
    <row r="94" spans="1:12">
      <c r="A94" s="49">
        <v>0.64516700000000005</v>
      </c>
      <c r="B94" s="49">
        <v>0.47634500000000002</v>
      </c>
      <c r="C94">
        <v>37.3354</v>
      </c>
      <c r="D94">
        <v>0</v>
      </c>
      <c r="E94" t="s">
        <v>2651</v>
      </c>
      <c r="F94" s="49">
        <f t="shared" si="7"/>
        <v>93</v>
      </c>
      <c r="J94" s="49">
        <f t="shared" si="4"/>
        <v>6.45167</v>
      </c>
      <c r="K94" s="49">
        <f t="shared" si="5"/>
        <v>47.634500000000003</v>
      </c>
      <c r="L94" s="49">
        <f t="shared" si="6"/>
        <v>7.3832821579529027</v>
      </c>
    </row>
    <row r="95" spans="1:12">
      <c r="A95" s="49">
        <v>0.64610299999999998</v>
      </c>
      <c r="B95" s="49">
        <v>0.47787600000000002</v>
      </c>
      <c r="C95">
        <v>37.741</v>
      </c>
      <c r="D95">
        <v>0</v>
      </c>
      <c r="E95" t="s">
        <v>2652</v>
      </c>
      <c r="F95" s="49">
        <f t="shared" si="7"/>
        <v>94</v>
      </c>
      <c r="J95" s="49">
        <f t="shared" si="4"/>
        <v>6.4610300000000001</v>
      </c>
      <c r="K95" s="49">
        <f t="shared" si="5"/>
        <v>47.787600000000005</v>
      </c>
      <c r="L95" s="49">
        <f t="shared" si="6"/>
        <v>7.396282016953954</v>
      </c>
    </row>
    <row r="96" spans="1:12">
      <c r="A96" s="49">
        <v>0.64758599999999999</v>
      </c>
      <c r="B96" s="49">
        <v>0.479354</v>
      </c>
      <c r="C96">
        <v>38.156999999999996</v>
      </c>
      <c r="D96">
        <v>0</v>
      </c>
      <c r="E96" t="s">
        <v>2653</v>
      </c>
      <c r="F96" s="49">
        <f t="shared" si="7"/>
        <v>95</v>
      </c>
      <c r="J96" s="49">
        <f t="shared" si="4"/>
        <v>6.4758599999999999</v>
      </c>
      <c r="K96" s="49">
        <f t="shared" si="5"/>
        <v>47.935400000000001</v>
      </c>
      <c r="L96" s="49">
        <f t="shared" si="6"/>
        <v>7.4021674341323012</v>
      </c>
    </row>
    <row r="97" spans="1:12">
      <c r="A97" s="49">
        <v>0.64938600000000002</v>
      </c>
      <c r="B97" s="49">
        <v>0.48027999999999998</v>
      </c>
      <c r="C97">
        <v>38.556800000000003</v>
      </c>
      <c r="D97">
        <v>0</v>
      </c>
      <c r="E97" t="s">
        <v>2654</v>
      </c>
      <c r="F97" s="49">
        <f t="shared" si="7"/>
        <v>96</v>
      </c>
      <c r="J97" s="49">
        <f t="shared" si="4"/>
        <v>6.4938599999999997</v>
      </c>
      <c r="K97" s="49">
        <f t="shared" si="5"/>
        <v>48.027999999999999</v>
      </c>
      <c r="L97" s="49">
        <f t="shared" si="6"/>
        <v>7.3959093666940774</v>
      </c>
    </row>
    <row r="98" spans="1:12">
      <c r="A98" s="49">
        <v>0.651555</v>
      </c>
      <c r="B98" s="49">
        <v>0.48141299999999998</v>
      </c>
      <c r="C98">
        <v>38.962299999999999</v>
      </c>
      <c r="D98">
        <v>0</v>
      </c>
      <c r="E98" t="s">
        <v>2655</v>
      </c>
      <c r="F98" s="49">
        <f t="shared" si="7"/>
        <v>97</v>
      </c>
      <c r="J98" s="49">
        <f t="shared" si="4"/>
        <v>6.5155500000000002</v>
      </c>
      <c r="K98" s="49">
        <f t="shared" si="5"/>
        <v>48.141300000000001</v>
      </c>
      <c r="L98" s="49">
        <f t="shared" si="6"/>
        <v>7.3886778552846648</v>
      </c>
    </row>
    <row r="99" spans="1:12">
      <c r="A99" s="49">
        <v>0.65547500000000003</v>
      </c>
      <c r="B99" s="49">
        <v>0.48541400000000001</v>
      </c>
      <c r="C99">
        <v>39.368099999999998</v>
      </c>
      <c r="D99">
        <v>0</v>
      </c>
      <c r="E99" t="s">
        <v>2656</v>
      </c>
      <c r="F99" s="49">
        <f t="shared" si="7"/>
        <v>98</v>
      </c>
      <c r="J99" s="49">
        <f t="shared" si="4"/>
        <v>6.5547500000000003</v>
      </c>
      <c r="K99" s="49">
        <f t="shared" si="5"/>
        <v>48.541400000000003</v>
      </c>
      <c r="L99" s="49">
        <f t="shared" si="6"/>
        <v>7.4055303405927004</v>
      </c>
    </row>
    <row r="100" spans="1:12">
      <c r="A100" s="49">
        <v>0.65923600000000004</v>
      </c>
      <c r="B100" s="49">
        <v>0.48729899999999998</v>
      </c>
      <c r="C100">
        <v>39.7667</v>
      </c>
      <c r="D100">
        <v>0</v>
      </c>
      <c r="E100" t="s">
        <v>2657</v>
      </c>
      <c r="F100" s="49">
        <f t="shared" si="7"/>
        <v>99</v>
      </c>
      <c r="J100" s="49">
        <f t="shared" si="4"/>
        <v>6.5923600000000002</v>
      </c>
      <c r="K100" s="49">
        <f t="shared" si="5"/>
        <v>48.729900000000001</v>
      </c>
      <c r="L100" s="49">
        <f t="shared" si="6"/>
        <v>7.3918748369324492</v>
      </c>
    </row>
    <row r="101" spans="1:12">
      <c r="A101" s="49">
        <v>0.661381</v>
      </c>
      <c r="B101" s="49">
        <v>0.47467599999999999</v>
      </c>
      <c r="C101">
        <v>40.174300000000002</v>
      </c>
      <c r="D101">
        <v>0</v>
      </c>
      <c r="E101" t="s">
        <v>2658</v>
      </c>
      <c r="F101" s="49">
        <f t="shared" si="7"/>
        <v>100</v>
      </c>
      <c r="J101" s="49">
        <f t="shared" si="4"/>
        <v>6.61381</v>
      </c>
      <c r="K101" s="49">
        <f t="shared" si="5"/>
        <v>47.467599999999997</v>
      </c>
      <c r="L101" s="49">
        <f t="shared" si="6"/>
        <v>7.1770431869073947</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45854.55195601852</v>
      </c>
      <c r="B2" t="s">
        <v>2659</v>
      </c>
      <c r="C2" s="49"/>
      <c r="D2" s="49"/>
      <c r="E2" s="49">
        <v>4.9641500000000001</v>
      </c>
      <c r="F2" s="49">
        <v>2.9292799999999999</v>
      </c>
      <c r="G2" s="49">
        <v>0.64749299999999999</v>
      </c>
      <c r="H2" s="49">
        <v>0</v>
      </c>
      <c r="I2" s="49">
        <v>25.7576</v>
      </c>
      <c r="J2" s="49">
        <v>165</v>
      </c>
      <c r="K2" s="49">
        <v>165</v>
      </c>
      <c r="L2" s="49">
        <v>100</v>
      </c>
      <c r="M2" s="521" t="s">
        <v>1549</v>
      </c>
      <c r="O2" s="565" t="str">
        <f>IF(FH_info!B2="","",TRIM(MID(SUBSTITUTE(FH_info!B2,"^",REPT(" ",LEN(FH_info!B2))),LEN(FH_info!B2)*2-LEN(FH_info!B2)+1,LEN(FH_info!B2))))</f>
        <v>TrZN</v>
      </c>
      <c r="P2" s="565" t="str">
        <f>IF(FH_info!O2="","",TRIM(MID(SUBSTITUTE(FH_info!O2," ",REPT(" ",LEN(FH_info!O2))),LEN(FH_info!O2)*1-LEN(FH_info!O2)+1,LEN(FH_info!O2))))</f>
        <v>TrZN</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25.757587000000001</v>
      </c>
      <c r="D2">
        <f>MAX(B2:B257)</f>
        <v>88.913466999999997</v>
      </c>
      <c r="G2" t="s">
        <v>1590</v>
      </c>
      <c r="H2">
        <v>4.9641479999999998</v>
      </c>
      <c r="I2">
        <v>25.757587000000001</v>
      </c>
      <c r="J2">
        <v>0</v>
      </c>
      <c r="K2">
        <v>165</v>
      </c>
      <c r="L2">
        <v>165</v>
      </c>
      <c r="M2">
        <v>2.9292829999999999</v>
      </c>
      <c r="N2">
        <v>0.64749299999999999</v>
      </c>
      <c r="O2">
        <v>0.41924800000000001</v>
      </c>
    </row>
    <row r="3" spans="1:15">
      <c r="A3">
        <v>0</v>
      </c>
      <c r="B3">
        <v>0</v>
      </c>
      <c r="G3" t="s">
        <v>1591</v>
      </c>
      <c r="H3">
        <v>4.9641479999999998</v>
      </c>
      <c r="I3">
        <v>88.913466999999997</v>
      </c>
      <c r="J3">
        <v>0</v>
      </c>
      <c r="K3">
        <v>34</v>
      </c>
      <c r="L3">
        <v>34</v>
      </c>
      <c r="M3">
        <v>1.4576</v>
      </c>
      <c r="N3">
        <v>0.81084100000000003</v>
      </c>
      <c r="O3">
        <v>0.65746400000000005</v>
      </c>
    </row>
    <row r="4" spans="1:15">
      <c r="A4">
        <v>0</v>
      </c>
      <c r="B4">
        <v>0</v>
      </c>
    </row>
    <row r="5" spans="1:15">
      <c r="A5">
        <v>2.4120000000000001E-3</v>
      </c>
      <c r="B5">
        <v>3.8994979999999999</v>
      </c>
    </row>
    <row r="6" spans="1:15">
      <c r="A6">
        <v>0</v>
      </c>
      <c r="B6">
        <v>0</v>
      </c>
    </row>
    <row r="7" spans="1:15">
      <c r="A7">
        <v>0</v>
      </c>
      <c r="B7">
        <v>0</v>
      </c>
    </row>
    <row r="8" spans="1:15">
      <c r="A8">
        <v>7.2360000000000002E-3</v>
      </c>
      <c r="B8">
        <v>14.068441999999999</v>
      </c>
    </row>
    <row r="9" spans="1:15">
      <c r="A9">
        <v>0</v>
      </c>
      <c r="B9">
        <v>0</v>
      </c>
    </row>
    <row r="10" spans="1:15">
      <c r="A10">
        <v>1.206E-2</v>
      </c>
      <c r="B10">
        <v>20.305025000000001</v>
      </c>
    </row>
    <row r="11" spans="1:15">
      <c r="A11">
        <v>0</v>
      </c>
      <c r="B11">
        <v>0</v>
      </c>
    </row>
    <row r="12" spans="1:15">
      <c r="A12">
        <v>0</v>
      </c>
      <c r="B12">
        <v>0</v>
      </c>
    </row>
    <row r="13" spans="1:15">
      <c r="A13">
        <v>6.332E-3</v>
      </c>
      <c r="B13">
        <v>28.580200000000001</v>
      </c>
    </row>
    <row r="14" spans="1:15">
      <c r="A14">
        <v>0</v>
      </c>
      <c r="B14">
        <v>0</v>
      </c>
    </row>
    <row r="15" spans="1:15">
      <c r="A15">
        <v>7.6180999999999999E-2</v>
      </c>
      <c r="B15">
        <v>40.239398999999999</v>
      </c>
    </row>
    <row r="16" spans="1:15">
      <c r="A16">
        <v>0</v>
      </c>
      <c r="B16">
        <v>0</v>
      </c>
    </row>
    <row r="17" spans="1:2">
      <c r="A17">
        <v>0</v>
      </c>
      <c r="B17">
        <v>0</v>
      </c>
    </row>
    <row r="18" spans="1:2">
      <c r="A18">
        <v>5.2663000000000001E-2</v>
      </c>
      <c r="B18">
        <v>52.909450999999997</v>
      </c>
    </row>
    <row r="19" spans="1:2">
      <c r="A19">
        <v>0</v>
      </c>
      <c r="B19">
        <v>0</v>
      </c>
    </row>
    <row r="20" spans="1:2">
      <c r="A20">
        <v>0</v>
      </c>
      <c r="B20">
        <v>0</v>
      </c>
    </row>
    <row r="21" spans="1:2">
      <c r="A21">
        <v>2.4421999999999999E-2</v>
      </c>
      <c r="B21">
        <v>69.215477000000007</v>
      </c>
    </row>
    <row r="22" spans="1:2">
      <c r="A22">
        <v>0</v>
      </c>
      <c r="B22">
        <v>0</v>
      </c>
    </row>
    <row r="23" spans="1:2">
      <c r="A23">
        <v>7.3869000000000004E-2</v>
      </c>
      <c r="B23">
        <v>80.376587000000001</v>
      </c>
    </row>
    <row r="24" spans="1:2">
      <c r="A24">
        <v>0</v>
      </c>
      <c r="B24">
        <v>0</v>
      </c>
    </row>
    <row r="25" spans="1:2">
      <c r="A25">
        <v>0</v>
      </c>
      <c r="B25">
        <v>0</v>
      </c>
    </row>
    <row r="26" spans="1:2">
      <c r="A26">
        <v>0.103518</v>
      </c>
      <c r="B26">
        <v>87.425826999999998</v>
      </c>
    </row>
    <row r="27" spans="1:2">
      <c r="A27">
        <v>0</v>
      </c>
      <c r="B27">
        <v>0</v>
      </c>
    </row>
    <row r="28" spans="1:2">
      <c r="A28">
        <v>0.18954799999999999</v>
      </c>
      <c r="B28">
        <v>87.854979999999998</v>
      </c>
    </row>
    <row r="29" spans="1:2">
      <c r="A29">
        <v>0</v>
      </c>
      <c r="B29">
        <v>0</v>
      </c>
    </row>
    <row r="30" spans="1:2">
      <c r="A30">
        <v>0</v>
      </c>
      <c r="B30">
        <v>0</v>
      </c>
    </row>
    <row r="31" spans="1:2">
      <c r="A31">
        <v>0.39537699999999998</v>
      </c>
      <c r="B31">
        <v>88.083618000000001</v>
      </c>
    </row>
    <row r="32" spans="1:2">
      <c r="A32">
        <v>0</v>
      </c>
      <c r="B32">
        <v>0</v>
      </c>
    </row>
    <row r="33" spans="1:2">
      <c r="A33">
        <v>0.42984899999999998</v>
      </c>
      <c r="B33">
        <v>88.492965999999996</v>
      </c>
    </row>
    <row r="34" spans="1:2">
      <c r="A34">
        <v>0</v>
      </c>
      <c r="B34">
        <v>0</v>
      </c>
    </row>
    <row r="35" spans="1:2">
      <c r="A35">
        <v>0</v>
      </c>
      <c r="B35">
        <v>0</v>
      </c>
    </row>
    <row r="36" spans="1:2">
      <c r="A36">
        <v>0.69085399999999997</v>
      </c>
      <c r="B36">
        <v>88.913466999999997</v>
      </c>
    </row>
    <row r="37" spans="1:2">
      <c r="A37">
        <v>0</v>
      </c>
      <c r="B37">
        <v>0</v>
      </c>
    </row>
    <row r="38" spans="1:2">
      <c r="A38">
        <v>0</v>
      </c>
      <c r="B38">
        <v>0</v>
      </c>
    </row>
    <row r="39" spans="1:2">
      <c r="A39">
        <v>0.88834199999999996</v>
      </c>
      <c r="B39">
        <v>87.056884999999994</v>
      </c>
    </row>
    <row r="40" spans="1:2">
      <c r="A40">
        <v>0</v>
      </c>
      <c r="B40">
        <v>0</v>
      </c>
    </row>
    <row r="41" spans="1:2">
      <c r="A41">
        <v>1.252462</v>
      </c>
      <c r="B41">
        <v>84.784424000000001</v>
      </c>
    </row>
    <row r="42" spans="1:2">
      <c r="A42">
        <v>0</v>
      </c>
      <c r="B42">
        <v>0</v>
      </c>
    </row>
    <row r="43" spans="1:2">
      <c r="A43">
        <v>0</v>
      </c>
      <c r="B43">
        <v>0</v>
      </c>
    </row>
    <row r="44" spans="1:2">
      <c r="A44">
        <v>1.798794</v>
      </c>
      <c r="B44">
        <v>84.519096000000005</v>
      </c>
    </row>
    <row r="45" spans="1:2">
      <c r="A45">
        <v>0</v>
      </c>
      <c r="B45">
        <v>0</v>
      </c>
    </row>
    <row r="46" spans="1:2">
      <c r="A46">
        <v>1.619799</v>
      </c>
      <c r="B46">
        <v>83.515784999999994</v>
      </c>
    </row>
    <row r="47" spans="1:2">
      <c r="A47">
        <v>0</v>
      </c>
      <c r="B47">
        <v>0</v>
      </c>
    </row>
    <row r="48" spans="1:2">
      <c r="A48">
        <v>0</v>
      </c>
      <c r="B48">
        <v>0</v>
      </c>
    </row>
    <row r="49" spans="1:2">
      <c r="A49">
        <v>2.1455280000000001</v>
      </c>
      <c r="B49">
        <v>81.197288999999998</v>
      </c>
    </row>
    <row r="50" spans="1:2">
      <c r="A50">
        <v>0</v>
      </c>
      <c r="B50">
        <v>0</v>
      </c>
    </row>
    <row r="51" spans="1:2">
      <c r="A51">
        <v>2.3277389999999998</v>
      </c>
      <c r="B51">
        <v>77.173766999999998</v>
      </c>
    </row>
    <row r="52" spans="1:2">
      <c r="A52">
        <v>0</v>
      </c>
      <c r="B52">
        <v>0</v>
      </c>
    </row>
    <row r="53" spans="1:2">
      <c r="A53">
        <v>0</v>
      </c>
      <c r="B53">
        <v>0</v>
      </c>
    </row>
    <row r="54" spans="1:2">
      <c r="A54">
        <v>2.1902509999999999</v>
      </c>
      <c r="B54">
        <v>74.688537999999994</v>
      </c>
    </row>
    <row r="55" spans="1:2">
      <c r="A55">
        <v>0</v>
      </c>
      <c r="B55">
        <v>0</v>
      </c>
    </row>
    <row r="56" spans="1:2">
      <c r="A56">
        <v>0</v>
      </c>
      <c r="B56">
        <v>0</v>
      </c>
    </row>
    <row r="57" spans="1:2">
      <c r="A57">
        <v>2.3373870000000001</v>
      </c>
      <c r="B57">
        <v>72.987037999999998</v>
      </c>
    </row>
    <row r="58" spans="1:2">
      <c r="A58">
        <v>0</v>
      </c>
      <c r="B58">
        <v>0</v>
      </c>
    </row>
    <row r="59" spans="1:2">
      <c r="A59">
        <v>2.0642209999999999</v>
      </c>
      <c r="B59">
        <v>71.098595000000003</v>
      </c>
    </row>
    <row r="60" spans="1:2">
      <c r="A60">
        <v>0</v>
      </c>
      <c r="B60">
        <v>0</v>
      </c>
    </row>
    <row r="61" spans="1:2">
      <c r="A61">
        <v>0</v>
      </c>
      <c r="B61">
        <v>0</v>
      </c>
    </row>
    <row r="62" spans="1:2">
      <c r="A62">
        <v>2.1123620000000001</v>
      </c>
      <c r="B62">
        <v>68.735275000000001</v>
      </c>
    </row>
    <row r="63" spans="1:2">
      <c r="A63">
        <v>0</v>
      </c>
      <c r="B63">
        <v>0</v>
      </c>
    </row>
    <row r="64" spans="1:2">
      <c r="A64">
        <v>2.2084419999999998</v>
      </c>
      <c r="B64">
        <v>66.377685999999997</v>
      </c>
    </row>
    <row r="65" spans="1:2">
      <c r="A65">
        <v>0</v>
      </c>
      <c r="B65">
        <v>0</v>
      </c>
    </row>
    <row r="66" spans="1:2">
      <c r="A66">
        <v>0</v>
      </c>
      <c r="B66">
        <v>0</v>
      </c>
    </row>
    <row r="67" spans="1:2">
      <c r="A67">
        <v>2.1452260000000001</v>
      </c>
      <c r="B67">
        <v>64.765525999999994</v>
      </c>
    </row>
    <row r="68" spans="1:2">
      <c r="A68">
        <v>0</v>
      </c>
      <c r="B68">
        <v>0</v>
      </c>
    </row>
    <row r="69" spans="1:2">
      <c r="A69">
        <v>2.038894</v>
      </c>
      <c r="B69">
        <v>63.064521999999997</v>
      </c>
    </row>
    <row r="70" spans="1:2">
      <c r="A70">
        <v>0</v>
      </c>
      <c r="B70">
        <v>0</v>
      </c>
    </row>
    <row r="71" spans="1:2">
      <c r="A71">
        <v>0</v>
      </c>
      <c r="B71">
        <v>0</v>
      </c>
    </row>
    <row r="72" spans="1:2">
      <c r="A72">
        <v>1.824322</v>
      </c>
      <c r="B72">
        <v>61.519295</v>
      </c>
    </row>
    <row r="73" spans="1:2">
      <c r="A73">
        <v>0</v>
      </c>
      <c r="B73">
        <v>0</v>
      </c>
    </row>
    <row r="74" spans="1:2">
      <c r="A74">
        <v>0</v>
      </c>
      <c r="B74">
        <v>0</v>
      </c>
    </row>
    <row r="75" spans="1:2">
      <c r="A75">
        <v>1.8293470000000001</v>
      </c>
      <c r="B75">
        <v>61.188042000000003</v>
      </c>
    </row>
    <row r="76" spans="1:2">
      <c r="A76">
        <v>0</v>
      </c>
      <c r="B76">
        <v>0</v>
      </c>
    </row>
    <row r="77" spans="1:2">
      <c r="A77">
        <v>1.7782910000000001</v>
      </c>
      <c r="B77">
        <v>62.508442000000002</v>
      </c>
    </row>
    <row r="78" spans="1:2">
      <c r="A78">
        <v>0</v>
      </c>
      <c r="B78">
        <v>0</v>
      </c>
    </row>
    <row r="79" spans="1:2">
      <c r="A79">
        <v>0</v>
      </c>
      <c r="B79">
        <v>0</v>
      </c>
    </row>
    <row r="80" spans="1:2">
      <c r="A80">
        <v>1.8356779999999999</v>
      </c>
      <c r="B80">
        <v>64.359200000000001</v>
      </c>
    </row>
    <row r="81" spans="1:2">
      <c r="A81">
        <v>0</v>
      </c>
      <c r="B81">
        <v>0</v>
      </c>
    </row>
    <row r="82" spans="1:2">
      <c r="A82">
        <v>1.7304520000000001</v>
      </c>
      <c r="B82">
        <v>65.903914999999998</v>
      </c>
    </row>
    <row r="83" spans="1:2">
      <c r="A83">
        <v>0</v>
      </c>
      <c r="B83">
        <v>0</v>
      </c>
    </row>
    <row r="84" spans="1:2">
      <c r="A84">
        <v>0</v>
      </c>
      <c r="B84">
        <v>0</v>
      </c>
    </row>
    <row r="85" spans="1:2">
      <c r="A85">
        <v>1.424121</v>
      </c>
      <c r="B85">
        <v>66.830855999999997</v>
      </c>
    </row>
    <row r="86" spans="1:2">
      <c r="A86">
        <v>0</v>
      </c>
      <c r="B86">
        <v>0</v>
      </c>
    </row>
    <row r="87" spans="1:2">
      <c r="A87">
        <v>0</v>
      </c>
      <c r="B87">
        <v>0</v>
      </c>
    </row>
    <row r="88" spans="1:2">
      <c r="A88">
        <v>1.3723620000000001</v>
      </c>
      <c r="B88">
        <v>66.521805000000001</v>
      </c>
    </row>
    <row r="89" spans="1:2">
      <c r="A89">
        <v>0</v>
      </c>
      <c r="B89">
        <v>0</v>
      </c>
    </row>
    <row r="90" spans="1:2">
      <c r="A90">
        <v>1.861809</v>
      </c>
      <c r="B90">
        <v>65.706230000000005</v>
      </c>
    </row>
    <row r="91" spans="1:2">
      <c r="A91">
        <v>0</v>
      </c>
      <c r="B91">
        <v>0</v>
      </c>
    </row>
    <row r="92" spans="1:2">
      <c r="A92">
        <v>0</v>
      </c>
      <c r="B92">
        <v>0</v>
      </c>
    </row>
    <row r="93" spans="1:2">
      <c r="A93">
        <v>1.9226129999999999</v>
      </c>
      <c r="B93">
        <v>64.044021999999998</v>
      </c>
    </row>
    <row r="94" spans="1:2">
      <c r="A94">
        <v>0</v>
      </c>
      <c r="B94">
        <v>0</v>
      </c>
    </row>
    <row r="95" spans="1:2">
      <c r="A95">
        <v>2.0011060000000001</v>
      </c>
      <c r="B95">
        <v>62.438189999999999</v>
      </c>
    </row>
    <row r="96" spans="1:2">
      <c r="A96">
        <v>0</v>
      </c>
      <c r="B96">
        <v>0</v>
      </c>
    </row>
    <row r="97" spans="1:2">
      <c r="A97">
        <v>0</v>
      </c>
      <c r="B97">
        <v>0</v>
      </c>
    </row>
    <row r="98" spans="1:2">
      <c r="A98">
        <v>2.2323620000000002</v>
      </c>
      <c r="B98">
        <v>60.609344</v>
      </c>
    </row>
    <row r="99" spans="1:2">
      <c r="A99">
        <v>0</v>
      </c>
      <c r="B99">
        <v>0</v>
      </c>
    </row>
    <row r="100" spans="1:2">
      <c r="A100">
        <v>2.3577889999999999</v>
      </c>
      <c r="B100">
        <v>58.677990000000001</v>
      </c>
    </row>
    <row r="101" spans="1:2">
      <c r="A101">
        <v>0</v>
      </c>
      <c r="B101">
        <v>0</v>
      </c>
    </row>
    <row r="102" spans="1:2">
      <c r="A102">
        <v>0</v>
      </c>
      <c r="B102">
        <v>0</v>
      </c>
    </row>
    <row r="103" spans="1:2">
      <c r="A103">
        <v>3.2209050000000001</v>
      </c>
      <c r="B103">
        <v>56.497889999999998</v>
      </c>
    </row>
    <row r="104" spans="1:2">
      <c r="A104">
        <v>0</v>
      </c>
      <c r="B104">
        <v>0</v>
      </c>
    </row>
    <row r="105" spans="1:2">
      <c r="A105">
        <v>0</v>
      </c>
      <c r="B105">
        <v>0</v>
      </c>
    </row>
    <row r="106" spans="1:2">
      <c r="A106">
        <v>3.353065</v>
      </c>
      <c r="B106">
        <v>54.911659</v>
      </c>
    </row>
    <row r="107" spans="1:2">
      <c r="A107">
        <v>0</v>
      </c>
      <c r="B107">
        <v>0</v>
      </c>
    </row>
    <row r="108" spans="1:2">
      <c r="A108">
        <v>3.9510550000000002</v>
      </c>
      <c r="B108">
        <v>53.507438999999998</v>
      </c>
    </row>
    <row r="109" spans="1:2">
      <c r="A109">
        <v>0</v>
      </c>
      <c r="B109">
        <v>0</v>
      </c>
    </row>
    <row r="110" spans="1:2">
      <c r="A110">
        <v>0</v>
      </c>
      <c r="B110">
        <v>0</v>
      </c>
    </row>
    <row r="111" spans="1:2">
      <c r="A111">
        <v>4.0797990000000004</v>
      </c>
      <c r="B111">
        <v>52.596283</v>
      </c>
    </row>
    <row r="112" spans="1:2">
      <c r="A112">
        <v>0</v>
      </c>
      <c r="B112">
        <v>0</v>
      </c>
    </row>
    <row r="113" spans="1:2">
      <c r="A113">
        <v>5.1367839999999996</v>
      </c>
      <c r="B113">
        <v>52.080502000000003</v>
      </c>
    </row>
    <row r="114" spans="1:2">
      <c r="A114">
        <v>0</v>
      </c>
      <c r="B114">
        <v>0</v>
      </c>
    </row>
    <row r="115" spans="1:2">
      <c r="A115">
        <v>0</v>
      </c>
      <c r="B115">
        <v>0</v>
      </c>
    </row>
    <row r="116" spans="1:2">
      <c r="A116">
        <v>6.5100499999999997</v>
      </c>
      <c r="B116">
        <v>51.443516000000002</v>
      </c>
    </row>
    <row r="117" spans="1:2">
      <c r="A117">
        <v>0</v>
      </c>
      <c r="B117">
        <v>0</v>
      </c>
    </row>
    <row r="118" spans="1:2">
      <c r="A118">
        <v>8.2784929999999992</v>
      </c>
      <c r="B118">
        <v>50.665225999999997</v>
      </c>
    </row>
    <row r="119" spans="1:2">
      <c r="A119">
        <v>0</v>
      </c>
      <c r="B119">
        <v>0</v>
      </c>
    </row>
    <row r="120" spans="1:2">
      <c r="A120">
        <v>0</v>
      </c>
      <c r="B120">
        <v>0</v>
      </c>
    </row>
    <row r="121" spans="1:2">
      <c r="A121">
        <v>9.9974869999999996</v>
      </c>
      <c r="B121">
        <v>49.818893000000003</v>
      </c>
    </row>
    <row r="122" spans="1:2">
      <c r="A122">
        <v>0</v>
      </c>
      <c r="B122">
        <v>0</v>
      </c>
    </row>
    <row r="123" spans="1:2">
      <c r="A123">
        <v>0</v>
      </c>
      <c r="B123">
        <v>0</v>
      </c>
    </row>
    <row r="124" spans="1:2">
      <c r="A124">
        <v>10.976482000000001</v>
      </c>
      <c r="B124">
        <v>49.070552999999997</v>
      </c>
    </row>
    <row r="125" spans="1:2">
      <c r="A125">
        <v>0</v>
      </c>
      <c r="B125">
        <v>0</v>
      </c>
    </row>
    <row r="126" spans="1:2">
      <c r="A126">
        <v>11.709346</v>
      </c>
      <c r="B126">
        <v>48.020401</v>
      </c>
    </row>
    <row r="127" spans="1:2">
      <c r="A127">
        <v>0</v>
      </c>
      <c r="B127">
        <v>0</v>
      </c>
    </row>
    <row r="128" spans="1:2">
      <c r="A128">
        <v>0</v>
      </c>
      <c r="B128">
        <v>0</v>
      </c>
    </row>
    <row r="129" spans="1:2">
      <c r="A129">
        <v>12.720803</v>
      </c>
      <c r="B129">
        <v>46.676884000000001</v>
      </c>
    </row>
    <row r="130" spans="1:2">
      <c r="A130">
        <v>0</v>
      </c>
      <c r="B130">
        <v>0</v>
      </c>
    </row>
    <row r="131" spans="1:2">
      <c r="A131">
        <v>13.512362</v>
      </c>
      <c r="B131">
        <v>45.316284000000003</v>
      </c>
    </row>
    <row r="132" spans="1:2">
      <c r="A132">
        <v>0</v>
      </c>
      <c r="B132">
        <v>0</v>
      </c>
    </row>
    <row r="133" spans="1:2">
      <c r="A133">
        <v>0</v>
      </c>
      <c r="B133">
        <v>0</v>
      </c>
    </row>
    <row r="134" spans="1:2">
      <c r="A134">
        <v>14.07799</v>
      </c>
      <c r="B134">
        <v>43.832259999999998</v>
      </c>
    </row>
    <row r="135" spans="1:2">
      <c r="A135">
        <v>0</v>
      </c>
      <c r="B135">
        <v>0</v>
      </c>
    </row>
    <row r="136" spans="1:2">
      <c r="A136">
        <v>15.970151</v>
      </c>
      <c r="B136">
        <v>41.793467999999997</v>
      </c>
    </row>
    <row r="137" spans="1:2">
      <c r="A137">
        <v>0</v>
      </c>
      <c r="B137">
        <v>0</v>
      </c>
    </row>
    <row r="138" spans="1:2">
      <c r="A138">
        <v>0</v>
      </c>
      <c r="B138">
        <v>0</v>
      </c>
    </row>
    <row r="139" spans="1:2">
      <c r="A139">
        <v>17.15015</v>
      </c>
      <c r="B139">
        <v>38.972259999999999</v>
      </c>
    </row>
    <row r="140" spans="1:2">
      <c r="A140">
        <v>0</v>
      </c>
      <c r="B140">
        <v>0</v>
      </c>
    </row>
    <row r="141" spans="1:2">
      <c r="A141">
        <v>0</v>
      </c>
      <c r="B141">
        <v>0</v>
      </c>
    </row>
    <row r="142" spans="1:2">
      <c r="A142">
        <v>19.364018999999999</v>
      </c>
      <c r="B142">
        <v>36.168441999999999</v>
      </c>
    </row>
    <row r="143" spans="1:2">
      <c r="A143">
        <v>0</v>
      </c>
      <c r="B143">
        <v>0</v>
      </c>
    </row>
    <row r="144" spans="1:2">
      <c r="A144">
        <v>22.21377</v>
      </c>
      <c r="B144">
        <v>33.198292000000002</v>
      </c>
    </row>
    <row r="145" spans="1:2">
      <c r="A145">
        <v>0</v>
      </c>
      <c r="B145">
        <v>0</v>
      </c>
    </row>
    <row r="146" spans="1:2">
      <c r="A146">
        <v>0</v>
      </c>
      <c r="B146">
        <v>0</v>
      </c>
    </row>
    <row r="147" spans="1:2">
      <c r="A147">
        <v>22.993368</v>
      </c>
      <c r="B147">
        <v>29.997890000000002</v>
      </c>
    </row>
    <row r="148" spans="1:2">
      <c r="A148">
        <v>0</v>
      </c>
      <c r="B148">
        <v>0</v>
      </c>
    </row>
    <row r="149" spans="1:2">
      <c r="A149">
        <v>23.005527000000001</v>
      </c>
      <c r="B149">
        <v>27.180603000000001</v>
      </c>
    </row>
    <row r="150" spans="1:2">
      <c r="A150">
        <v>0</v>
      </c>
      <c r="B150">
        <v>0</v>
      </c>
    </row>
    <row r="151" spans="1:2">
      <c r="A151">
        <v>0</v>
      </c>
      <c r="B151">
        <v>0</v>
      </c>
    </row>
    <row r="152" spans="1:2">
      <c r="A152">
        <v>22.664121999999999</v>
      </c>
      <c r="B152">
        <v>24.477688000000001</v>
      </c>
    </row>
    <row r="153" spans="1:2">
      <c r="A153">
        <v>0</v>
      </c>
      <c r="B153">
        <v>0</v>
      </c>
    </row>
    <row r="154" spans="1:2">
      <c r="A154">
        <v>21.738291</v>
      </c>
      <c r="B154">
        <v>22.110250000000001</v>
      </c>
    </row>
    <row r="155" spans="1:2">
      <c r="A155">
        <v>0</v>
      </c>
      <c r="B155">
        <v>0</v>
      </c>
    </row>
    <row r="156" spans="1:2">
      <c r="A156">
        <v>0</v>
      </c>
      <c r="B156">
        <v>0</v>
      </c>
    </row>
    <row r="157" spans="1:2">
      <c r="A157">
        <v>21.725023</v>
      </c>
      <c r="B157">
        <v>19.891055999999999</v>
      </c>
    </row>
    <row r="158" spans="1:2">
      <c r="A158">
        <v>0</v>
      </c>
      <c r="B158">
        <v>0</v>
      </c>
    </row>
    <row r="159" spans="1:2">
      <c r="A159">
        <v>0</v>
      </c>
      <c r="B159">
        <v>0</v>
      </c>
    </row>
    <row r="160" spans="1:2">
      <c r="A160">
        <v>22.074572</v>
      </c>
      <c r="B160">
        <v>17.714272000000001</v>
      </c>
    </row>
    <row r="161" spans="1:2">
      <c r="A161">
        <v>0</v>
      </c>
      <c r="B161">
        <v>0</v>
      </c>
    </row>
    <row r="162" spans="1:2">
      <c r="A162">
        <v>22.535478999999999</v>
      </c>
      <c r="B162">
        <v>15.553668</v>
      </c>
    </row>
    <row r="163" spans="1:2">
      <c r="A163">
        <v>0</v>
      </c>
      <c r="B163">
        <v>0</v>
      </c>
    </row>
    <row r="164" spans="1:2">
      <c r="A164">
        <v>0</v>
      </c>
      <c r="B164">
        <v>0</v>
      </c>
    </row>
    <row r="165" spans="1:2">
      <c r="A165">
        <v>25.194171999999998</v>
      </c>
      <c r="B165">
        <v>13.444523</v>
      </c>
    </row>
    <row r="166" spans="1:2">
      <c r="A166">
        <v>0</v>
      </c>
      <c r="B166">
        <v>0</v>
      </c>
    </row>
    <row r="167" spans="1:2">
      <c r="A167">
        <v>25.757587000000001</v>
      </c>
      <c r="B167">
        <v>11.428442</v>
      </c>
    </row>
    <row r="168" spans="1:2">
      <c r="A168">
        <v>0</v>
      </c>
      <c r="B168">
        <v>0</v>
      </c>
    </row>
    <row r="169" spans="1:2">
      <c r="A169">
        <v>0</v>
      </c>
      <c r="B169">
        <v>0</v>
      </c>
    </row>
    <row r="170" spans="1:2">
      <c r="A170">
        <v>25.038392999999999</v>
      </c>
      <c r="B170">
        <v>9.6198999999999995</v>
      </c>
    </row>
    <row r="171" spans="1:2">
      <c r="A171">
        <v>0</v>
      </c>
      <c r="B171">
        <v>0</v>
      </c>
    </row>
    <row r="172" spans="1:2">
      <c r="A172">
        <v>0</v>
      </c>
      <c r="B172">
        <v>7.9684419999999996</v>
      </c>
    </row>
    <row r="173" spans="1:2">
      <c r="A173">
        <v>24.787337999999998</v>
      </c>
      <c r="B173">
        <v>0</v>
      </c>
    </row>
    <row r="174" spans="1:2">
      <c r="A174">
        <v>0</v>
      </c>
      <c r="B174">
        <v>0</v>
      </c>
    </row>
    <row r="175" spans="1:2">
      <c r="A175">
        <v>22.744523999999998</v>
      </c>
      <c r="B175">
        <v>6.5244220000000004</v>
      </c>
    </row>
    <row r="176" spans="1:2">
      <c r="A176">
        <v>0</v>
      </c>
      <c r="B176">
        <v>0</v>
      </c>
    </row>
    <row r="177" spans="1:2">
      <c r="A177">
        <v>0</v>
      </c>
      <c r="B177">
        <v>0</v>
      </c>
    </row>
    <row r="178" spans="1:2">
      <c r="A178">
        <v>22.358692000000001</v>
      </c>
      <c r="B178">
        <v>5.24</v>
      </c>
    </row>
    <row r="179" spans="1:2">
      <c r="A179">
        <v>0</v>
      </c>
      <c r="B179">
        <v>0</v>
      </c>
    </row>
    <row r="180" spans="1:2">
      <c r="A180">
        <v>19.773066</v>
      </c>
      <c r="B180">
        <v>4.107437</v>
      </c>
    </row>
    <row r="181" spans="1:2">
      <c r="A181">
        <v>0</v>
      </c>
      <c r="B181">
        <v>0</v>
      </c>
    </row>
    <row r="182" spans="1:2">
      <c r="A182">
        <v>0</v>
      </c>
      <c r="B182">
        <v>0</v>
      </c>
    </row>
    <row r="183" spans="1:2">
      <c r="A183">
        <v>17.798492</v>
      </c>
      <c r="B183">
        <v>3.1613060000000002</v>
      </c>
    </row>
    <row r="184" spans="1:2">
      <c r="A184">
        <v>0</v>
      </c>
      <c r="B184">
        <v>0</v>
      </c>
    </row>
    <row r="185" spans="1:2">
      <c r="A185">
        <v>15.933064999999999</v>
      </c>
      <c r="B185">
        <v>2.3276379999999999</v>
      </c>
    </row>
    <row r="186" spans="1:2">
      <c r="A186">
        <v>0</v>
      </c>
      <c r="B186">
        <v>0</v>
      </c>
    </row>
    <row r="187" spans="1:2">
      <c r="A187">
        <v>0</v>
      </c>
      <c r="B187">
        <v>0</v>
      </c>
    </row>
    <row r="188" spans="1:2">
      <c r="A188">
        <v>15.758291</v>
      </c>
      <c r="B188">
        <v>1.6630149999999999</v>
      </c>
    </row>
    <row r="189" spans="1:2">
      <c r="A189">
        <v>0</v>
      </c>
      <c r="B189">
        <v>0</v>
      </c>
    </row>
    <row r="190" spans="1:2">
      <c r="A190">
        <v>0</v>
      </c>
      <c r="B190">
        <v>0</v>
      </c>
    </row>
    <row r="191" spans="1:2">
      <c r="A191">
        <v>13.913869999999999</v>
      </c>
      <c r="B191">
        <v>1.1494470000000001</v>
      </c>
    </row>
    <row r="192" spans="1:2">
      <c r="A192">
        <v>0</v>
      </c>
      <c r="B192">
        <v>0</v>
      </c>
    </row>
    <row r="193" spans="1:2">
      <c r="A193">
        <v>13.929546999999999</v>
      </c>
      <c r="B193">
        <v>0.75427100000000002</v>
      </c>
    </row>
    <row r="194" spans="1:2">
      <c r="A194">
        <v>0</v>
      </c>
      <c r="B194">
        <v>0</v>
      </c>
    </row>
    <row r="195" spans="1:2">
      <c r="A195">
        <v>0</v>
      </c>
      <c r="B195">
        <v>0</v>
      </c>
    </row>
    <row r="196" spans="1:2">
      <c r="A196">
        <v>10.388744000000001</v>
      </c>
      <c r="B196">
        <v>0.47386899999999998</v>
      </c>
    </row>
    <row r="197" spans="1:2">
      <c r="A197">
        <v>0</v>
      </c>
      <c r="B197">
        <v>0</v>
      </c>
    </row>
    <row r="198" spans="1:2">
      <c r="A198">
        <v>9.6664320000000004</v>
      </c>
      <c r="B198">
        <v>0.32542700000000002</v>
      </c>
    </row>
    <row r="199" spans="1:2">
      <c r="A199">
        <v>0</v>
      </c>
      <c r="B199">
        <v>0</v>
      </c>
    </row>
    <row r="200" spans="1:2">
      <c r="A200">
        <v>0</v>
      </c>
      <c r="B200">
        <v>0</v>
      </c>
    </row>
    <row r="201" spans="1:2">
      <c r="A201">
        <v>6.992864</v>
      </c>
      <c r="B201">
        <v>0.196884</v>
      </c>
    </row>
    <row r="202" spans="1:2">
      <c r="A202">
        <v>0</v>
      </c>
      <c r="B202">
        <v>0</v>
      </c>
    </row>
    <row r="203" spans="1:2">
      <c r="A203">
        <v>4.8737690000000002</v>
      </c>
      <c r="B203">
        <v>0.12623100000000001</v>
      </c>
    </row>
    <row r="204" spans="1:2">
      <c r="A204">
        <v>0</v>
      </c>
      <c r="B204">
        <v>0</v>
      </c>
    </row>
    <row r="205" spans="1:2">
      <c r="A205">
        <v>0</v>
      </c>
      <c r="B205">
        <v>0</v>
      </c>
    </row>
    <row r="206" spans="1:2">
      <c r="A206">
        <v>3.4248240000000001</v>
      </c>
      <c r="B206">
        <v>6.9446999999999995E-2</v>
      </c>
    </row>
    <row r="207" spans="1:2">
      <c r="A207">
        <v>0</v>
      </c>
      <c r="B207">
        <v>0</v>
      </c>
    </row>
    <row r="208" spans="1:2">
      <c r="A208">
        <v>0</v>
      </c>
      <c r="B208">
        <v>0</v>
      </c>
    </row>
    <row r="209" spans="1:2">
      <c r="A209">
        <v>2.2635179999999999</v>
      </c>
      <c r="B209">
        <v>3.397E-2</v>
      </c>
    </row>
    <row r="210" spans="1:2">
      <c r="A210">
        <v>0</v>
      </c>
      <c r="B210">
        <v>0</v>
      </c>
    </row>
    <row r="211" spans="1:2">
      <c r="A211">
        <v>1.4503520000000001</v>
      </c>
      <c r="B211">
        <v>1.7587999999999999E-2</v>
      </c>
    </row>
    <row r="212" spans="1:2">
      <c r="A212">
        <v>0</v>
      </c>
      <c r="B212">
        <v>0</v>
      </c>
    </row>
    <row r="213" spans="1:2">
      <c r="A213">
        <v>0</v>
      </c>
      <c r="B213">
        <v>0</v>
      </c>
    </row>
    <row r="214" spans="1:2">
      <c r="A214">
        <v>0.54371899999999995</v>
      </c>
      <c r="B214">
        <v>5.9300000000000004E-3</v>
      </c>
    </row>
    <row r="215" spans="1:2">
      <c r="A215">
        <v>0</v>
      </c>
      <c r="B215">
        <v>0</v>
      </c>
    </row>
    <row r="216" spans="1:2">
      <c r="A216">
        <v>0.119698</v>
      </c>
      <c r="B216">
        <v>1.106E-3</v>
      </c>
    </row>
    <row r="217" spans="1:2">
      <c r="A217">
        <v>0</v>
      </c>
      <c r="B217">
        <v>0</v>
      </c>
    </row>
    <row r="218" spans="1:2">
      <c r="A218">
        <v>0</v>
      </c>
      <c r="B218">
        <v>0</v>
      </c>
    </row>
    <row r="219" spans="1:2">
      <c r="A219">
        <v>1.0854000000000001E-2</v>
      </c>
      <c r="B219">
        <v>1.01E-4</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0.133388247175697
0.13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0.13338824717569686</v>
      </c>
      <c r="I4" s="322">
        <f>IF(Measurement!AQ7&lt;&gt;"",NORMSDIST((H6-$B$2)/$B$3)*100,"")</f>
        <v>64.209626473818318</v>
      </c>
      <c r="J4" t="str">
        <f>Measurement!AR7</f>
        <v>건강</v>
      </c>
    </row>
    <row r="5" spans="1:11">
      <c r="B5" s="171">
        <v>-10</v>
      </c>
      <c r="C5" s="171">
        <f>NORMSDIST(($B5-$B$2)/$B$3)*100</f>
        <v>7.1097265868555281E-5</v>
      </c>
      <c r="G5" t="s">
        <v>1539</v>
      </c>
      <c r="H5" s="320">
        <f>IF(Measurement!AQ7&lt;-7,-7,Measurement!AQ7)</f>
        <v>0.13338824717569686</v>
      </c>
      <c r="I5" s="321">
        <f>IF(Measurement!AQ7&lt;&gt;"",0,"")</f>
        <v>0</v>
      </c>
    </row>
    <row r="6" spans="1:11">
      <c r="B6" s="171">
        <f>B5+0.1</f>
        <v>-9.9</v>
      </c>
      <c r="C6" s="171">
        <f t="shared" ref="C6:C57" si="0">NORMSDIST(($B6-$B$2)/$B$3)*100</f>
        <v>9.1781224195367343E-5</v>
      </c>
      <c r="H6" s="320">
        <f>IF(Measurement!AQ7&lt;-7,-7,Measurement!AQ7)</f>
        <v>0.13338824717569686</v>
      </c>
      <c r="I6" s="321">
        <f>IF(Measurement!AQ7&lt;&gt;"",NORMSDIST((H6-$B$2)/$B$3)*100,"")</f>
        <v>64.209626473818318</v>
      </c>
    </row>
    <row r="7" spans="1:11">
      <c r="B7" s="171">
        <f t="shared" ref="B7:B70" si="1">B6+0.1</f>
        <v>-9.8000000000000007</v>
      </c>
      <c r="C7" s="171">
        <f t="shared" si="0"/>
        <v>1.1818368021892541E-4</v>
      </c>
      <c r="D7" s="171"/>
      <c r="H7" s="320">
        <f>IF(Measurement!AQ7&lt;&gt;"",-7,"")</f>
        <v>-7</v>
      </c>
      <c r="I7" s="321">
        <f>IF(Measurement!AQ7&lt;&gt;"",NORMSDIST((H6-$B$2)/$B$3)*100,"")</f>
        <v>64.209626473818318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35.35</v>
      </c>
      <c r="V4" t="s">
        <v>1218</v>
      </c>
    </row>
    <row r="5" spans="1:29">
      <c r="B5" s="171">
        <v>0</v>
      </c>
      <c r="C5" s="171">
        <f>NORMSDIST(($B5-$B$2)/$B$3)*100</f>
        <v>1.2153167836658598</v>
      </c>
      <c r="H5">
        <f>info!W36</f>
        <v>35.35098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35.35098</v>
      </c>
      <c r="I6" s="171">
        <f>NORMSDIST((H6-$B$2)/$B$3)*100</f>
        <v>25.466998748618053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25.466998748618053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2.9292799999999999</v>
      </c>
    </row>
    <row r="3" spans="1:11" ht="18">
      <c r="A3" s="71" t="s">
        <v>1065</v>
      </c>
      <c r="B3" s="557">
        <v>0.71290976993199895</v>
      </c>
      <c r="C3" s="523"/>
      <c r="H3" s="561" t="s">
        <v>2223</v>
      </c>
      <c r="I3" s="562">
        <f>IF(I2=0,0,NORMSDIST((I2-$B$2)/$B$3)*100)</f>
        <v>92.559860459211379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2.93</v>
      </c>
    </row>
    <row r="6" spans="1:11">
      <c r="B6" s="23">
        <v>0</v>
      </c>
      <c r="C6" s="23">
        <f>NORMSDIST(($B6-$B$2)/$B$3)*100</f>
        <v>0.38478836223957635</v>
      </c>
      <c r="H6" s="205">
        <f>IF(info!V36&gt;I1,I1,info!V36)</f>
        <v>2.9292799999999999</v>
      </c>
      <c r="I6" s="560">
        <v>0</v>
      </c>
    </row>
    <row r="7" spans="1:11">
      <c r="B7" s="23">
        <f>B5+0.05</f>
        <v>0</v>
      </c>
      <c r="C7" s="23">
        <f t="shared" ref="C7:E58" si="0">NORMSDIST(($B7-$B$2)/$B$3)*100</f>
        <v>0.38478836223957635</v>
      </c>
      <c r="H7" s="205">
        <f>IF(info!V36&gt;I1,I1,info!V36)</f>
        <v>2.9292799999999999</v>
      </c>
      <c r="I7" s="560">
        <f>NORMSDIST((H7-$B$2)/$B$3)*100</f>
        <v>92.559860459211379</v>
      </c>
    </row>
    <row r="8" spans="1:11">
      <c r="B8" s="23">
        <f t="shared" ref="B8:B71" si="1">B7+0.05</f>
        <v>0.05</v>
      </c>
      <c r="C8" s="23">
        <f t="shared" si="0"/>
        <v>0.47295624138584591</v>
      </c>
      <c r="D8" s="171"/>
      <c r="H8" s="205">
        <v>0</v>
      </c>
      <c r="I8" s="560">
        <f>NORMSDIST((H7-$B$2)/$B$3)*100</f>
        <v>92.559860459211379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감정변이도2.93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2.9292799999999999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2.9292799999999999</v>
      </c>
      <c r="I6" s="171">
        <f>NORMSDIST((H6-$B$2)/$B$3)*100</f>
        <v>0.128852728503347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0.128852728503347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45854.55195601852</v>
      </c>
      <c r="I7" s="876"/>
      <c r="J7" s="877"/>
      <c r="K7" s="166" t="str">
        <f>lang!B160</f>
        <v>나이</v>
      </c>
      <c r="L7" s="879" t="str">
        <f>IF(FH_info!B2="","", FH_info!T2)</f>
        <v>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TrZN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45854.55195601852</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TrZN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2025-07-16T04:15:12Z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