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1fik^1^1^\"/>
    </mc:Choice>
  </mc:AlternateContent>
  <xr:revisionPtr revIDLastSave="0" documentId="13_ncr:1_{DD9EC0CA-DC55-4BFF-AD27-DB87BF94D96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39" s="1"/>
  <c r="L7" i="33" l="1"/>
  <c r="Q8" i="41"/>
  <c r="L7" i="43"/>
  <c r="Q8" i="45"/>
  <c r="L8" i="40"/>
  <c r="H8" i="33"/>
  <c r="L7" i="42"/>
  <c r="Q8" i="44"/>
  <c r="L7" i="46"/>
  <c r="L8" i="33"/>
  <c r="L8" i="39"/>
  <c r="L8" i="43"/>
  <c r="Q8" i="37"/>
  <c r="L7" i="39"/>
  <c r="Q2" i="14"/>
  <c r="H8" i="49"/>
  <c r="H8" i="30"/>
  <c r="Q8" i="33"/>
  <c r="L7" i="37"/>
  <c r="H8" i="38"/>
  <c r="Q8" i="39"/>
  <c r="L7" i="41"/>
  <c r="H8" i="42"/>
  <c r="Q8" i="43"/>
  <c r="L7" i="45"/>
  <c r="H8" i="46"/>
  <c r="L8" i="36"/>
  <c r="L8" i="44"/>
  <c r="L7" i="30"/>
  <c r="Q8" i="36"/>
  <c r="L7" i="38"/>
  <c r="Q8" i="40"/>
  <c r="H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7" i="1" l="1"/>
  <c r="I32" i="48" s="1"/>
  <c r="L15" i="1"/>
  <c r="I40" i="48" s="1"/>
  <c r="L11" i="1"/>
  <c r="I36" i="48" s="1"/>
  <c r="L16" i="1"/>
  <c r="I41" i="48" s="1"/>
  <c r="L14" i="1"/>
  <c r="I39" i="48" s="1"/>
  <c r="L10" i="1"/>
  <c r="I35" i="48" s="1"/>
  <c r="L9" i="1"/>
  <c r="I34"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Y7" i="1" l="1"/>
  <c r="CA7" i="1"/>
  <c r="CD7" i="1"/>
  <c r="CB6" i="1" s="1"/>
  <c r="AS7" i="1"/>
  <c r="A71" i="32"/>
  <c r="A67" i="32"/>
  <c r="B53" i="24"/>
  <c r="D53" i="24" s="1"/>
  <c r="H4" i="21"/>
  <c r="H6" i="21"/>
  <c r="I6" i="21" s="1"/>
  <c r="H5" i="21"/>
  <c r="A9" i="17"/>
  <c r="C8" i="17"/>
  <c r="B8" i="17" s="1"/>
  <c r="V21" i="11"/>
  <c r="V52" i="11"/>
  <c r="X52" i="11" s="1"/>
  <c r="B46" i="25"/>
  <c r="G46" i="25" s="1"/>
  <c r="BW6" i="1"/>
  <c r="BY6" i="1"/>
  <c r="CA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9"/>
  <c r="O7" i="36"/>
  <c r="O7" i="46"/>
  <c r="O7" i="42"/>
  <c r="O7" i="38"/>
  <c r="O7" i="30"/>
  <c r="O7" i="43"/>
  <c r="O7" i="3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16" i="1" s="1"/>
  <c r="F209" i="11"/>
  <c r="B209" i="11"/>
  <c r="E209" i="11" s="1"/>
  <c r="A210" i="11"/>
  <c r="L41" i="48" l="1"/>
  <c r="L41" i="18"/>
  <c r="C212" i="17"/>
  <c r="B212" i="17" s="1"/>
  <c r="A213" i="17"/>
  <c r="F210" i="11"/>
  <c r="B210" i="11"/>
  <c r="E210" i="11" s="1"/>
  <c r="A211" i="11"/>
  <c r="Y10" i="1" l="1"/>
  <c r="Y9" i="1"/>
  <c r="Y13" i="1"/>
  <c r="Y7" i="1"/>
  <c r="Y11" i="1"/>
  <c r="C213" i="17"/>
  <c r="B213" i="17" s="1"/>
  <c r="Y14" i="1" s="1"/>
  <c r="A214" i="17"/>
  <c r="F211" i="11"/>
  <c r="A212" i="11"/>
  <c r="B211" i="11"/>
  <c r="E211" i="11" s="1"/>
  <c r="L39" i="48" l="1"/>
  <c r="L39" i="18"/>
  <c r="L32" i="48"/>
  <c r="L32" i="18"/>
  <c r="L38" i="48"/>
  <c r="L38" i="18"/>
  <c r="L34" i="48"/>
  <c r="L34" i="18"/>
  <c r="L36" i="48"/>
  <c r="L36"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2" i="1" l="1"/>
  <c r="CK19"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<sst xmlns="http://schemas.openxmlformats.org/spreadsheetml/2006/main" count="7311" uniqueCount="2585">
  <si>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</si>
  <si>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</si>
  <si>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</si>
  <si>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</si>
  <si>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</si>
  <si>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</si>
  <si>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</si>
  <si>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</si>
  <si>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</si>
  <si>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</si>
  <si>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</si>
  <si>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</si>
  <si>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</si>
  <si>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</si>
  <si>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</si>
  <si>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</si>
  <si>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</si>
  <si>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</si>
  <si>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</si>
  <si>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</si>
  <si>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</si>
  <si>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</si>
  <si>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</si>
  <si>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</si>
  <si>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</si>
  <si>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</si>
  <si>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</si>
  <si>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</si>
  <si>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</si>
  <si>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</si>
  <si>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</si>
  <si>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</si>
  <si>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</si>
  <si>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</si>
  <si>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</si>
  <si>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</si>
  <si>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</si>
  <si>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</si>
  <si>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</si>
  <si>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</si>
  <si>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</si>
  <si>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</si>
  <si>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</si>
  <si>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</si>
  <si>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</si>
  <si>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</si>
  <si>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</si>
  <si>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</si>
  <si>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</si>
  <si>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</si>
  <si>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</si>
  <si>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</si>
  <si>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</si>
  <si>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</si>
  <si>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</si>
  <si>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</si>
  <si>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</si>
  <si>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</si>
  <si>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</si>
  <si>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</si>
  <si>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</si>
  <si>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</si>
  <si>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</si>
  <si>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</si>
  <si>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</si>
  <si>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</si>
  <si>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</si>
  <si>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</si>
  <si>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</si>
  <si>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</si>
  <si>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</si>
  <si>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</si>
  <si>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</si>
  <si>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</si>
  <si>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</si>
  <si>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</si>
  <si>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</si>
  <si>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</si>
  <si>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</si>
  <si>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</si>
  <si>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</si>
  <si>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</si>
  <si>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</si>
  <si>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</si>
  <si>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</si>
  <si>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</si>
  <si>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</si>
  <si>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</si>
  <si>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</si>
  <si>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</si>
  <si>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</si>
  <si>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</si>
  <si>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</si>
  <si>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</si>
  <si>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</si>
  <si>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</si>
  <si>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</si>
  <si>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</si>
  <si>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</si>
  <si>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</si>
  <si>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</si>
  <si>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</si>
  <si>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</si>
  <si>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</si>
  <si>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</si>
  <si>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</si>
  <si>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</si>
  <si>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</si>
  <si>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</si>
  <si>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</si>
  <si>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</si>
  <si>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</si>
  <si>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</si>
  <si>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</si>
  <si>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</si>
  <si>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</si>
  <si>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</si>
  <si>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</si>
  <si>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</si>
  <si>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</si>
  <si>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</si>
  <si>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</si>
  <si>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</si>
  <si>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</si>
  <si>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</si>
  <si>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</si>
  <si>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</si>
  <si>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</si>
  <si>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</si>
  <si>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</si>
  <si>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</si>
  <si>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</si>
  <si>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</si>
  <si>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</si>
  <si>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</si>
  <si>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</si>
  <si>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</si>
  <si>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</si>
  <si>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</si>
  <si>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</si>
  <si>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</si>
  <si>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</si>
  <si>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</si>
  <si>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</si>
  <si>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</si>
  <si>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</si>
  <si>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</si>
  <si>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</si>
  <si>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</si>
  <si>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</si>
  <si>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</si>
  <si>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</si>
  <si>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</si>
  <si>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</si>
  <si>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</si>
  <si>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</si>
  <si>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</si>
  <si>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</si>
  <si>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</si>
  <si>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</si>
  <si>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</si>
  <si>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</si>
  <si>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</si>
  <si>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</si>
  <si>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</si>
  <si>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</si>
  <si>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</si>
  <si>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</si>
  <si>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</si>
  <si>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</si>
  <si>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</si>
  <si>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</si>
  <si>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</si>
  <si>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</si>
  <si>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</si>
  <si>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</si>
  <si>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</si>
  <si>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</si>
  <si>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</si>
  <si>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</si>
  <si>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</si>
  <si>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</si>
  <si>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</si>
  <si>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</si>
  <si>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</si>
  <si>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</si>
  <si>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</si>
  <si>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</si>
  <si>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</si>
  <si>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</si>
  <si>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</si>
  <si>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</si>
  <si>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</si>
  <si>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</si>
  <si>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</si>
  <si>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</si>
  <si>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</si>
  <si>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</si>
  <si>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</si>
  <si>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</si>
  <si>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</si>
  <si>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</si>
  <si>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</si>
  <si>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</si>
  <si>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</si>
  <si>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</si>
  <si>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</si>
  <si>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</si>
  <si>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</si>
  <si>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</si>
  <si>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</si>
  <si>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</si>
  <si>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</si>
  <si>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</si>
  <si>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</si>
  <si>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</si>
  <si>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</si>
  <si>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</si>
  <si>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</si>
  <si>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</si>
  <si>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</si>
  <si>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</si>
  <si>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</si>
  <si>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</si>
  <si>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</si>
  <si>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</si>
  <si>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</si>
  <si>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</si>
  <si>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</si>
  <si>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</si>
  <si>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</si>
  <si>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</si>
  <si>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</si>
  <si>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</si>
  <si>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</si>
  <si>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</si>
  <si>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</si>
  <si>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</si>
  <si>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</si>
  <si>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</si>
  <si>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</si>
  <si>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</si>
  <si>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</si>
  <si>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</si>
  <si>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</si>
  <si>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</si>
  <si>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</si>
  <si>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</si>
  <si>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</si>
  <si>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</si>
  <si>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</si>
  <si>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</si>
  <si>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</si>
  <si>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</si>
  <si>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</si>
  <si>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</si>
  <si>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</si>
  <si>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</si>
  <si>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</si>
  <si>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</si>
  <si>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</si>
  <si>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</si>
  <si>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</si>
  <si>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</si>
  <si>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</si>
  <si>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</si>
  <si>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</si>
  <si>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</si>
  <si>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</si>
  <si>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</si>
  <si>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</si>
  <si>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</si>
  <si>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</si>
  <si>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</si>
  <si>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</si>
  <si>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</si>
  <si>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</si>
  <si>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</si>
  <si>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</si>
  <si>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</si>
  <si>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</si>
  <si>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</si>
  <si>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</si>
  <si>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</si>
  <si>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</si>
  <si>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</si>
  <si>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</si>
  <si>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</si>
  <si>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</si>
  <si>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</si>
  <si>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</si>
  <si>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</si>
  <si>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</si>
  <si>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</si>
  <si>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</si>
  <si>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</si>
  <si>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</si>
  <si>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</si>
  <si>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</si>
  <si>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</si>
  <si>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</si>
  <si>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</si>
  <si>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</si>
  <si>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</si>
  <si>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</si>
  <si>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</si>
  <si>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</si>
  <si>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</si>
  <si>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</si>
  <si>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</si>
  <si>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</si>
  <si>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</si>
  <si>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</si>
  <si>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</si>
  <si>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</si>
  <si>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</si>
  <si>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</si>
  <si>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</si>
  <si>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</si>
  <si>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</si>
  <si>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</si>
  <si>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</si>
  <si>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</si>
  <si>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</si>
  <si>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</si>
  <si>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</si>
  <si>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</si>
  <si>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</si>
  <si>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</si>
  <si>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</si>
  <si>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</si>
  <si>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</si>
  <si>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</si>
  <si>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</si>
  <si>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</si>
  <si>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</si>
  <si>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</si>
  <si>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</si>
  <si>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</si>
  <si>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</si>
  <si>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</si>
  <si>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</si>
  <si>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</si>
  <si>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</si>
  <si>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</si>
  <si>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</si>
  <si>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</si>
  <si>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</si>
  <si>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</si>
  <si>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</si>
  <si>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</si>
  <si>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</si>
  <si>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</si>
  <si>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</si>
  <si>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</si>
  <si>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</si>
  <si>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</si>
  <si>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</si>
  <si>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</si>
  <si>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</si>
  <si>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</si>
  <si>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</si>
  <si>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</si>
  <si>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</si>
  <si>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</si>
  <si>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</si>
  <si>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</si>
  <si>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</si>
  <si>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</si>
  <si>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</si>
  <si>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</si>
  <si>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</si>
  <si>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</si>
  <si>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</si>
  <si>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</si>
  <si>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</si>
  <si>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</si>
  <si>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</si>
  <si>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</si>
  <si>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</si>
  <si>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</si>
  <si>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</si>
  <si>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</si>
  <si>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</si>
  <si>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</si>
  <si>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</si>
  <si>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</si>
  <si>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</si>
  <si>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</si>
  <si>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</si>
  <si>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</si>
  <si>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</si>
  <si>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</si>
  <si>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</si>
  <si>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</si>
  <si>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</si>
  <si>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</si>
  <si>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</si>
  <si>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</si>
  <si>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</si>
  <si>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</si>
  <si>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</si>
  <si>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</si>
  <si>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</si>
  <si>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</si>
  <si>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</si>
  <si>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</si>
  <si>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</si>
  <si>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</si>
  <si>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</si>
  <si>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</si>
  <si>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</si>
  <si>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</si>
  <si>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</si>
  <si>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</si>
  <si>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</si>
  <si>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</si>
  <si>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</si>
  <si>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</si>
  <si>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</si>
  <si>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</si>
  <si>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</si>
  <si>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</si>
  <si>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</si>
  <si>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</si>
  <si>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</si>
  <si>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</si>
  <si>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</si>
  <si>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</si>
  <si>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</si>
  <si>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</si>
  <si>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</si>
  <si>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</si>
  <si>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</si>
  <si>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</si>
  <si>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</si>
  <si>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</si>
  <si>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</si>
  <si>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</si>
  <si>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</si>
  <si>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</si>
  <si>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</si>
  <si>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</si>
  <si>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</si>
  <si>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</si>
  <si>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</si>
  <si>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</si>
  <si>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</si>
  <si>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</si>
  <si>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</si>
  <si>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</si>
  <si>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</si>
  <si>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</si>
  <si>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</si>
  <si>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</si>
  <si>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</si>
  <si>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</si>
  <si>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</si>
  <si>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</si>
  <si>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</si>
  <si>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</si>
  <si>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</si>
  <si>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</si>
  <si>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</si>
  <si>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</si>
  <si>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</si>
  <si>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</si>
  <si>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</si>
  <si>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</si>
  <si>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</si>
  <si>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</si>
  <si>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</si>
  <si>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</si>
  <si>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</si>
  <si>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</si>
  <si>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</si>
  <si>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</si>
  <si>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</si>
  <si>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</si>
  <si>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</si>
  <si>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</si>
  <si>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</si>
  <si>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</si>
  <si>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</si>
  <si>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</si>
  <si>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</si>
  <si>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</si>
  <si>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</si>
  <si>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</si>
  <si>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</si>
  <si>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</si>
  <si>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</si>
  <si>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</si>
  <si>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</si>
  <si>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</si>
  <si>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</si>
  <si>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</si>
  <si>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</si>
  <si>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</si>
  <si>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</si>
  <si>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</si>
  <si>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</si>
  <si>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</si>
  <si>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</si>
  <si>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</si>
  <si>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</si>
  <si>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</si>
  <si>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</si>
  <si>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</si>
  <si>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</si>
  <si>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</si>
  <si>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</si>
  <si>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</si>
  <si>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</si>
  <si>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</si>
  <si>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</si>
  <si>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</si>
  <si>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</si>
  <si>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</si>
  <si>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</si>
  <si>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</si>
  <si>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</si>
  <si>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</si>
  <si>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</si>
  <si>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</si>
  <si>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</si>
  <si>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</si>
  <si>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</si>
  <si>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</si>
  <si>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</si>
  <si>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</si>
  <si>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</si>
  <si>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</si>
  <si>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</si>
  <si>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</si>
  <si>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</si>
  <si>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</si>
  <si>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</si>
  <si>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</si>
  <si>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</si>
  <si>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</si>
  <si>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</si>
  <si>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</si>
  <si>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</si>
  <si>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</si>
  <si>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</si>
  <si>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</si>
  <si>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</si>
  <si>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</si>
  <si>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</si>
  <si>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</si>
  <si>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</si>
  <si>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</si>
  <si>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</si>
  <si>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</si>
  <si>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</si>
  <si>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</si>
  <si>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</si>
  <si>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</si>
  <si>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</si>
  <si>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</si>
  <si>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</si>
  <si>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</si>
  <si>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</si>
  <si>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</si>
  <si>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</si>
  <si>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</si>
  <si>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</si>
  <si>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</si>
  <si>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</si>
  <si>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</si>
  <si>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</si>
  <si>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</si>
  <si>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</si>
  <si>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</si>
  <si>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</si>
  <si>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</si>
  <si>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</si>
  <si>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</si>
  <si>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</si>
  <si>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</si>
  <si>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</si>
  <si>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</si>
  <si>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</si>
  <si>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</si>
  <si>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</si>
  <si>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</si>
  <si>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</si>
  <si>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</si>
  <si>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</si>
  <si>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</si>
  <si>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</si>
  <si>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</si>
  <si>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</si>
  <si>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</si>
  <si>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</si>
  <si>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</si>
  <si>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</si>
  <si>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</si>
  <si>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</si>
  <si>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</si>
  <si>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</si>
  <si>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</si>
  <si>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</si>
  <si>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</si>
  <si>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</si>
  <si>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</si>
  <si>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</si>
  <si>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</si>
  <si>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</si>
  <si>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</si>
  <si>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</si>
  <si>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</si>
  <si>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</si>
  <si>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</si>
  <si>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</si>
  <si>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</si>
  <si>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</si>
  <si>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</si>
  <si>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</si>
  <si>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</si>
  <si>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</si>
  <si>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</si>
  <si>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</si>
  <si>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</si>
  <si>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</si>
  <si>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</si>
  <si>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</si>
  <si>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</si>
  <si>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</si>
  <si>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</si>
  <si>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</si>
  <si>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</si>
  <si>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</si>
  <si>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</si>
  <si>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</si>
  <si>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</si>
  <si>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</si>
  <si>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</si>
  <si>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</si>
  <si>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</si>
  <si>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</si>
  <si>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</si>
  <si>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</si>
  <si>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</si>
  <si>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</si>
  <si>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</si>
  <si>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</si>
  <si>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</si>
  <si>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</si>
  <si>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</si>
  <si>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</si>
  <si>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</si>
  <si>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</si>
  <si>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</si>
  <si>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</si>
  <si>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</si>
  <si>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</si>
  <si>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</si>
  <si>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</si>
  <si>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</si>
  <si>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</si>
  <si>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</si>
  <si>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</si>
  <si>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</si>
  <si>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</si>
  <si>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</si>
  <si>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</si>
  <si>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</si>
  <si>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</si>
  <si>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</si>
  <si>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</si>
  <si>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</si>
  <si>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</si>
  <si>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</si>
  <si>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</si>
  <si>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</si>
  <si>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</si>
  <si>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</si>
  <si>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</si>
  <si>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</si>
  <si>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</si>
  <si>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</si>
  <si>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</si>
  <si>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</si>
  <si>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</si>
  <si>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</si>
  <si>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</si>
  <si>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</si>
  <si>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</si>
  <si>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</si>
  <si>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</si>
  <si>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</si>
  <si>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</si>
  <si>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</si>
  <si>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</si>
  <si>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</si>
  <si>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</si>
  <si>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</si>
  <si>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</si>
  <si>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</si>
  <si>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</si>
  <si>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</si>
  <si>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</si>
  <si>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</si>
  <si>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</si>
  <si>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</si>
  <si>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</si>
  <si>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</si>
  <si>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</si>
  <si>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</si>
  <si>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</si>
  <si>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</si>
  <si>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</si>
  <si>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</si>
  <si>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</si>
  <si>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</si>
  <si>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</si>
  <si>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</si>
  <si>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</si>
  <si>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</si>
  <si>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</si>
  <si>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</si>
  <si>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</si>
  <si>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</si>
  <si>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</si>
  <si>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</si>
  <si>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</si>
  <si>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</si>
  <si>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</si>
  <si>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</si>
  <si>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</si>
  <si>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</si>
  <si>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</si>
  <si>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</si>
  <si>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</si>
  <si>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</si>
  <si>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</si>
  <si>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</si>
  <si>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</si>
  <si>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</si>
  <si>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</si>
  <si>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</si>
  <si>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</si>
  <si>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</si>
  <si>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</si>
  <si>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</si>
  <si>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</si>
  <si>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</si>
  <si>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</si>
  <si>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</si>
  <si>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</si>
  <si>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</si>
  <si>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</si>
  <si>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</si>
  <si>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</si>
  <si>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</si>
  <si>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</si>
  <si>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</si>
  <si>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</si>
  <si>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</si>
  <si>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</si>
  <si>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</si>
  <si>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</si>
  <si>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</si>
  <si>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</si>
  <si>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</si>
  <si>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</si>
  <si>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</si>
  <si>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</si>
  <si>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</si>
  <si>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</si>
  <si>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</si>
  <si>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</si>
  <si>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</si>
  <si>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</si>
  <si>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</si>
  <si>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</si>
  <si>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</si>
  <si>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</si>
  <si>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</si>
  <si>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</si>
  <si>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</si>
  <si>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</si>
  <si>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</si>
  <si>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</si>
  <si>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</si>
  <si>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</si>
  <si>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</si>
  <si>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</si>
  <si>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</si>
  <si>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</si>
  <si>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</si>
  <si>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</si>
  <si>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</si>
  <si>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</si>
  <si>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</si>
  <si>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</si>
  <si>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</si>
  <si>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</si>
  <si>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</si>
  <si>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</si>
  <si>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</si>
  <si>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</si>
  <si>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</si>
  <si>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</si>
  <si>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</si>
  <si>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</si>
  <si>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</si>
  <si>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</si>
  <si>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</si>
  <si>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</si>
  <si>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</si>
  <si>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</si>
  <si>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</si>
  <si>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</si>
  <si>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</si>
  <si>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</si>
  <si>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</si>
  <si>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</si>
  <si>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</si>
  <si>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</si>
  <si>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</si>
  <si>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</si>
  <si>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</si>
  <si>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</si>
  <si>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</si>
  <si>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</si>
  <si>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</si>
  <si>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</si>
  <si>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</si>
  <si>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</si>
  <si>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</si>
  <si>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</si>
  <si>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</si>
  <si>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</si>
  <si>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</si>
  <si>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</si>
  <si>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</si>
  <si>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</si>
  <si>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</si>
  <si>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</si>
  <si>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</si>
  <si>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</si>
  <si>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</si>
  <si>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</si>
  <si>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</si>
  <si>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</si>
  <si>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</si>
  <si>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</si>
  <si>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</si>
  <si>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</si>
  <si>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</si>
  <si>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</si>
  <si>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</si>
  <si>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</si>
  <si>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</si>
  <si>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</si>
  <si>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</si>
  <si>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</si>
  <si>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</si>
  <si>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</si>
  <si>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</si>
  <si>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</si>
  <si>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</si>
  <si>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</si>
  <si>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</si>
  <si>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</si>
  <si>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</si>
  <si>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</si>
  <si>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</si>
  <si>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</si>
  <si>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</si>
  <si>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</si>
  <si>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</si>
  <si>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</si>
  <si>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</si>
  <si>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</si>
  <si>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</si>
  <si>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</si>
  <si>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</si>
  <si>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</si>
  <si>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</si>
  <si>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</si>
  <si>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</si>
  <si>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</si>
  <si>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</si>
  <si>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</si>
  <si>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</si>
  <si>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</si>
  <si>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</si>
  <si>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</si>
  <si>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</si>
  <si>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</si>
  <si>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</si>
  <si>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</si>
  <si>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</si>
  <si>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</si>
  <si>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</si>
  <si>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</si>
  <si>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</si>
  <si>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</si>
  <si>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</si>
  <si>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</si>
  <si>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</si>
  <si>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</si>
  <si>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</si>
  <si>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</si>
  <si>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</si>
  <si>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</si>
  <si>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</si>
  <si>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</si>
  <si>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</si>
  <si>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</si>
  <si>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</si>
  <si>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</si>
  <si>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</si>
  <si>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</si>
  <si>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</si>
  <si>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</si>
  <si>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</si>
  <si>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</si>
  <si>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</si>
  <si>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</si>
  <si>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</si>
  <si>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</si>
  <si>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</si>
  <si>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</si>
  <si>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</si>
  <si>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</si>
  <si>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</si>
  <si>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</si>
  <si>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</si>
  <si>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</si>
  <si>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</si>
  <si>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</si>
  <si>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</si>
  <si>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</si>
  <si>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</si>
  <si>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</si>
  <si>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</si>
  <si>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</si>
  <si>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</si>
  <si>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</si>
  <si>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</si>
  <si>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</si>
  <si>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</si>
  <si>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</si>
  <si>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</si>
  <si>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</si>
  <si>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</si>
  <si>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</si>
  <si>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</si>
  <si>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</si>
  <si>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</si>
  <si>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</si>
  <si>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</si>
  <si>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</si>
  <si>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</si>
  <si>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</si>
  <si>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</si>
  <si>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</si>
  <si>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</si>
  <si>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</si>
  <si>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</si>
  <si>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</si>
  <si>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</si>
  <si>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</si>
  <si>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</si>
  <si>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</si>
  <si>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</si>
  <si>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</si>
  <si>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</si>
  <si>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</si>
  <si>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</si>
  <si>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</si>
  <si>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</si>
  <si>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</si>
  <si>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</si>
  <si>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</si>
  <si>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</si>
  <si>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</si>
  <si>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</si>
  <si>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</si>
  <si>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</si>
  <si>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</si>
  <si>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</si>
  <si>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</si>
  <si>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</si>
  <si>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</si>
  <si>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</si>
  <si>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</si>
  <si>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</si>
  <si>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</si>
  <si>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</si>
  <si>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</si>
  <si>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</si>
  <si>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</si>
  <si>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</si>
  <si>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</si>
  <si>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</si>
  <si>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</si>
  <si>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</si>
  <si>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</si>
  <si>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</si>
  <si>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</si>
  <si>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</si>
  <si>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</si>
  <si>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</si>
  <si>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</si>
  <si>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</si>
  <si>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</si>
  <si>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</si>
  <si>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</si>
  <si>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</si>
  <si>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</si>
  <si>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</si>
  <si>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</si>
  <si>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</si>
  <si>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</si>
  <si>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</si>
  <si>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</si>
  <si>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</si>
  <si>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</si>
  <si>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</si>
  <si>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</si>
  <si>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</si>
  <si>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</si>
  <si>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</si>
  <si>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</si>
  <si>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</si>
  <si>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</si>
  <si>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</si>
  <si>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</si>
  <si>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</si>
  <si>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</si>
  <si>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</si>
  <si>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</si>
  <si>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</si>
  <si>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</si>
  <si>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</si>
  <si>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</si>
  <si>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</si>
  <si>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</si>
  <si>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</si>
  <si>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</si>
  <si>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</si>
  <si>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</si>
  <si>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</si>
  <si>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</si>
  <si>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</si>
  <si>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</si>
  <si>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</si>
  <si>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</si>
  <si>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</si>
  <si>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</si>
  <si>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</si>
  <si>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</si>
  <si>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</si>
  <si>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</si>
  <si>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</si>
  <si>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</si>
  <si>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</si>
  <si>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</si>
  <si>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</si>
  <si>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</si>
  <si>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</si>
  <si>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</si>
  <si>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</si>
  <si>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</si>
  <si>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</si>
  <si>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</si>
  <si>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</si>
  <si>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</si>
  <si>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</si>
  <si>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</si>
  <si>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</si>
  <si>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</si>
  <si>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</si>
  <si>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</si>
  <si>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</si>
  <si>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</si>
  <si>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</si>
  <si>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</si>
  <si>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</si>
  <si>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</si>
  <si>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</si>
  <si>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</si>
  <si>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</si>
  <si>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</si>
  <si>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</si>
  <si>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</si>
  <si>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</si>
  <si>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</si>
  <si>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</si>
  <si>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</si>
  <si>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</si>
  <si>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</si>
  <si>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</si>
  <si>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</si>
  <si>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</si>
  <si>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</si>
  <si>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</si>
  <si>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</si>
  <si>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</si>
  <si>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</si>
  <si>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</si>
  <si>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</si>
  <si>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</si>
  <si>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</si>
  <si>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</si>
  <si>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</si>
  <si>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</si>
  <si>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</si>
  <si>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</si>
  <si>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</si>
  <si>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</si>
  <si>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</si>
  <si>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</si>
  <si>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</si>
  <si>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</si>
  <si>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</si>
  <si>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</si>
  <si>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</si>
  <si>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</si>
  <si>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</si>
  <si>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</si>
  <si>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</si>
  <si>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</si>
  <si>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</si>
  <si>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</si>
  <si>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</si>
  <si>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</si>
  <si>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</si>
  <si>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</si>
  <si>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</si>
  <si>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</si>
  <si>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</si>
  <si>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</si>
  <si>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</si>
  <si>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</si>
  <si>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</si>
  <si>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</si>
  <si>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</si>
  <si>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</si>
  <si>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</si>
  <si>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</si>
  <si>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</si>
  <si>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</si>
  <si>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</si>
  <si>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</si>
  <si>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</si>
  <si>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</si>
  <si>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</si>
  <si>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</si>
  <si>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</si>
  <si>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</si>
  <si>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</si>
  <si>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</si>
  <si>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</si>
  <si>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</si>
  <si>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</si>
  <si>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</si>
  <si>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</si>
  <si>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</si>
  <si>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</si>
  <si>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</si>
  <si>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</si>
  <si>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</si>
  <si>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</si>
  <si>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</si>
  <si>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</si>
  <si>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</si>
  <si>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</si>
  <si>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</si>
  <si>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</si>
  <si>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</si>
  <si>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</si>
  <si>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</si>
  <si>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</si>
  <si>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</si>
  <si>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</si>
  <si>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</si>
  <si>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</si>
  <si>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</si>
  <si>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</si>
  <si>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</si>
  <si>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</si>
  <si>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</si>
  <si>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</si>
  <si>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</si>
  <si>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</si>
  <si>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</si>
  <si>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</si>
  <si>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</si>
  <si>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</si>
  <si>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</si>
  <si>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</si>
  <si>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</si>
  <si>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</si>
  <si>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</si>
  <si>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</si>
  <si>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</si>
  <si>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</si>
  <si>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</si>
  <si>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</si>
  <si>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</si>
  <si>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</si>
  <si>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</si>
  <si>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</si>
  <si>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</si>
  <si>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</si>
  <si>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</si>
  <si>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</si>
  <si>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</si>
  <si>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</si>
  <si>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</si>
  <si>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</si>
  <si>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</si>
  <si>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</si>
  <si>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</si>
  <si>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</si>
  <si>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</si>
  <si>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</si>
  <si>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</si>
  <si>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</si>
  <si>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</si>
  <si>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</si>
  <si>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</si>
  <si>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</si>
  <si>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</si>
  <si>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</si>
  <si>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</si>
  <si>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</si>
  <si>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</si>
  <si>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</si>
  <si>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</si>
  <si>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</si>
  <si>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</si>
  <si>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</si>
  <si>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</si>
  <si>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</si>
  <si>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</si>
  <si>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</si>
  <si>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</si>
  <si>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</si>
  <si>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</si>
  <si>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</si>
  <si>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</si>
  <si>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</si>
  <si>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</si>
  <si>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</si>
  <si>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</si>
  <si>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</si>
  <si>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</si>
  <si>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</si>
  <si>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</si>
  <si>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</si>
  <si>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</si>
  <si>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</si>
  <si>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</si>
  <si>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</si>
  <si>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</si>
  <si>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</si>
  <si>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</si>
  <si>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</si>
  <si>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</si>
  <si>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</si>
  <si>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</si>
  <si>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</si>
  <si>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</si>
  <si>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</si>
  <si>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</si>
  <si>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</si>
  <si>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</si>
  <si>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</si>
  <si>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</si>
  <si>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</si>
  <si>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</si>
  <si>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</si>
  <si>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</si>
  <si>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</si>
  <si>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</si>
  <si>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</si>
  <si>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</si>
  <si>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</si>
  <si>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</si>
  <si>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</si>
  <si>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</si>
  <si>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</si>
  <si>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</si>
  <si>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</si>
  <si>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</si>
  <si>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</si>
  <si>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</si>
  <si>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</si>
  <si>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</si>
  <si>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</si>
  <si>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</si>
  <si>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</si>
  <si>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</si>
  <si>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</si>
  <si>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</si>
  <si>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</si>
  <si>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</si>
  <si>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</si>
  <si>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</si>
  <si>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</si>
  <si>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</si>
  <si>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</si>
  <si>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</si>
  <si>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</si>
  <si>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</si>
  <si>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</si>
  <si>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</si>
  <si>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</si>
  <si>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</si>
  <si>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</si>
  <si>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</si>
  <si>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</si>
  <si>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</si>
  <si>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</si>
  <si>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</si>
  <si>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</si>
  <si>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</si>
  <si>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</si>
  <si>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</si>
  <si>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</si>
  <si>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</si>
  <si>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</si>
  <si>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</si>
  <si>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</si>
  <si>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</si>
  <si>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</si>
  <si>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</si>
  <si>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</si>
  <si>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</si>
  <si>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</si>
  <si>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</si>
  <si>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</si>
  <si>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</si>
  <si>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</si>
  <si>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</si>
  <si>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</si>
  <si>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</si>
  <si>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</si>
  <si>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</si>
  <si>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</si>
  <si>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</si>
  <si>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</si>
  <si>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</si>
  <si>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</si>
  <si>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</si>
  <si>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</si>
  <si>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</si>
  <si>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</si>
  <si>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</si>
  <si>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</si>
  <si>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</si>
  <si>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</si>
  <si>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</si>
  <si>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</si>
  <si>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</si>
  <si>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</si>
  <si>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</si>
  <si>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</si>
  <si>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</si>
  <si>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</si>
  <si>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</si>
  <si>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</si>
  <si>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</si>
  <si>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</si>
  <si>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</si>
  <si>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</si>
  <si>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</si>
  <si>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</si>
  <si>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</si>
  <si>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</si>
  <si>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</si>
  <si>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</si>
  <si>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</si>
  <si>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</si>
  <si>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</si>
  <si>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</si>
  <si>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</si>
  <si>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</si>
  <si>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</si>
  <si>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</si>
  <si>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</si>
  <si>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</si>
  <si>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</si>
  <si>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</si>
  <si>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</si>
  <si>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</si>
  <si>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</si>
  <si>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</si>
  <si>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</si>
  <si>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</si>
  <si>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</si>
  <si>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</si>
  <si>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</si>
  <si>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</si>
  <si>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</si>
  <si>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</si>
  <si>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</si>
  <si>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</si>
  <si>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</si>
  <si>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</si>
  <si>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</si>
  <si>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</si>
  <si>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</si>
  <si>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</si>
  <si>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</si>
  <si>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</si>
  <si>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</si>
  <si>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</si>
  <si>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</si>
  <si>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</si>
  <si>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</si>
  <si>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</si>
  <si>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</si>
  <si>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</si>
  <si>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</si>
  <si>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</si>
  <si>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</si>
  <si>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</si>
  <si>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</si>
  <si>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</si>
  <si>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</si>
  <si>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</si>
  <si>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</si>
  <si>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</si>
  <si>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</si>
  <si>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</si>
  <si>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</si>
  <si>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</si>
  <si>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</si>
  <si>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</si>
  <si>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</si>
  <si>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</si>
  <si>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</si>
  <si>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</si>
  <si>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</si>
  <si>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</si>
  <si>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</si>
  <si>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</si>
  <si>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</si>
  <si>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</si>
  <si>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</si>
  <si>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</si>
  <si>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</si>
  <si>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</si>
  <si>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</si>
  <si>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</si>
  <si>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</si>
  <si>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</si>
  <si>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</si>
  <si>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</si>
  <si>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</si>
  <si>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</si>
  <si>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</si>
  <si>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</si>
  <si>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</si>
  <si>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</si>
  <si>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</si>
  <si>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</si>
  <si>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</si>
  <si>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</si>
  <si>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</si>
  <si>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</si>
  <si>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</si>
  <si>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</si>
  <si>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</si>
  <si>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</si>
  <si>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</si>
  <si>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</si>
  <si>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</si>
  <si>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</si>
  <si>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</si>
  <si>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</si>
  <si>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</si>
  <si>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</si>
  <si>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</si>
  <si>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</si>
  <si>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</si>
  <si>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</si>
  <si>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</si>
  <si>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</si>
  <si>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</si>
  <si>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</si>
  <si>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</si>
  <si>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</si>
  <si>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</si>
  <si>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</si>
  <si>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</si>
  <si>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</si>
  <si>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</si>
  <si>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</si>
  <si>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</si>
  <si>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</si>
  <si>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</si>
  <si>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</si>
  <si>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</si>
  <si>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</si>
  <si>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</si>
  <si>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</si>
  <si>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</si>
  <si>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</si>
  <si>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</si>
  <si>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</si>
  <si>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</si>
  <si>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</si>
  <si>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</si>
  <si>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</si>
  <si>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</si>
  <si>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</si>
  <si>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</si>
  <si>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</si>
  <si>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</si>
  <si>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</si>
  <si>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</si>
  <si>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</si>
  <si>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</si>
  <si>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</si>
  <si>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</si>
  <si>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</si>
  <si>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</si>
  <si>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</si>
  <si>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</si>
  <si>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</si>
  <si>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</si>
  <si>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</si>
  <si>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</si>
  <si>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</si>
  <si>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</si>
  <si>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</si>
  <si>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</si>
  <si>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</si>
  <si>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</si>
  <si>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</si>
  <si>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</si>
  <si>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</si>
  <si>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</si>
  <si>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</si>
  <si>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</si>
  <si>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</si>
  <si>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</si>
  <si>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</si>
  <si>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</si>
  <si>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</si>
  <si>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</si>
  <si>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</si>
  <si>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</si>
  <si>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</si>
  <si>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</si>
  <si>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</si>
  <si>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</si>
  <si>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</si>
  <si>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</si>
  <si>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</si>
  <si>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</si>
  <si>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</si>
  <si>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</si>
  <si>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</si>
  <si>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</si>
  <si>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</si>
  <si>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</si>
  <si>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</si>
  <si>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</si>
  <si>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</si>
  <si>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</si>
  <si>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</si>
  <si>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</si>
  <si>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</si>
  <si>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</si>
  <si>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</si>
  <si>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</si>
  <si>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</si>
  <si>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</si>
  <si>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</si>
  <si>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</si>
  <si>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</si>
  <si>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</si>
  <si>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</si>
  <si>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</si>
  <si>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</si>
  <si>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</si>
  <si>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</si>
  <si>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</si>
  <si>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</si>
  <si>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</si>
  <si>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</si>
  <si>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</si>
  <si>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</si>
  <si>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</si>
  <si>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</si>
  <si>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</si>
  <si>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</si>
  <si>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</si>
  <si>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</si>
  <si>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</si>
  <si>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</si>
  <si>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</si>
  <si>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</si>
  <si>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</si>
  <si>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</si>
  <si>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</si>
  <si>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</si>
  <si>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</si>
  <si>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</si>
  <si>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</si>
  <si>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</si>
  <si>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</si>
  <si>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</si>
  <si>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</si>
  <si>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</si>
  <si>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</si>
  <si>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</si>
  <si>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</si>
  <si>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</si>
  <si>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</si>
  <si>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</si>
  <si>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</si>
  <si>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</si>
  <si>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</si>
  <si>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</si>
  <si>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</si>
  <si>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</si>
  <si>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</si>
  <si>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</si>
  <si>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</si>
  <si>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</si>
  <si>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</si>
  <si>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</si>
  <si>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</si>
  <si>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</si>
  <si>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</si>
  <si>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</si>
  <si>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</si>
  <si>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</si>
  <si>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</si>
  <si>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</si>
  <si>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</si>
  <si>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</si>
  <si>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</si>
  <si>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</si>
  <si>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</si>
  <si>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</si>
  <si>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</si>
  <si>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</si>
  <si>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</si>
  <si>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</si>
  <si>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</si>
  <si>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</si>
  <si>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</si>
  <si>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</si>
  <si>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</si>
  <si>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</si>
  <si>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</si>
  <si>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</si>
  <si>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</si>
  <si>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</si>
  <si>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</si>
  <si>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</si>
  <si>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</si>
  <si>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</si>
  <si>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</si>
  <si>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</si>
  <si>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</si>
  <si>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</si>
  <si>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</si>
  <si>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</si>
  <si>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</si>
  <si>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</si>
  <si>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</si>
  <si>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</si>
  <si>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</si>
  <si>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</si>
  <si>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</si>
  <si>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</si>
  <si>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</si>
  <si>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</si>
  <si>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</si>
  <si>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</si>
  <si>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</si>
  <si>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</si>
  <si>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</si>
  <si>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</si>
  <si>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</si>
  <si>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</si>
  <si>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</si>
  <si>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</si>
  <si>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</si>
  <si>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</si>
  <si>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</si>
  <si>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</si>
  <si>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</si>
  <si>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</si>
  <si>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</si>
  <si>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</si>
  <si>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</si>
  <si>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</si>
  <si>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</si>
  <si>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</si>
  <si>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</si>
  <si>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</si>
  <si>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</si>
  <si>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</si>
  <si>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</si>
  <si>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</si>
  <si>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</si>
  <si>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</si>
  <si>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</si>
  <si>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</si>
  <si>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</si>
  <si>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</si>
  <si>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</si>
  <si>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</si>
  <si>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</si>
  <si>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</si>
  <si>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</si>
  <si>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</si>
  <si>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</si>
  <si>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</si>
  <si>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</si>
  <si>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</si>
  <si>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</si>
  <si>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</si>
  <si>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</si>
  <si>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</si>
  <si>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</si>
  <si>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</si>
  <si>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</si>
  <si>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</si>
  <si>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</si>
  <si>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</si>
  <si>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</si>
  <si>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</si>
  <si>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</si>
  <si>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</si>
  <si>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</si>
  <si>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</si>
  <si>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</si>
  <si>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</si>
  <si>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</si>
  <si>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</si>
  <si>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</si>
  <si>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</si>
  <si>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</si>
  <si>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</si>
  <si>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</si>
  <si>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</si>
  <si>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</si>
  <si>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</si>
  <si>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</si>
  <si>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</si>
  <si>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</si>
  <si>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</si>
  <si>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</si>
  <si>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</si>
  <si>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</si>
  <si>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</si>
  <si>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</si>
  <si>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</si>
  <si>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</si>
  <si>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</si>
  <si>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</si>
  <si>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</si>
  <si>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</si>
  <si>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</si>
  <si>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</si>
  <si>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</si>
  <si>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</si>
  <si>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</si>
  <si>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</si>
  <si>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</si>
  <si>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</si>
  <si>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</si>
  <si>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</si>
  <si>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</si>
  <si>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</si>
  <si>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</si>
  <si>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</si>
  <si>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</si>
  <si>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</si>
  <si>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</si>
  <si>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</si>
  <si>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</si>
  <si>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</si>
  <si>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</si>
  <si>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</si>
  <si>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</si>
  <si>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</si>
  <si>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</si>
  <si>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</si>
  <si>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</si>
  <si>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</si>
  <si>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</si>
  <si>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</si>
  <si>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</si>
  <si>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</si>
  <si>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</si>
  <si>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</si>
  <si>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</si>
  <si>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</si>
  <si>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</si>
  <si>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</si>
  <si>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</si>
  <si>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</si>
  <si>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</si>
  <si>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</si>
  <si>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</si>
  <si>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</si>
  <si>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</si>
  <si>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</si>
  <si>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</si>
  <si>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</si>
  <si>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</si>
  <si>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</si>
  <si>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</si>
  <si>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</si>
  <si>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</si>
  <si>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</si>
  <si>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</si>
  <si>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</si>
  <si>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</si>
  <si>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</si>
  <si>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</si>
  <si>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</si>
  <si>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</si>
  <si>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</si>
  <si>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</si>
  <si>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</si>
  <si>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</si>
  <si>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</si>
  <si>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</si>
  <si>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</si>
  <si>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</si>
  <si>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</si>
  <si>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</si>
  <si>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</si>
  <si>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</si>
  <si>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</si>
  <si>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</si>
  <si>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</si>
  <si>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</si>
  <si>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</si>
  <si>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</si>
  <si>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</si>
  <si>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</si>
  <si>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</si>
  <si>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</si>
  <si>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</si>
  <si>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</si>
  <si>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</si>
  <si>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</si>
  <si>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</si>
  <si>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</si>
  <si>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</si>
  <si>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</si>
  <si>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</si>
  <si>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</si>
  <si>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</si>
  <si>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</si>
  <si>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</si>
  <si>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</si>
  <si>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</si>
  <si>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</si>
  <si>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</si>
  <si>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</si>
  <si>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</si>
  <si>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</si>
  <si>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</si>
  <si>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</si>
  <si>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</si>
  <si>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</si>
  <si>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</si>
  <si>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</si>
  <si>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</si>
  <si>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</si>
  <si>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</si>
  <si>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</si>
  <si>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</si>
  <si>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</si>
  <si>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</si>
  <si>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</si>
  <si>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</si>
  <si>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</si>
  <si>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</si>
  <si>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</si>
  <si>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</si>
  <si>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</si>
  <si>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</si>
  <si>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</si>
  <si>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</si>
  <si>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</si>
  <si>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</si>
  <si>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</si>
  <si>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</si>
  <si>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</si>
  <si>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</si>
  <si>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</si>
  <si>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</si>
  <si>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</si>
  <si>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</si>
  <si>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</si>
  <si>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</si>
  <si>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</si>
  <si>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</si>
  <si>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</si>
  <si>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</si>
  <si>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</si>
  <si>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</si>
  <si>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</si>
  <si>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</si>
  <si>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</si>
  <si>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</si>
  <si>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</si>
  <si>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</si>
  <si>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</si>
  <si>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</si>
  <si>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</si>
  <si>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</si>
  <si>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</si>
  <si>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</si>
  <si>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</si>
  <si>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</si>
  <si>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</si>
  <si>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</si>
  <si>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</si>
  <si>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</si>
  <si>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</si>
  <si>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</si>
  <si>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</si>
  <si>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</si>
  <si>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</si>
  <si>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</si>
  <si>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</si>
  <si>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</si>
  <si>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</si>
  <si>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</si>
  <si>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</si>
  <si>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</si>
  <si>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</si>
  <si>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</si>
  <si>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</si>
  <si>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</si>
  <si>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</si>
  <si>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</si>
  <si>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</si>
  <si>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</si>
  <si>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</si>
  <si>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</si>
  <si>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</si>
  <si>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</si>
  <si>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</si>
  <si>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</si>
  <si>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</si>
  <si>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</si>
  <si>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</si>
  <si>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</si>
  <si>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</si>
  <si>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</si>
  <si>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</si>
  <si>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</si>
  <si>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</si>
  <si>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</si>
  <si>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</si>
  <si>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</si>
  <si>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</si>
  <si>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</si>
  <si>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</si>
  <si>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</si>
  <si>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</si>
  <si>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</si>
  <si>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</si>
  <si>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</si>
  <si>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</si>
  <si>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</si>
  <si>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</si>
  <si>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</si>
  <si>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</si>
  <si>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</si>
  <si>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</si>
  <si>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</si>
  <si>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</si>
  <si>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</si>
  <si>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</si>
  <si>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</si>
  <si>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</si>
  <si>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</si>
  <si>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</si>
  <si>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</si>
  <si>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</si>
  <si>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</si>
  <si>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</si>
  <si>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</si>
  <si>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</si>
  <si>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</si>
  <si>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</si>
  <si>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</si>
  <si>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</si>
  <si>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</si>
  <si>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</si>
  <si>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</si>
  <si>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</si>
  <si>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</si>
  <si>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</si>
  <si>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</si>
  <si>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</si>
  <si>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</si>
  <si>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</si>
  <si>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</si>
  <si>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</si>
  <si>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</si>
  <si>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</si>
  <si>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</si>
  <si>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</si>
  <si>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</si>
  <si>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</si>
  <si>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</si>
  <si>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</si>
  <si>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</si>
  <si>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</si>
  <si>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</si>
  <si>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</si>
  <si>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</si>
  <si>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</si>
  <si>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</si>
  <si>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</si>
  <si>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</si>
  <si>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</si>
  <si>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</si>
  <si>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</si>
  <si>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</si>
  <si>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</si>
  <si>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</si>
  <si>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</si>
  <si>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</si>
  <si>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</si>
  <si>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</si>
  <si>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</si>
  <si>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</si>
  <si>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</si>
  <si>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</si>
  <si>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</si>
  <si>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</si>
  <si>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</si>
  <si>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</si>
  <si>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</si>
  <si>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</si>
  <si>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</si>
  <si>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</si>
  <si>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</si>
  <si>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</si>
  <si>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</si>
  <si>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</si>
  <si>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</si>
  <si>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</si>
  <si>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</si>
  <si>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</si>
  <si>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</si>
  <si>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</si>
  <si>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</si>
  <si>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</si>
  <si>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</si>
  <si>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</si>
  <si>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</si>
  <si>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</si>
  <si>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</si>
  <si>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</si>
  <si>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</si>
  <si>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</si>
  <si>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</si>
  <si>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</si>
  <si>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</si>
  <si>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</si>
  <si>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</si>
  <si>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</si>
  <si>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</si>
  <si>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</si>
  <si>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</si>
  <si>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</si>
  <si>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</si>
  <si>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</si>
  <si>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</si>
  <si>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</si>
  <si>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</si>
  <si>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</si>
  <si>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</si>
  <si>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</si>
  <si>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</si>
  <si>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</si>
  <si>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</si>
  <si>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</si>
  <si>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</si>
  <si>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</si>
  <si>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</si>
  <si>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</si>
  <si>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</si>
  <si>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</si>
  <si>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</si>
  <si>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</si>
  <si>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</si>
  <si>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</si>
  <si>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</si>
  <si>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</si>
  <si>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</si>
  <si>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</si>
  <si>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</si>
  <si>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</si>
  <si>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</si>
  <si>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</si>
  <si>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</si>
  <si>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</si>
  <si>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</si>
  <si>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</si>
  <si>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</si>
  <si>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</si>
  <si>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</si>
  <si>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</si>
  <si>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</si>
  <si>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</si>
  <si>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</si>
  <si>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</si>
  <si>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</si>
  <si>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</si>
  <si>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</si>
  <si>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</si>
  <si>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</si>
  <si>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</si>
  <si>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</si>
  <si>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</si>
  <si>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</si>
  <si>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</si>
  <si>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</si>
  <si>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</si>
  <si>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</si>
  <si>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</si>
  <si>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</si>
  <si>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</si>
  <si>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</si>
  <si>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</si>
  <si>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</si>
  <si>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</si>
  <si>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</si>
  <si>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</si>
  <si>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</si>
  <si>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</si>
  <si>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</si>
  <si>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</si>
  <si>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</si>
  <si>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</si>
  <si>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</si>
  <si>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</si>
  <si>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</si>
  <si>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</si>
  <si>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</si>
  <si>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</si>
  <si>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</si>
  <si>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</si>
  <si>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</si>
  <si>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</si>
  <si>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</si>
  <si>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</si>
  <si>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</si>
  <si>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</si>
  <si>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</si>
  <si>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</si>
  <si>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</si>
  <si>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</si>
  <si>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</si>
  <si>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</si>
  <si>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</si>
  <si>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</si>
  <si>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</si>
  <si>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</si>
  <si>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</si>
  <si>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</si>
  <si>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</si>
  <si>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</si>
  <si>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</si>
  <si>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</si>
  <si>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</si>
  <si>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</si>
  <si>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</si>
  <si>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</si>
  <si>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</si>
  <si>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</si>
  <si>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</si>
  <si>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</si>
  <si>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</si>
  <si>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</si>
  <si>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</si>
  <si>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</si>
  <si>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</si>
  <si>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</si>
  <si>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</si>
  <si>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</si>
  <si>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</si>
  <si>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</si>
  <si>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</si>
  <si>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</si>
  <si>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</si>
  <si>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</si>
  <si>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</si>
  <si>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</si>
  <si>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</si>
  <si>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</si>
  <si>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</si>
  <si>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</si>
  <si>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</si>
  <si>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</si>
  <si>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</si>
  <si>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</si>
  <si>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</si>
  <si>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</si>
  <si>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</si>
  <si>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</si>
  <si>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</si>
  <si>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</si>
  <si>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</si>
  <si>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</si>
  <si>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</si>
  <si>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</si>
  <si>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</si>
  <si>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</si>
  <si>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</si>
  <si>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</si>
  <si>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</si>
  <si>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</si>
  <si>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</si>
  <si>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</si>
  <si>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</si>
  <si>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</si>
  <si>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</si>
  <si>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</si>
  <si>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</si>
  <si>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</si>
  <si>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</si>
  <si>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</si>
  <si>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</si>
  <si>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</si>
  <si>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</si>
  <si>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</si>
  <si>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</si>
  <si>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</si>
  <si>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</si>
  <si>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</si>
  <si>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</si>
  <si>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</si>
  <si>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</si>
  <si>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</si>
  <si>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</si>
  <si>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</si>
  <si>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</si>
  <si>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</si>
  <si>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</si>
  <si>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</si>
  <si>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</si>
  <si>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</si>
  <si>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</si>
  <si>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</si>
  <si>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</si>
  <si>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</si>
  <si>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</si>
  <si>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</si>
  <si>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</si>
  <si>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</si>
  <si>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</si>
  <si>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</si>
  <si>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</si>
  <si>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</si>
  <si>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</si>
  <si>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</si>
  <si>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</si>
  <si>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</si>
  <si>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</si>
  <si>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</si>
  <si>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</si>
  <si>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</si>
  <si>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</si>
  <si>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</si>
  <si>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</si>
  <si>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</si>
  <si>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</si>
  <si>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</si>
  <si>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</si>
  <si>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</si>
  <si>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</si>
  <si>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</si>
  <si>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</si>
  <si>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</si>
  <si>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</si>
  <si>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</si>
  <si>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</si>
  <si>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</si>
  <si>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</si>
  <si>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</si>
  <si>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</si>
  <si>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</si>
  <si>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</si>
  <si>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</si>
  <si>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</si>
  <si>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</si>
  <si>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</si>
  <si>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</si>
  <si>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</si>
  <si>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</si>
  <si>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</si>
  <si>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</si>
  <si>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</si>
  <si>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</si>
  <si>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</si>
  <si>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</si>
  <si>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</si>
  <si>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</si>
  <si>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</si>
  <si>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</si>
  <si>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</si>
  <si>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</si>
  <si>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</si>
  <si>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</si>
  <si>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</si>
  <si>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</si>
  <si>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</si>
  <si>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</si>
  <si>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</si>
  <si>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</si>
  <si>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</si>
  <si>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</si>
  <si>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</si>
  <si>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</si>
  <si>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</si>
  <si>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</si>
  <si>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</si>
  <si>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</si>
  <si>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</si>
  <si>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</si>
  <si>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</si>
  <si>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</si>
  <si>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</si>
  <si>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</si>
  <si>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</si>
  <si>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</si>
  <si>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</si>
  <si>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</si>
  <si>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</si>
  <si>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</si>
  <si>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</si>
  <si>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</si>
  <si>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</si>
  <si>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</si>
  <si>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</si>
  <si>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</si>
  <si>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</si>
  <si>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</si>
  <si>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</si>
  <si>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</si>
  <si>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</si>
  <si>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</si>
  <si>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</si>
  <si>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</si>
  <si>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</si>
  <si>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</si>
  <si>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</si>
  <si>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</si>
  <si>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</si>
  <si>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</si>
  <si>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</si>
  <si>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</si>
  <si>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</si>
  <si>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</si>
  <si>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</si>
  <si>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</si>
  <si>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</si>
  <si>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</si>
  <si>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</si>
  <si>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</si>
  <si>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</si>
  <si>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</si>
  <si>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</si>
  <si>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</si>
  <si>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</si>
  <si>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</si>
  <si>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</si>
  <si>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</si>
  <si>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</si>
  <si>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</si>
  <si>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</si>
  <si>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</si>
  <si>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</si>
  <si>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</si>
  <si>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</si>
  <si>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</si>
  <si>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</si>
  <si>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</si>
  <si>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</si>
  <si>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</si>
  <si>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</si>
  <si>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</si>
  <si>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</si>
  <si>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</si>
  <si>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</si>
  <si>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</si>
  <si>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</si>
  <si>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</si>
  <si>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</si>
  <si>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</si>
  <si>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</si>
  <si>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</si>
  <si>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</si>
  <si>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</si>
  <si>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</si>
  <si>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</si>
  <si>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</si>
  <si>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</si>
  <si>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</si>
  <si>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</si>
  <si>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</si>
  <si>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</si>
  <si>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</si>
  <si>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</si>
  <si>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</si>
  <si>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</si>
  <si>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</si>
  <si>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</si>
  <si>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</si>
  <si>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</si>
  <si>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</si>
  <si>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</si>
  <si>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</si>
  <si>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</si>
  <si>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</si>
  <si>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</si>
  <si>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</si>
  <si>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</si>
  <si>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</si>
  <si>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</si>
  <si>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</si>
  <si>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</si>
  <si>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</si>
  <si>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</si>
  <si>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</si>
  <si>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</si>
  <si>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</si>
  <si>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</si>
  <si>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</si>
  <si>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</si>
  <si>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</si>
  <si>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</si>
  <si>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</si>
  <si>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</si>
  <si>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</si>
  <si>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</si>
  <si>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</si>
  <si>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</si>
  <si>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</si>
  <si>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</si>
  <si>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</si>
  <si>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</si>
  <si>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</si>
  <si>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</si>
  <si>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</si>
  <si>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</si>
  <si>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</si>
  <si>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</si>
  <si>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</si>
  <si>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</si>
  <si>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</si>
  <si>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</si>
  <si>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</si>
  <si>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</si>
  <si>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</si>
  <si>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</si>
  <si>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</si>
  <si>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</si>
  <si>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</si>
  <si>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</si>
  <si>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</si>
  <si>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</si>
  <si>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</si>
  <si>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</si>
  <si>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</si>
  <si>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</si>
  <si>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</si>
  <si>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</si>
  <si>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</si>
  <si>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</si>
  <si>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</si>
  <si>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</si>
  <si>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</si>
  <si>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</si>
  <si>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</si>
  <si>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</si>
  <si>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</si>
  <si>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</si>
  <si>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</si>
  <si>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</si>
  <si>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</si>
  <si>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</si>
  <si>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</si>
  <si>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</si>
  <si>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</si>
  <si>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</si>
  <si>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</si>
  <si>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</si>
  <si>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</si>
  <si>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</si>
  <si>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</si>
  <si>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</si>
  <si>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</si>
  <si>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</si>
  <si>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</si>
  <si>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</si>
  <si>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</si>
  <si>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</si>
  <si>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</si>
  <si>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</si>
  <si>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</si>
  <si>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</si>
  <si>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</si>
  <si>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</si>
  <si>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</si>
  <si>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</si>
  <si>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</si>
  <si>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</si>
  <si>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</si>
  <si>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</si>
  <si>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</si>
  <si>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</si>
  <si>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</si>
  <si>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</si>
  <si>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</si>
  <si>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</si>
  <si>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</si>
  <si>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</si>
  <si>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</si>
  <si>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</si>
  <si>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</si>
  <si>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</si>
  <si>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</si>
  <si>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</si>
  <si>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</si>
  <si>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</si>
  <si>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</si>
  <si>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</si>
  <si>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</si>
  <si>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</si>
  <si>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</si>
  <si>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</si>
  <si>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</si>
  <si>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</si>
  <si>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</si>
  <si>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</si>
  <si>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</si>
  <si>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</si>
  <si>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</si>
  <si>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</si>
  <si>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</si>
  <si>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[0.388594]</t>
  </si>
  <si>
    <t>0 [0.803484]</t>
  </si>
  <si>
    <t>0 [1.216321]</t>
  </si>
  <si>
    <t>0 [1.615769]</t>
  </si>
  <si>
    <t>0 [2.020255]</t>
  </si>
  <si>
    <t>0 [2.421264]</t>
  </si>
  <si>
    <t>0 [2.829114]</t>
  </si>
  <si>
    <t>0 [3.241426]</t>
  </si>
  <si>
    <t>0 [3.647976]</t>
  </si>
  <si>
    <t>0 [4.053131]</t>
  </si>
  <si>
    <t>0 [4.458074]</t>
  </si>
  <si>
    <t>0 [4.857645]</t>
  </si>
  <si>
    <t>0 [5.278831]</t>
  </si>
  <si>
    <t>0 [5.671604]</t>
  </si>
  <si>
    <t>0 [6.088686]</t>
  </si>
  <si>
    <t>0 [6.488323]</t>
  </si>
  <si>
    <t>0 [6.905121]</t>
  </si>
  <si>
    <t>0 [7.303545]</t>
  </si>
  <si>
    <t>0 [7.705682]</t>
  </si>
  <si>
    <t>0 [8.114980]</t>
  </si>
  <si>
    <t>0 [8.517120]</t>
  </si>
  <si>
    <t>0 [8.922120]</t>
  </si>
  <si>
    <t>0 [9.338639]</t>
  </si>
  <si>
    <t>0 [9.748893]</t>
  </si>
  <si>
    <t>vision^1fik^1^1^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</si>
</sst>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62.598340000000007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numCache>
            </c:numRef>
          </c:xVal>
          <c:yVal>
            <c:numRef>
              <c:f>[0]!FT_PH</c:f>
              <c:numCache>
                <c:formatCode>0.00</c:formatCode>
                <c:ptCount val="25"/>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3.7935799999999995</c:v>
                </c:pt>
                <c:pt idx="1">
                  <c:v>2.7677299999999998</c:v>
                </c:pt>
              </c:numCache>
            </c:numRef>
          </c:xVal>
          <c:yVal>
            <c:numRef>
              <c:f>info!$W$2:$W$3</c:f>
              <c:numCache>
                <c:formatCode>0.00</c:formatCode>
                <c:ptCount val="2"/>
                <c:pt idx="0">
                  <c:v>46.395299999999999</c:v>
                </c:pt>
                <c:pt idx="1">
                  <c:v>56.689799999999998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3.85399</c:v>
                </c:pt>
                <c:pt idx="1">
                  <c:v>2.7236700000000003</c:v>
                </c:pt>
              </c:numCache>
            </c:numRef>
          </c:xVal>
          <c:yVal>
            <c:numRef>
              <c:f>info!$W$15:$W$16</c:f>
              <c:numCache>
                <c:formatCode>0.00_ </c:formatCode>
                <c:ptCount val="2"/>
                <c:pt idx="0">
                  <c:v>45.7121</c:v>
                </c:pt>
                <c:pt idx="1">
                  <c:v>56.963200000000001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3.1749124000000002</c:v>
                </c:pt>
              </c:numCache>
            </c:numRef>
          </c:xVal>
          <c:yVal>
            <c:numRef>
              <c:f>info!$N$9</c:f>
              <c:numCache>
                <c:formatCode>0.0</c:formatCode>
                <c:ptCount val="1"/>
                <c:pt idx="0">
                  <c:v>53.070119999999996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37.504100000000001</c:v>
                </c:pt>
                <c:pt idx="1">
                  <c:v>16.597200000000001</c:v>
                </c:pt>
                <c:pt idx="2">
                  <c:v>27.982299999999999</c:v>
                </c:pt>
                <c:pt idx="3">
                  <c:v>27.5395</c:v>
                </c:pt>
                <c:pt idx="4">
                  <c:v>68.7577</c:v>
                </c:pt>
                <c:pt idx="5">
                  <c:v>87.932299999999998</c:v>
                </c:pt>
                <c:pt idx="6">
                  <c:v>23.439800000000002</c:v>
                </c:pt>
                <c:pt idx="7">
                  <c:v>78.298100000000005</c:v>
                </c:pt>
                <c:pt idx="8">
                  <c:v>17.728200000000001</c:v>
                </c:pt>
                <c:pt idx="9">
                  <c:v>19.619299999999999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62.598340000000007</c:v>
                </c:pt>
                <c:pt idx="1">
                  <c:v>62.598340000000007</c:v>
                </c:pt>
                <c:pt idx="2">
                  <c:v>0</c:v>
                </c:pt>
              </c:numCache>
            </c:numRef>
          </c:xVal>
          <c:yVal>
            <c:numRef>
              <c:f>'R2'!$I$5:$I$7</c:f>
              <c:numCache>
                <c:formatCode>0.0_ </c:formatCode>
                <c:ptCount val="3"/>
                <c:pt idx="0">
                  <c:v>0</c:v>
                </c:pt>
                <c:pt idx="1">
                  <c:v>71.481028908059713</c:v>
                </c:pt>
                <c:pt idx="2">
                  <c:v>71.481028908059713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50.919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50.918666666666667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1.52756</c:v>
                </c:pt>
                <c:pt idx="1">
                  <c:v>1.52756</c:v>
                </c:pt>
                <c:pt idx="2">
                  <c:v>0</c:v>
                </c:pt>
              </c:numCache>
            </c:numRef>
          </c:xVal>
          <c:yVal>
            <c:numRef>
              <c:f>'R3'!$I$6:$I$8</c:f>
              <c:numCache>
                <c:formatCode>0.0_ </c:formatCode>
                <c:ptCount val="3"/>
                <c:pt idx="0">
                  <c:v>0</c:v>
                </c:pt>
                <c:pt idx="1">
                  <c:v>30.06881476825869</c:v>
                </c:pt>
                <c:pt idx="2">
                  <c:v>30.06881476825869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2.6447194727538039</c:v>
                </c:pt>
                <c:pt idx="1">
                  <c:v>2.6447194727538039</c:v>
                </c:pt>
                <c:pt idx="2">
                  <c:v>-7</c:v>
                </c:pt>
              </c:numCache>
            </c:numRef>
          </c:xVal>
          <c:yVal>
            <c:numRef>
              <c:f>'R'!$I$5:$I$7</c:f>
              <c:numCache>
                <c:formatCode>0.0_ </c:formatCode>
                <c:ptCount val="3"/>
                <c:pt idx="0">
                  <c:v>0</c:v>
                </c:pt>
                <c:pt idx="1">
                  <c:v>95.045623829965265</c:v>
                </c:pt>
                <c:pt idx="2">
                  <c:v>95.045623829965265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2.6447194727538039</c:v>
                </c:pt>
              </c:numCache>
            </c:numRef>
          </c:xVal>
          <c:yVal>
            <c:numRef>
              <c:f>'R'!$I$4</c:f>
              <c:numCache>
                <c:formatCode>0.00_ </c:formatCode>
                <c:ptCount val="1"/>
                <c:pt idx="0">
                  <c:v>95.045623829965265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62.598340000000007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numCache>
            </c:numRef>
          </c:xVal>
          <c:yVal>
            <c:numRef>
              <c:f>[0]!FT_PH</c:f>
              <c:numCache>
                <c:formatCode>0.00</c:formatCode>
                <c:ptCount val="25"/>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3.7935799999999995</c:v>
                </c:pt>
                <c:pt idx="1">
                  <c:v>2.7677299999999998</c:v>
                </c:pt>
              </c:numCache>
            </c:numRef>
          </c:xVal>
          <c:yVal>
            <c:numRef>
              <c:f>info!$W$2:$W$3</c:f>
              <c:numCache>
                <c:formatCode>0.00</c:formatCode>
                <c:ptCount val="2"/>
                <c:pt idx="0">
                  <c:v>46.395299999999999</c:v>
                </c:pt>
                <c:pt idx="1">
                  <c:v>56.689799999999998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3.85399</c:v>
                </c:pt>
                <c:pt idx="1">
                  <c:v>2.7236700000000003</c:v>
                </c:pt>
              </c:numCache>
            </c:numRef>
          </c:xVal>
          <c:yVal>
            <c:numRef>
              <c:f>info!$W$15:$W$16</c:f>
              <c:numCache>
                <c:formatCode>0.00_ </c:formatCode>
                <c:ptCount val="2"/>
                <c:pt idx="0">
                  <c:v>45.7121</c:v>
                </c:pt>
                <c:pt idx="1">
                  <c:v>56.963200000000001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3.1749124000000002</c:v>
                </c:pt>
              </c:numCache>
            </c:numRef>
          </c:xVal>
          <c:yVal>
            <c:numRef>
              <c:f>info!$N$9</c:f>
              <c:numCache>
                <c:formatCode>0.0</c:formatCode>
                <c:ptCount val="1"/>
                <c:pt idx="0">
                  <c:v>53.070119999999996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37.504100000000001</c:v>
                </c:pt>
                <c:pt idx="1">
                  <c:v>16.597200000000001</c:v>
                </c:pt>
                <c:pt idx="2">
                  <c:v>27.982299999999999</c:v>
                </c:pt>
                <c:pt idx="3">
                  <c:v>27.5395</c:v>
                </c:pt>
                <c:pt idx="4">
                  <c:v>68.7577</c:v>
                </c:pt>
                <c:pt idx="5">
                  <c:v>87.932299999999998</c:v>
                </c:pt>
                <c:pt idx="6">
                  <c:v>23.439800000000002</c:v>
                </c:pt>
                <c:pt idx="7">
                  <c:v>78.298100000000005</c:v>
                </c:pt>
                <c:pt idx="8">
                  <c:v>17.728200000000001</c:v>
                </c:pt>
                <c:pt idx="9">
                  <c:v>19.619299999999999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62.598340000000007</c:v>
                </c:pt>
                <c:pt idx="1">
                  <c:v>62.598340000000007</c:v>
                </c:pt>
                <c:pt idx="2">
                  <c:v>0</c:v>
                </c:pt>
              </c:numCache>
            </c:numRef>
          </c:xVal>
          <c:yVal>
            <c:numRef>
              <c:f>'R2'!$I$5:$I$7</c:f>
              <c:numCache>
                <c:formatCode>0.0_ </c:formatCode>
                <c:ptCount val="3"/>
                <c:pt idx="0">
                  <c:v>0</c:v>
                </c:pt>
                <c:pt idx="1">
                  <c:v>71.481028908059713</c:v>
                </c:pt>
                <c:pt idx="2">
                  <c:v>71.481028908059713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50.919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50.918666666666667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1.52756</c:v>
                </c:pt>
                <c:pt idx="1">
                  <c:v>1.52756</c:v>
                </c:pt>
                <c:pt idx="2">
                  <c:v>0</c:v>
                </c:pt>
              </c:numCache>
            </c:numRef>
          </c:xVal>
          <c:yVal>
            <c:numRef>
              <c:f>'R3'!$I$6:$I$8</c:f>
              <c:numCache>
                <c:formatCode>0.0_ </c:formatCode>
                <c:ptCount val="3"/>
                <c:pt idx="0">
                  <c:v>0</c:v>
                </c:pt>
                <c:pt idx="1">
                  <c:v>30.06881476825869</c:v>
                </c:pt>
                <c:pt idx="2">
                  <c:v>30.06881476825869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2.6447194727538039</c:v>
                </c:pt>
                <c:pt idx="1">
                  <c:v>2.6447194727538039</c:v>
                </c:pt>
                <c:pt idx="2">
                  <c:v>-7</c:v>
                </c:pt>
              </c:numCache>
            </c:numRef>
          </c:xVal>
          <c:yVal>
            <c:numRef>
              <c:f>'R'!$I$5:$I$7</c:f>
              <c:numCache>
                <c:formatCode>0.0_ </c:formatCode>
                <c:ptCount val="3"/>
                <c:pt idx="0">
                  <c:v>0</c:v>
                </c:pt>
                <c:pt idx="1">
                  <c:v>95.045623829965265</c:v>
                </c:pt>
                <c:pt idx="2">
                  <c:v>95.045623829965265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2.6447194727538039</c:v>
                </c:pt>
              </c:numCache>
            </c:numRef>
          </c:xVal>
          <c:yVal>
            <c:numRef>
              <c:f>'R'!$I$4</c:f>
              <c:numCache>
                <c:formatCode>0.00_ </c:formatCode>
                <c:ptCount val="1"/>
                <c:pt idx="0">
                  <c:v>95.045623829965265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FT!$J$2:$J$2000</c:f>
              <c:numCache>
                <c:formatCode>General</c:formatCode>
                <c:ptCount val="1999"/>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3.85399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3.85399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3.85399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3.85399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3.85399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3.85399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3.85399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3.85399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3.85399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3.85399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3.85399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3.85399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3.85399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3.85399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3.85399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3.85399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3.85399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3.85399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3.85399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3.85399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3.85399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3.85399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3.85399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3.85399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FT!$K$2:$K$2000</c:f>
              <c:numCache>
                <c:formatCode>General</c:formatCode>
                <c:ptCount val="1999"/>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45.7121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45.7121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45.7121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45.7121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45.7121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45.7121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45.7121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45.7121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45.7121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45.7121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45.7121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45.7121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45.7121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45.7121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45.7121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45.7121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45.7121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45.7121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45.7121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45.7121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45.7121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45.7121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45.7121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45.7121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FT!$L$2:$L$2000</c:f>
              <c:numCache>
                <c:formatCode>General</c:formatCode>
                <c:ptCount val="1999"/>
                <c:pt idx="0">
                  <c:v>11.860980438454693</c:v>
                </c:pt>
                <c:pt idx="1">
                  <c:v>12.229951655164779</c:v>
                </c:pt>
                <c:pt idx="2">
                  <c:v>12.658444378904468</c:v>
                </c:pt>
                <c:pt idx="3">
                  <c:v>13.242823490741754</c:v>
                </c:pt>
                <c:pt idx="4">
                  <c:v>13.85102461480804</c:v>
                </c:pt>
                <c:pt idx="5">
                  <c:v>14.382331561168204</c:v>
                </c:pt>
                <c:pt idx="6">
                  <c:v>14.848146429193015</c:v>
                </c:pt>
                <c:pt idx="7">
                  <c:v>15.243681511598401</c:v>
                </c:pt>
                <c:pt idx="8">
                  <c:v>15.615098457120421</c:v>
                </c:pt>
                <c:pt idx="9">
                  <c:v>15.945084490078953</c:v>
                </c:pt>
                <c:pt idx="10">
                  <c:v>16.350934124519032</c:v>
                </c:pt>
                <c:pt idx="11">
                  <c:v>16.736746863042018</c:v>
                </c:pt>
                <c:pt idx="12">
                  <c:v>17.162921438040023</c:v>
                </c:pt>
                <c:pt idx="13">
                  <c:v>17.645800206160764</c:v>
                </c:pt>
                <c:pt idx="14">
                  <c:v>18.127645071522402</c:v>
                </c:pt>
                <c:pt idx="15">
                  <c:v>18.593173555944528</c:v>
                </c:pt>
                <c:pt idx="16">
                  <c:v>19.016211110616791</c:v>
                </c:pt>
                <c:pt idx="17">
                  <c:v>19.411388288974443</c:v>
                </c:pt>
                <c:pt idx="18">
                  <c:v>19.721989451372799</c:v>
                </c:pt>
                <c:pt idx="19">
                  <c:v>19.995380586381259</c:v>
                </c:pt>
                <c:pt idx="20">
                  <c:v>20.242540656379234</c:v>
                </c:pt>
                <c:pt idx="21">
                  <c:v>20.482416998767945</c:v>
                </c:pt>
                <c:pt idx="22">
                  <c:v>20.70179783793234</c:v>
                </c:pt>
                <c:pt idx="23">
                  <c:v>20.914134237995057</c:v>
                </c:pt>
                <c:pt idx="24">
                  <c:v>21.042885566987433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4.5413051936084962E-2</c:v>
                </c:pt>
                <c:pt idx="16">
                  <c:v>0.14288259264062467</c:v>
                </c:pt>
                <c:pt idx="17">
                  <c:v>0.10047301494126561</c:v>
                </c:pt>
                <c:pt idx="18">
                  <c:v>0.11257687345997119</c:v>
                </c:pt>
                <c:pt idx="19">
                  <c:v>8.7094814582238389E-2</c:v>
                </c:pt>
                <c:pt idx="20">
                  <c:v>7.3989638720334178E-2</c:v>
                </c:pt>
                <c:pt idx="21">
                  <c:v>8.5274423747670761E-2</c:v>
                </c:pt>
                <c:pt idx="22">
                  <c:v>1.5926406246800494E-2</c:v>
                </c:pt>
                <c:pt idx="23">
                  <c:v>1.6836533407960028E-2</c:v>
                </c:pt>
                <c:pt idx="24">
                  <c:v>4.9417433979263785E-2</c:v>
                </c:pt>
                <c:pt idx="25">
                  <c:v>7.5354761205949208E-2</c:v>
                </c:pt>
                <c:pt idx="26">
                  <c:v>5.0509531967755802E-2</c:v>
                </c:pt>
                <c:pt idx="27">
                  <c:v>7.1077149897274539E-2</c:v>
                </c:pt>
                <c:pt idx="28">
                  <c:v>8.7731644221777802E-2</c:v>
                </c:pt>
                <c:pt idx="29">
                  <c:v>1.710955790508303E-2</c:v>
                </c:pt>
                <c:pt idx="30">
                  <c:v>7.4353443862750571E-2</c:v>
                </c:pt>
                <c:pt idx="31">
                  <c:v>9.6832915833373154E-2</c:v>
                </c:pt>
                <c:pt idx="32">
                  <c:v>9.4375695359266112E-2</c:v>
                </c:pt>
                <c:pt idx="33">
                  <c:v>0.10520521203765008</c:v>
                </c:pt>
                <c:pt idx="34">
                  <c:v>0.12895834328735145</c:v>
                </c:pt>
                <c:pt idx="35">
                  <c:v>0.14470298347519231</c:v>
                </c:pt>
                <c:pt idx="36">
                  <c:v>0.13232610045936372</c:v>
                </c:pt>
                <c:pt idx="37">
                  <c:v>0.13660302920679557</c:v>
                </c:pt>
                <c:pt idx="38">
                  <c:v>0.12049458387653832</c:v>
                </c:pt>
                <c:pt idx="39">
                  <c:v>0.16490679626229462</c:v>
                </c:pt>
                <c:pt idx="40">
                  <c:v>0.18356324271195232</c:v>
                </c:pt>
                <c:pt idx="41">
                  <c:v>0.15070952241189842</c:v>
                </c:pt>
                <c:pt idx="42">
                  <c:v>0.28795006381947624</c:v>
                </c:pt>
                <c:pt idx="43">
                  <c:v>0.18192509572921431</c:v>
                </c:pt>
                <c:pt idx="44">
                  <c:v>0.40453152409099902</c:v>
                </c:pt>
                <c:pt idx="45">
                  <c:v>0.4518555427385722</c:v>
                </c:pt>
                <c:pt idx="46">
                  <c:v>0.51173868825380353</c:v>
                </c:pt>
                <c:pt idx="47">
                  <c:v>0.58672964431733632</c:v>
                </c:pt>
                <c:pt idx="48">
                  <c:v>0.44876149262492576</c:v>
                </c:pt>
                <c:pt idx="49">
                  <c:v>0.62686424539441798</c:v>
                </c:pt>
                <c:pt idx="50">
                  <c:v>0.52839318257830681</c:v>
                </c:pt>
                <c:pt idx="51">
                  <c:v>0.26501600606114384</c:v>
                </c:pt>
                <c:pt idx="52">
                  <c:v>0.51911034967612468</c:v>
                </c:pt>
                <c:pt idx="53">
                  <c:v>0.44084378220835863</c:v>
                </c:pt>
                <c:pt idx="54">
                  <c:v>0.20649730047028467</c:v>
                </c:pt>
                <c:pt idx="55">
                  <c:v>0.34100759690663246</c:v>
                </c:pt>
                <c:pt idx="56">
                  <c:v>0.43037738811114823</c:v>
                </c:pt>
                <c:pt idx="57">
                  <c:v>0.18128826608967491</c:v>
                </c:pt>
                <c:pt idx="58">
                  <c:v>0.29413816404676907</c:v>
                </c:pt>
                <c:pt idx="59">
                  <c:v>0.32444388322742257</c:v>
                </c:pt>
                <c:pt idx="60">
                  <c:v>0.32608203021016058</c:v>
                </c:pt>
                <c:pt idx="61">
                  <c:v>0.30524138778351889</c:v>
                </c:pt>
                <c:pt idx="62">
                  <c:v>0.29550328653238411</c:v>
                </c:pt>
                <c:pt idx="63">
                  <c:v>0.54677728709208429</c:v>
                </c:pt>
                <c:pt idx="64">
                  <c:v>0.33918720607206482</c:v>
                </c:pt>
                <c:pt idx="65">
                  <c:v>0.37677380602974597</c:v>
                </c:pt>
                <c:pt idx="66">
                  <c:v>0.36903833946500847</c:v>
                </c:pt>
                <c:pt idx="67">
                  <c:v>0.58855003515190396</c:v>
                </c:pt>
                <c:pt idx="68">
                  <c:v>0.42509914202051774</c:v>
                </c:pt>
                <c:pt idx="69">
                  <c:v>0.52502610796753735</c:v>
                </c:pt>
                <c:pt idx="70">
                  <c:v>0.51874654453370828</c:v>
                </c:pt>
                <c:pt idx="71">
                  <c:v>0.47114950138901207</c:v>
                </c:pt>
                <c:pt idx="72">
                  <c:v>0.6168531196461603</c:v>
                </c:pt>
                <c:pt idx="73">
                  <c:v>0.66408635764843993</c:v>
                </c:pt>
                <c:pt idx="74">
                  <c:v>0.67537182523701933</c:v>
                </c:pt>
                <c:pt idx="75">
                  <c:v>0.54623123809783836</c:v>
                </c:pt>
                <c:pt idx="76">
                  <c:v>0.73834697318216869</c:v>
                </c:pt>
                <c:pt idx="77">
                  <c:v>0.70776822950439233</c:v>
                </c:pt>
                <c:pt idx="78">
                  <c:v>0.5873664739568758</c:v>
                </c:pt>
                <c:pt idx="79">
                  <c:v>0.7459916591016128</c:v>
                </c:pt>
                <c:pt idx="80">
                  <c:v>0.81552417290641399</c:v>
                </c:pt>
                <c:pt idx="81">
                  <c:v>0.83891554669742729</c:v>
                </c:pt>
                <c:pt idx="82">
                  <c:v>0.85565877398349566</c:v>
                </c:pt>
                <c:pt idx="83">
                  <c:v>0.84574115912550252</c:v>
                </c:pt>
                <c:pt idx="84">
                  <c:v>0.84637594108131353</c:v>
                </c:pt>
                <c:pt idx="85">
                  <c:v>0.16636269939320306</c:v>
                </c:pt>
                <c:pt idx="86">
                  <c:v>0.97069082023384545</c:v>
                </c:pt>
                <c:pt idx="87">
                  <c:v>0.70613008252165421</c:v>
                </c:pt>
                <c:pt idx="88">
                  <c:v>1</c:v>
                </c:pt>
                <c:pt idx="89">
                  <c:v>0.81434334195635705</c:v>
                </c:pt>
                <c:pt idx="90">
                  <c:v>0.67746455800746719</c:v>
                </c:pt>
                <c:pt idx="91">
                  <c:v>0.940207635130062</c:v>
                </c:pt>
                <c:pt idx="92">
                  <c:v>0.75518575904223006</c:v>
                </c:pt>
                <c:pt idx="93">
                  <c:v>0.4523108110875248</c:v>
                </c:pt>
                <c:pt idx="94">
                  <c:v>0.92491826329117388</c:v>
                </c:pt>
                <c:pt idx="95">
                  <c:v>0.77056386384268327</c:v>
                </c:pt>
                <c:pt idx="96">
                  <c:v>0.4292852901226562</c:v>
                </c:pt>
                <c:pt idx="97">
                  <c:v>0.7982348966260997</c:v>
                </c:pt>
                <c:pt idx="98">
                  <c:v>0.684929730320053</c:v>
                </c:pt>
                <c:pt idx="99">
                  <c:v>0.56843700301009503</c:v>
                </c:pt>
                <c:pt idx="100">
                  <c:v>0.58081388602592365</c:v>
                </c:pt>
                <c:pt idx="101">
                  <c:v>0.60920843372671618</c:v>
                </c:pt>
                <c:pt idx="102">
                  <c:v>0.401255230125523</c:v>
                </c:pt>
                <c:pt idx="103">
                  <c:v>0.71796569447193648</c:v>
                </c:pt>
                <c:pt idx="104">
                  <c:v>0.5699843693475396</c:v>
                </c:pt>
                <c:pt idx="105">
                  <c:v>0.54486611561222331</c:v>
                </c:pt>
                <c:pt idx="106">
                  <c:v>0.58572832697413768</c:v>
                </c:pt>
                <c:pt idx="107">
                  <c:v>0.34819701447712392</c:v>
                </c:pt>
                <c:pt idx="108">
                  <c:v>0.34901608796849298</c:v>
                </c:pt>
                <c:pt idx="109">
                  <c:v>0.51747220269338667</c:v>
                </c:pt>
                <c:pt idx="110">
                  <c:v>0.25546014866183869</c:v>
                </c:pt>
                <c:pt idx="111">
                  <c:v>0.31607158702314564</c:v>
                </c:pt>
                <c:pt idx="112">
                  <c:v>0.43374514528316049</c:v>
                </c:pt>
                <c:pt idx="113">
                  <c:v>0.31652617281085549</c:v>
                </c:pt>
                <c:pt idx="114">
                  <c:v>0.19503027159111852</c:v>
                </c:pt>
                <c:pt idx="115">
                  <c:v>0.27202317977980572</c:v>
                </c:pt>
                <c:pt idx="116">
                  <c:v>0.36430545980738116</c:v>
                </c:pt>
                <c:pt idx="117">
                  <c:v>0.10957360399161814</c:v>
                </c:pt>
                <c:pt idx="118">
                  <c:v>0.26328639587186958</c:v>
                </c:pt>
                <c:pt idx="119">
                  <c:v>0.12713863501402664</c:v>
                </c:pt>
                <c:pt idx="120">
                  <c:v>0.15935552567454114</c:v>
                </c:pt>
                <c:pt idx="121">
                  <c:v>0.11312292245421719</c:v>
                </c:pt>
                <c:pt idx="122">
                  <c:v>5.3785825933231862E-2</c:v>
                </c:pt>
                <c:pt idx="123">
                  <c:v>0.10693482222692431</c:v>
                </c:pt>
                <c:pt idx="124">
                  <c:v>2.4481219327404151E-2</c:v>
                </c:pt>
                <c:pt idx="125">
                  <c:v>8.6275741090869371E-2</c:v>
                </c:pt>
                <c:pt idx="126">
                  <c:v>8.1998129782194701E-2</c:v>
                </c:pt>
                <c:pt idx="127">
                  <c:v>1.6745479738169505E-2</c:v>
                </c:pt>
                <c:pt idx="128">
                  <c:v>6.92574416239497E-2</c:v>
                </c:pt>
                <c:pt idx="129">
                  <c:v>0</c:v>
                </c:pt>
                <c:pt idx="130">
                  <c:v>6.7619089872838836E-2</c:v>
                </c:pt>
                <c:pt idx="131">
                  <c:v>4.331990962889145E-2</c:v>
                </c:pt>
                <c:pt idx="132">
                  <c:v>4.8234350577105525E-3</c:v>
                </c:pt>
                <c:pt idx="133">
                  <c:v>3.4037076726709303E-2</c:v>
                </c:pt>
                <c:pt idx="134">
                  <c:v>1.0920979884920174E-2</c:v>
                </c:pt>
                <c:pt idx="135">
                  <c:v>1.5562396336011249E-2</c:v>
                </c:pt>
                <c:pt idx="136">
                  <c:v>7.917710416567126E-3</c:v>
                </c:pt>
                <c:pt idx="137">
                  <c:v>9.919867310094397E-3</c:v>
                </c:pt>
                <c:pt idx="138">
                  <c:v>7.4626468359873591E-3</c:v>
                </c:pt>
                <c:pt idx="139">
                  <c:v>0</c:v>
                </c:pt>
                <c:pt idx="140">
                  <c:v>5.2784713358406078E-3</c:v>
                </c:pt>
                <c:pt idx="141">
                  <c:v>2.5482263646105646E-3</c:v>
                </c:pt>
                <c:pt idx="142">
                  <c:v>0</c:v>
                </c:pt>
                <c:pt idx="143">
                  <c:v>2.5482263646105646E-3</c:v>
                </c:pt>
                <c:pt idx="144">
                  <c:v>0</c:v>
                </c:pt>
                <c:pt idx="145">
                  <c:v>2.6392390807265182E-3</c:v>
                </c:pt>
                <c:pt idx="146">
                  <c:v>0</c:v>
                </c:pt>
                <c:pt idx="147">
                  <c:v>2.6392390807265182E-3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4.698983003625614E-3</c:v>
                </c:pt>
                <c:pt idx="4">
                  <c:v>3.0554840286213702E-2</c:v>
                </c:pt>
                <c:pt idx="5">
                  <c:v>0</c:v>
                </c:pt>
                <c:pt idx="6">
                  <c:v>2.1752553639707083E-2</c:v>
                </c:pt>
                <c:pt idx="7">
                  <c:v>8.7561212920005807E-2</c:v>
                </c:pt>
                <c:pt idx="8">
                  <c:v>0</c:v>
                </c:pt>
                <c:pt idx="9">
                  <c:v>9.901885392899322E-2</c:v>
                </c:pt>
                <c:pt idx="10">
                  <c:v>0.44680197034324465</c:v>
                </c:pt>
                <c:pt idx="11">
                  <c:v>0.19905722867534106</c:v>
                </c:pt>
                <c:pt idx="12">
                  <c:v>0.48655893491672864</c:v>
                </c:pt>
                <c:pt idx="13">
                  <c:v>0.97454860001234367</c:v>
                </c:pt>
                <c:pt idx="14">
                  <c:v>0.9764924915485822</c:v>
                </c:pt>
                <c:pt idx="15">
                  <c:v>0.33255210631181525</c:v>
                </c:pt>
                <c:pt idx="16">
                  <c:v>1</c:v>
                </c:pt>
                <c:pt idx="17">
                  <c:v>0.66831512056514253</c:v>
                </c:pt>
                <c:pt idx="18">
                  <c:v>0.84176280793168512</c:v>
                </c:pt>
                <c:pt idx="19">
                  <c:v>0.45571193780349872</c:v>
                </c:pt>
                <c:pt idx="20">
                  <c:v>0.45819431932356031</c:v>
                </c:pt>
                <c:pt idx="21">
                  <c:v>0.59674330223882222</c:v>
                </c:pt>
                <c:pt idx="22">
                  <c:v>0.27844049472308635</c:v>
                </c:pt>
                <c:pt idx="23">
                  <c:v>0.28166975670439681</c:v>
                </c:pt>
                <c:pt idx="24">
                  <c:v>0.36191444176929394</c:v>
                </c:pt>
                <c:pt idx="25">
                  <c:v>0.29349737041114221</c:v>
                </c:pt>
                <c:pt idx="26">
                  <c:v>0.15259779628096806</c:v>
                </c:pt>
                <c:pt idx="27">
                  <c:v>0.2377751387775428</c:v>
                </c:pt>
                <c:pt idx="28">
                  <c:v>0.32248744525212575</c:v>
                </c:pt>
                <c:pt idx="29">
                  <c:v>8.3610273667891935E-2</c:v>
                </c:pt>
                <c:pt idx="30">
                  <c:v>0.22694527070963361</c:v>
                </c:pt>
                <c:pt idx="31">
                  <c:v>0.15120024736740262</c:v>
                </c:pt>
                <c:pt idx="32">
                  <c:v>0.18264517395747654</c:v>
                </c:pt>
                <c:pt idx="33">
                  <c:v>0.1147401633844267</c:v>
                </c:pt>
                <c:pt idx="34">
                  <c:v>0.17346714111944028</c:v>
                </c:pt>
                <c:pt idx="35">
                  <c:v>0.11527971527871127</c:v>
                </c:pt>
                <c:pt idx="36">
                  <c:v>0.12579802087915462</c:v>
                </c:pt>
                <c:pt idx="37">
                  <c:v>8.2336439900553254E-2</c:v>
                </c:pt>
                <c:pt idx="38">
                  <c:v>8.1689212347426432E-2</c:v>
                </c:pt>
                <c:pt idx="39">
                  <c:v>8.2830160392270619E-2</c:v>
                </c:pt>
                <c:pt idx="40">
                  <c:v>7.0866200303371152E-2</c:v>
                </c:pt>
                <c:pt idx="41">
                  <c:v>5.7101459155099135E-2</c:v>
                </c:pt>
                <c:pt idx="42">
                  <c:v>8.8190113067010897E-2</c:v>
                </c:pt>
                <c:pt idx="43">
                  <c:v>2.2532663478724971E-2</c:v>
                </c:pt>
                <c:pt idx="44">
                  <c:v>5.2560559050357392E-2</c:v>
                </c:pt>
                <c:pt idx="45">
                  <c:v>5.2117234629720462E-2</c:v>
                </c:pt>
                <c:pt idx="46">
                  <c:v>4.8247620879606878E-2</c:v>
                </c:pt>
                <c:pt idx="47">
                  <c:v>4.2918594199182994E-2</c:v>
                </c:pt>
                <c:pt idx="48">
                  <c:v>4.0440803981311266E-2</c:v>
                </c:pt>
                <c:pt idx="49">
                  <c:v>3.3262884652568166E-2</c:v>
                </c:pt>
                <c:pt idx="50">
                  <c:v>3.5771606878812312E-2</c:v>
                </c:pt>
                <c:pt idx="51">
                  <c:v>2.057952662009388E-2</c:v>
                </c:pt>
                <c:pt idx="52">
                  <c:v>4.0949420430619964E-2</c:v>
                </c:pt>
                <c:pt idx="53">
                  <c:v>3.794697427605502E-2</c:v>
                </c:pt>
                <c:pt idx="54">
                  <c:v>2.2592231844374863E-2</c:v>
                </c:pt>
                <c:pt idx="55">
                  <c:v>2.3313919424988613E-2</c:v>
                </c:pt>
                <c:pt idx="56">
                  <c:v>3.3744009992694286E-2</c:v>
                </c:pt>
                <c:pt idx="57">
                  <c:v>1.5154275043474944E-2</c:v>
                </c:pt>
                <c:pt idx="58">
                  <c:v>2.5318603616851051E-2</c:v>
                </c:pt>
                <c:pt idx="59">
                  <c:v>2.4073407065940695E-2</c:v>
                </c:pt>
                <c:pt idx="60">
                  <c:v>2.7400039191541065E-2</c:v>
                </c:pt>
                <c:pt idx="61">
                  <c:v>1.329621869209487E-2</c:v>
                </c:pt>
                <c:pt idx="62">
                  <c:v>1.6518605748232502E-2</c:v>
                </c:pt>
                <c:pt idx="63">
                  <c:v>2.9915632906354572E-2</c:v>
                </c:pt>
                <c:pt idx="64">
                  <c:v>1.4871329172816829E-2</c:v>
                </c:pt>
                <c:pt idx="65">
                  <c:v>1.4335218177722108E-2</c:v>
                </c:pt>
                <c:pt idx="66">
                  <c:v>1.7101683943329855E-2</c:v>
                </c:pt>
                <c:pt idx="67">
                  <c:v>1.7656123203697156E-2</c:v>
                </c:pt>
                <c:pt idx="68">
                  <c:v>1.5925219461130253E-2</c:v>
                </c:pt>
                <c:pt idx="69">
                  <c:v>1.200291055223785E-2</c:v>
                </c:pt>
                <c:pt idx="70">
                  <c:v>1.4146205847918401E-2</c:v>
                </c:pt>
                <c:pt idx="71">
                  <c:v>1.0001661245509229E-2</c:v>
                </c:pt>
                <c:pt idx="72">
                  <c:v>1.4466955215518289E-2</c:v>
                </c:pt>
                <c:pt idx="73">
                  <c:v>1.0001661245509229E-2</c:v>
                </c:pt>
                <c:pt idx="74">
                  <c:v>1.1488565285002106E-2</c:v>
                </c:pt>
                <c:pt idx="75">
                  <c:v>8.2661773697136134E-3</c:v>
                </c:pt>
                <c:pt idx="76">
                  <c:v>9.7084047053936431E-3</c:v>
                </c:pt>
                <c:pt idx="77">
                  <c:v>9.5274108305559019E-3</c:v>
                </c:pt>
                <c:pt idx="78">
                  <c:v>8.0370701876274885E-3</c:v>
                </c:pt>
                <c:pt idx="79">
                  <c:v>6.7013766992982671E-3</c:v>
                </c:pt>
                <c:pt idx="80">
                  <c:v>7.6636256612487869E-3</c:v>
                </c:pt>
                <c:pt idx="81">
                  <c:v>7.6006215513142183E-3</c:v>
                </c:pt>
                <c:pt idx="82">
                  <c:v>6.332514883600854E-3</c:v>
                </c:pt>
                <c:pt idx="83">
                  <c:v>6.0598771049476339E-3</c:v>
                </c:pt>
                <c:pt idx="84">
                  <c:v>6.760944205797299E-3</c:v>
                </c:pt>
                <c:pt idx="85">
                  <c:v>0</c:v>
                </c:pt>
                <c:pt idx="86">
                  <c:v>5.4997116041058686E-3</c:v>
                </c:pt>
                <c:pt idx="87">
                  <c:v>4.1548535535649257E-3</c:v>
                </c:pt>
                <c:pt idx="88">
                  <c:v>5.2648764632435615E-3</c:v>
                </c:pt>
                <c:pt idx="89">
                  <c:v>3.8753434271914891E-3</c:v>
                </c:pt>
                <c:pt idx="90">
                  <c:v>3.7378792897699857E-3</c:v>
                </c:pt>
                <c:pt idx="91">
                  <c:v>3.6015604004433766E-3</c:v>
                </c:pt>
                <c:pt idx="92">
                  <c:v>2.9314227305135493E-3</c:v>
                </c:pt>
                <c:pt idx="93">
                  <c:v>1.6953907418149163E-3</c:v>
                </c:pt>
                <c:pt idx="94">
                  <c:v>3.1719849710011797E-3</c:v>
                </c:pt>
                <c:pt idx="95">
                  <c:v>2.4548801010687198E-3</c:v>
                </c:pt>
                <c:pt idx="96">
                  <c:v>1.7194469658636791E-3</c:v>
                </c:pt>
                <c:pt idx="97">
                  <c:v>2.0825816819357692E-3</c:v>
                </c:pt>
                <c:pt idx="98">
                  <c:v>1.9336624861127606E-3</c:v>
                </c:pt>
                <c:pt idx="99">
                  <c:v>1.4903406429284136E-3</c:v>
                </c:pt>
                <c:pt idx="100">
                  <c:v>1.4983590978943817E-3</c:v>
                </c:pt>
                <c:pt idx="101">
                  <c:v>1.2692519158082572E-3</c:v>
                </c:pt>
                <c:pt idx="102">
                  <c:v>1.7034100559317432E-3</c:v>
                </c:pt>
                <c:pt idx="103">
                  <c:v>5.6131160808751729E-4</c:v>
                </c:pt>
                <c:pt idx="104">
                  <c:v>9.4964779630326288E-4</c:v>
                </c:pt>
                <c:pt idx="105">
                  <c:v>9.2330107606471417E-4</c:v>
                </c:pt>
                <c:pt idx="106">
                  <c:v>9.1757311728853195E-4</c:v>
                </c:pt>
                <c:pt idx="107">
                  <c:v>5.6703956686369951E-4</c:v>
                </c:pt>
                <c:pt idx="108">
                  <c:v>6.2660707336273109E-4</c:v>
                </c:pt>
                <c:pt idx="109">
                  <c:v>7.0450370428520241E-4</c:v>
                </c:pt>
                <c:pt idx="110">
                  <c:v>3.6313471607208984E-4</c:v>
                </c:pt>
                <c:pt idx="111">
                  <c:v>4.1926561913558388E-4</c:v>
                </c:pt>
                <c:pt idx="112">
                  <c:v>4.8341583631590488E-4</c:v>
                </c:pt>
                <c:pt idx="113">
                  <c:v>3.6313471607208984E-4</c:v>
                </c:pt>
                <c:pt idx="114">
                  <c:v>2.4170748858252299E-4</c:v>
                </c:pt>
                <c:pt idx="115">
                  <c:v>2.1650601643886708E-4</c:v>
                </c:pt>
                <c:pt idx="116">
                  <c:v>3.3793238477757503E-4</c:v>
                </c:pt>
                <c:pt idx="117">
                  <c:v>9.737014428994494E-5</c:v>
                </c:pt>
                <c:pt idx="118">
                  <c:v>2.1765126453375996E-4</c:v>
                </c:pt>
                <c:pt idx="119">
                  <c:v>1.145531614676328E-4</c:v>
                </c:pt>
                <c:pt idx="120">
                  <c:v>1.4777394772811563E-4</c:v>
                </c:pt>
                <c:pt idx="121">
                  <c:v>8.2478482452901745E-5</c:v>
                </c:pt>
                <c:pt idx="122">
                  <c:v>4.811244809752602E-5</c:v>
                </c:pt>
                <c:pt idx="123">
                  <c:v>7.5605275581826597E-5</c:v>
                </c:pt>
                <c:pt idx="124">
                  <c:v>1.7183017177687862E-5</c:v>
                </c:pt>
                <c:pt idx="125">
                  <c:v>5.3840406873708268E-5</c:v>
                </c:pt>
                <c:pt idx="126">
                  <c:v>4.9257696192418913E-5</c:v>
                </c:pt>
                <c:pt idx="127">
                  <c:v>5.7279587761822497E-6</c:v>
                </c:pt>
                <c:pt idx="128">
                  <c:v>3.6657389696020399E-5</c:v>
                </c:pt>
                <c:pt idx="129">
                  <c:v>0</c:v>
                </c:pt>
                <c:pt idx="130">
                  <c:v>3.5511282450268624E-5</c:v>
                </c:pt>
                <c:pt idx="131">
                  <c:v>2.5201472143655906E-5</c:v>
                </c:pt>
                <c:pt idx="132">
                  <c:v>3.436603435537573E-6</c:v>
                </c:pt>
                <c:pt idx="133">
                  <c:v>1.8328265272580762E-5</c:v>
                </c:pt>
                <c:pt idx="134">
                  <c:v>4.5818515304304692E-6</c:v>
                </c:pt>
                <c:pt idx="135">
                  <c:v>6.873206871075146E-6</c:v>
                </c:pt>
                <c:pt idx="136">
                  <c:v>5.7279587761822497E-6</c:v>
                </c:pt>
                <c:pt idx="137">
                  <c:v>2.2913553406446768E-6</c:v>
                </c:pt>
                <c:pt idx="138">
                  <c:v>3.436603435537573E-6</c:v>
                </c:pt>
                <c:pt idx="139">
                  <c:v>0</c:v>
                </c:pt>
                <c:pt idx="140">
                  <c:v>2.2913553406446768E-6</c:v>
                </c:pt>
                <c:pt idx="141">
                  <c:v>1.145248094892896E-6</c:v>
                </c:pt>
                <c:pt idx="142">
                  <c:v>0</c:v>
                </c:pt>
                <c:pt idx="143">
                  <c:v>1.145248094892896E-6</c:v>
                </c:pt>
                <c:pt idx="144">
                  <c:v>0</c:v>
                </c:pt>
                <c:pt idx="145">
                  <c:v>1.145248094892896E-6</c:v>
                </c:pt>
                <c:pt idx="146">
                  <c:v>0</c:v>
                </c:pt>
                <c:pt idx="147">
                  <c:v>1.145248094892896E-6</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(79.2 , 30.1)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79.17303390615568</c:v>
                </c:pt>
              </c:numCache>
            </c:numRef>
          </c:xVal>
          <c:yVal>
            <c:numRef>
              <c:f>info!$W$20:$W$21</c:f>
              <c:numCache>
                <c:formatCode>General</c:formatCode>
                <c:ptCount val="2"/>
                <c:pt idx="0">
                  <c:v>50</c:v>
                </c:pt>
                <c:pt idx="1">
                  <c:v>30.06881476825869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66.337699999999998</c:v>
                      </c:pt>
                    </c:numCache>
                  </c:numRef>
                </c:xVal>
                <c:yVal>
                  <c:numRef>
                    <c:extLst>
                      <c:ext uri="{02D57815-91ED-43cb-92C2-25804820EDAC}">
                        <c15:formulaRef>
                          <c15:sqref>info!$W$18</c15:sqref>
                        </c15:formulaRef>
                      </c:ext>
                    </c:extLst>
                    <c:numCache>
                      <c:formatCode>General</c:formatCode>
                      <c:ptCount val="1"/>
                      <c:pt idx="0">
                        <c:v>39.686399999999999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(79.2 , 30.1)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79.17303390615568</c:v>
                </c:pt>
              </c:numCache>
            </c:numRef>
          </c:xVal>
          <c:yVal>
            <c:numRef>
              <c:f>info!$W$20:$W$21</c:f>
              <c:numCache>
                <c:formatCode>General</c:formatCode>
                <c:ptCount val="2"/>
                <c:pt idx="0">
                  <c:v>50</c:v>
                </c:pt>
                <c:pt idx="1">
                  <c:v>30.06881476825869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37.504100000000001</c:v>
                </c:pt>
                <c:pt idx="1">
                  <c:v>16.597200000000001</c:v>
                </c:pt>
                <c:pt idx="2">
                  <c:v>27.982299999999999</c:v>
                </c:pt>
                <c:pt idx="3">
                  <c:v>27.5395</c:v>
                </c:pt>
                <c:pt idx="4">
                  <c:v>68.7577</c:v>
                </c:pt>
                <c:pt idx="5">
                  <c:v>87.932299999999998</c:v>
                </c:pt>
                <c:pt idx="6">
                  <c:v>23.439800000000002</c:v>
                </c:pt>
                <c:pt idx="7">
                  <c:v>78.298100000000005</c:v>
                </c:pt>
                <c:pt idx="8">
                  <c:v>17.728200000000001</c:v>
                </c:pt>
                <c:pt idx="9">
                  <c:v>19.619299999999999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0.5836933591720761</c:v>
                </c:pt>
                <c:pt idx="1">
                  <c:v>0.24759817141205115</c:v>
                </c:pt>
                <c:pt idx="2">
                  <c:v>0.16870846941587272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4.5413051936084962E-2</c:v>
                </c:pt>
                <c:pt idx="16">
                  <c:v>0.14288259264062467</c:v>
                </c:pt>
                <c:pt idx="17">
                  <c:v>0.10047301494126561</c:v>
                </c:pt>
                <c:pt idx="18">
                  <c:v>0.11257687345997119</c:v>
                </c:pt>
                <c:pt idx="19">
                  <c:v>8.7094814582238389E-2</c:v>
                </c:pt>
                <c:pt idx="20">
                  <c:v>7.3989638720334178E-2</c:v>
                </c:pt>
                <c:pt idx="21">
                  <c:v>8.5274423747670761E-2</c:v>
                </c:pt>
                <c:pt idx="22">
                  <c:v>1.5926406246800494E-2</c:v>
                </c:pt>
                <c:pt idx="23">
                  <c:v>1.6836533407960028E-2</c:v>
                </c:pt>
                <c:pt idx="24">
                  <c:v>4.9417433979263785E-2</c:v>
                </c:pt>
                <c:pt idx="25">
                  <c:v>7.5354761205949208E-2</c:v>
                </c:pt>
                <c:pt idx="26">
                  <c:v>5.0509531967755802E-2</c:v>
                </c:pt>
                <c:pt idx="27">
                  <c:v>7.1077149897274539E-2</c:v>
                </c:pt>
                <c:pt idx="28">
                  <c:v>8.7731644221777802E-2</c:v>
                </c:pt>
                <c:pt idx="29">
                  <c:v>1.710955790508303E-2</c:v>
                </c:pt>
                <c:pt idx="30">
                  <c:v>7.4353443862750571E-2</c:v>
                </c:pt>
                <c:pt idx="31">
                  <c:v>9.6832915833373154E-2</c:v>
                </c:pt>
                <c:pt idx="32">
                  <c:v>9.4375695359266112E-2</c:v>
                </c:pt>
                <c:pt idx="33">
                  <c:v>0.10520521203765008</c:v>
                </c:pt>
                <c:pt idx="34">
                  <c:v>0.12895834328735145</c:v>
                </c:pt>
                <c:pt idx="35">
                  <c:v>0.14470298347519231</c:v>
                </c:pt>
                <c:pt idx="36">
                  <c:v>0.13232610045936372</c:v>
                </c:pt>
                <c:pt idx="37">
                  <c:v>0.13660302920679557</c:v>
                </c:pt>
                <c:pt idx="38">
                  <c:v>0.12049458387653832</c:v>
                </c:pt>
                <c:pt idx="39">
                  <c:v>0.16490679626229462</c:v>
                </c:pt>
                <c:pt idx="40">
                  <c:v>0.18356324271195232</c:v>
                </c:pt>
                <c:pt idx="41">
                  <c:v>0.15070952241189842</c:v>
                </c:pt>
                <c:pt idx="42">
                  <c:v>0.28795006381947624</c:v>
                </c:pt>
                <c:pt idx="43">
                  <c:v>0.18192509572921431</c:v>
                </c:pt>
                <c:pt idx="44">
                  <c:v>0.40453152409099902</c:v>
                </c:pt>
                <c:pt idx="45">
                  <c:v>0.4518555427385722</c:v>
                </c:pt>
                <c:pt idx="46">
                  <c:v>0.51173868825380353</c:v>
                </c:pt>
                <c:pt idx="47">
                  <c:v>0.58672964431733632</c:v>
                </c:pt>
                <c:pt idx="48">
                  <c:v>0.44876149262492576</c:v>
                </c:pt>
                <c:pt idx="49">
                  <c:v>0.62686424539441798</c:v>
                </c:pt>
                <c:pt idx="50">
                  <c:v>0.52839318257830681</c:v>
                </c:pt>
                <c:pt idx="51">
                  <c:v>0.26501600606114384</c:v>
                </c:pt>
                <c:pt idx="52">
                  <c:v>0.51911034967612468</c:v>
                </c:pt>
                <c:pt idx="53">
                  <c:v>0.44084378220835863</c:v>
                </c:pt>
                <c:pt idx="54">
                  <c:v>0.20649730047028467</c:v>
                </c:pt>
                <c:pt idx="55">
                  <c:v>0.34100759690663246</c:v>
                </c:pt>
                <c:pt idx="56">
                  <c:v>0.43037738811114823</c:v>
                </c:pt>
                <c:pt idx="57">
                  <c:v>0.18128826608967491</c:v>
                </c:pt>
                <c:pt idx="58">
                  <c:v>0.29413816404676907</c:v>
                </c:pt>
                <c:pt idx="59">
                  <c:v>0.32444388322742257</c:v>
                </c:pt>
                <c:pt idx="60">
                  <c:v>0.32608203021016058</c:v>
                </c:pt>
                <c:pt idx="61">
                  <c:v>0.30524138778351889</c:v>
                </c:pt>
                <c:pt idx="62">
                  <c:v>0.29550328653238411</c:v>
                </c:pt>
                <c:pt idx="63">
                  <c:v>0.54677728709208429</c:v>
                </c:pt>
                <c:pt idx="64">
                  <c:v>0.33918720607206482</c:v>
                </c:pt>
                <c:pt idx="65">
                  <c:v>0.37677380602974597</c:v>
                </c:pt>
                <c:pt idx="66">
                  <c:v>0.36903833946500847</c:v>
                </c:pt>
                <c:pt idx="67">
                  <c:v>0.58855003515190396</c:v>
                </c:pt>
                <c:pt idx="68">
                  <c:v>0.42509914202051774</c:v>
                </c:pt>
                <c:pt idx="69">
                  <c:v>0.52502610796753735</c:v>
                </c:pt>
                <c:pt idx="70">
                  <c:v>0.51874654453370828</c:v>
                </c:pt>
                <c:pt idx="71">
                  <c:v>0.47114950138901207</c:v>
                </c:pt>
                <c:pt idx="72">
                  <c:v>0.6168531196461603</c:v>
                </c:pt>
                <c:pt idx="73">
                  <c:v>0.66408635764843993</c:v>
                </c:pt>
                <c:pt idx="74">
                  <c:v>0.67537182523701933</c:v>
                </c:pt>
                <c:pt idx="75">
                  <c:v>0.54623123809783836</c:v>
                </c:pt>
                <c:pt idx="76">
                  <c:v>0.73834697318216869</c:v>
                </c:pt>
                <c:pt idx="77">
                  <c:v>0.70776822950439233</c:v>
                </c:pt>
                <c:pt idx="78">
                  <c:v>0.5873664739568758</c:v>
                </c:pt>
                <c:pt idx="79">
                  <c:v>0.7459916591016128</c:v>
                </c:pt>
                <c:pt idx="80">
                  <c:v>0.81552417290641399</c:v>
                </c:pt>
                <c:pt idx="81">
                  <c:v>0.83891554669742729</c:v>
                </c:pt>
                <c:pt idx="82">
                  <c:v>0.85565877398349566</c:v>
                </c:pt>
                <c:pt idx="83">
                  <c:v>0.84574115912550252</c:v>
                </c:pt>
                <c:pt idx="84">
                  <c:v>0.84637594108131353</c:v>
                </c:pt>
                <c:pt idx="85">
                  <c:v>0.16636269939320306</c:v>
                </c:pt>
                <c:pt idx="86">
                  <c:v>0.97069082023384545</c:v>
                </c:pt>
                <c:pt idx="87">
                  <c:v>0.70613008252165421</c:v>
                </c:pt>
                <c:pt idx="88">
                  <c:v>1</c:v>
                </c:pt>
                <c:pt idx="89">
                  <c:v>0.81434334195635705</c:v>
                </c:pt>
                <c:pt idx="90">
                  <c:v>0.67746455800746719</c:v>
                </c:pt>
                <c:pt idx="91">
                  <c:v>0.940207635130062</c:v>
                </c:pt>
                <c:pt idx="92">
                  <c:v>0.75518575904223006</c:v>
                </c:pt>
                <c:pt idx="93">
                  <c:v>0.4523108110875248</c:v>
                </c:pt>
                <c:pt idx="94">
                  <c:v>0.92491826329117388</c:v>
                </c:pt>
                <c:pt idx="95">
                  <c:v>0.77056386384268327</c:v>
                </c:pt>
                <c:pt idx="96">
                  <c:v>0.4292852901226562</c:v>
                </c:pt>
                <c:pt idx="97">
                  <c:v>0.7982348966260997</c:v>
                </c:pt>
                <c:pt idx="98">
                  <c:v>0.684929730320053</c:v>
                </c:pt>
                <c:pt idx="99">
                  <c:v>0.56843700301009503</c:v>
                </c:pt>
                <c:pt idx="100">
                  <c:v>0.58081388602592365</c:v>
                </c:pt>
                <c:pt idx="101">
                  <c:v>0.60920843372671618</c:v>
                </c:pt>
                <c:pt idx="102">
                  <c:v>0.401255230125523</c:v>
                </c:pt>
                <c:pt idx="103">
                  <c:v>0.71796569447193648</c:v>
                </c:pt>
                <c:pt idx="104">
                  <c:v>0.5699843693475396</c:v>
                </c:pt>
                <c:pt idx="105">
                  <c:v>0.54486611561222331</c:v>
                </c:pt>
                <c:pt idx="106">
                  <c:v>0.58572832697413768</c:v>
                </c:pt>
                <c:pt idx="107">
                  <c:v>0.34819701447712392</c:v>
                </c:pt>
                <c:pt idx="108">
                  <c:v>0.34901608796849298</c:v>
                </c:pt>
                <c:pt idx="109">
                  <c:v>0.51747220269338667</c:v>
                </c:pt>
                <c:pt idx="110">
                  <c:v>0.25546014866183869</c:v>
                </c:pt>
                <c:pt idx="111">
                  <c:v>0.31607158702314564</c:v>
                </c:pt>
                <c:pt idx="112">
                  <c:v>0.43374514528316049</c:v>
                </c:pt>
                <c:pt idx="113">
                  <c:v>0.31652617281085549</c:v>
                </c:pt>
                <c:pt idx="114">
                  <c:v>0.19503027159111852</c:v>
                </c:pt>
                <c:pt idx="115">
                  <c:v>0.27202317977980572</c:v>
                </c:pt>
                <c:pt idx="116">
                  <c:v>0.36430545980738116</c:v>
                </c:pt>
                <c:pt idx="117">
                  <c:v>0.10957360399161814</c:v>
                </c:pt>
                <c:pt idx="118">
                  <c:v>0.26328639587186958</c:v>
                </c:pt>
                <c:pt idx="119">
                  <c:v>0.12713863501402664</c:v>
                </c:pt>
                <c:pt idx="120">
                  <c:v>0.15935552567454114</c:v>
                </c:pt>
                <c:pt idx="121">
                  <c:v>0.11312292245421719</c:v>
                </c:pt>
                <c:pt idx="122">
                  <c:v>5.3785825933231862E-2</c:v>
                </c:pt>
                <c:pt idx="123">
                  <c:v>0.10693482222692431</c:v>
                </c:pt>
                <c:pt idx="124">
                  <c:v>2.4481219327404151E-2</c:v>
                </c:pt>
                <c:pt idx="125">
                  <c:v>8.6275741090869371E-2</c:v>
                </c:pt>
                <c:pt idx="126">
                  <c:v>8.1998129782194701E-2</c:v>
                </c:pt>
                <c:pt idx="127">
                  <c:v>1.6745479738169505E-2</c:v>
                </c:pt>
                <c:pt idx="128">
                  <c:v>6.92574416239497E-2</c:v>
                </c:pt>
                <c:pt idx="129">
                  <c:v>0</c:v>
                </c:pt>
                <c:pt idx="130">
                  <c:v>6.7619089872838836E-2</c:v>
                </c:pt>
                <c:pt idx="131">
                  <c:v>4.331990962889145E-2</c:v>
                </c:pt>
                <c:pt idx="132">
                  <c:v>4.8234350577105525E-3</c:v>
                </c:pt>
                <c:pt idx="133">
                  <c:v>3.4037076726709303E-2</c:v>
                </c:pt>
                <c:pt idx="134">
                  <c:v>1.0920979884920174E-2</c:v>
                </c:pt>
                <c:pt idx="135">
                  <c:v>1.5562396336011249E-2</c:v>
                </c:pt>
                <c:pt idx="136">
                  <c:v>7.917710416567126E-3</c:v>
                </c:pt>
                <c:pt idx="137">
                  <c:v>9.919867310094397E-3</c:v>
                </c:pt>
                <c:pt idx="138">
                  <c:v>7.4626468359873591E-3</c:v>
                </c:pt>
                <c:pt idx="139">
                  <c:v>0</c:v>
                </c:pt>
                <c:pt idx="140">
                  <c:v>5.2784713358406078E-3</c:v>
                </c:pt>
                <c:pt idx="141">
                  <c:v>2.5482263646105646E-3</c:v>
                </c:pt>
                <c:pt idx="142">
                  <c:v>0</c:v>
                </c:pt>
                <c:pt idx="143">
                  <c:v>2.5482263646105646E-3</c:v>
                </c:pt>
                <c:pt idx="144">
                  <c:v>0</c:v>
                </c:pt>
                <c:pt idx="145">
                  <c:v>2.6392390807265182E-3</c:v>
                </c:pt>
                <c:pt idx="146">
                  <c:v>0</c:v>
                </c:pt>
                <c:pt idx="147">
                  <c:v>2.6392390807265182E-3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numCache>
              <c:extLst xmlns:c15="http://schemas.microsoft.com/office/drawing/2012/chart"/>
            </c:numRef>
          </c:xVal>
          <c:yVal>
            <c:numRef>
              <c:f>[0]!FT_PH</c:f>
              <c:numCache>
                <c:formatCode>0.00</c:formatCode>
                <c:ptCount val="25"/>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3.85399</c:v>
                </c:pt>
              </c:numCache>
            </c:numRef>
          </c:xVal>
          <c:yVal>
            <c:numRef>
              <c:f>[0]!FT_PH01</c:f>
              <c:numCache>
                <c:formatCode>0.00</c:formatCode>
                <c:ptCount val="1"/>
                <c:pt idx="0">
                  <c:v>45.7121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3.85399</c:v>
                </c:pt>
              </c:numCache>
            </c:numRef>
          </c:xVal>
          <c:yVal>
            <c:numRef>
              <c:f>[0]!FT_PH02</c:f>
              <c:numCache>
                <c:formatCode>0.00</c:formatCode>
                <c:ptCount val="1"/>
                <c:pt idx="0">
                  <c:v>45.7121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3.85399</c:v>
                </c:pt>
              </c:numCache>
            </c:numRef>
          </c:xVal>
          <c:yVal>
            <c:numRef>
              <c:f>[0]!FT_PH03</c:f>
              <c:numCache>
                <c:formatCode>0.00</c:formatCode>
                <c:ptCount val="1"/>
                <c:pt idx="0">
                  <c:v>45.7121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3.85399</c:v>
                </c:pt>
              </c:numCache>
            </c:numRef>
          </c:xVal>
          <c:yVal>
            <c:numRef>
              <c:f>[0]!FT_PH04</c:f>
              <c:numCache>
                <c:formatCode>0.00</c:formatCode>
                <c:ptCount val="1"/>
                <c:pt idx="0">
                  <c:v>45.7121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3.85399</c:v>
                </c:pt>
              </c:numCache>
            </c:numRef>
          </c:xVal>
          <c:yVal>
            <c:numRef>
              <c:f>[0]!FT_PH05</c:f>
              <c:numCache>
                <c:formatCode>0.00</c:formatCode>
                <c:ptCount val="1"/>
                <c:pt idx="0">
                  <c:v>45.7121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3.85399</c:v>
                </c:pt>
              </c:numCache>
            </c:numRef>
          </c:xVal>
          <c:yVal>
            <c:numRef>
              <c:f>[0]!FT_PH06</c:f>
              <c:numCache>
                <c:formatCode>0.00</c:formatCode>
                <c:ptCount val="1"/>
                <c:pt idx="0">
                  <c:v>45.7121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3.85399</c:v>
                </c:pt>
              </c:numCache>
            </c:numRef>
          </c:xVal>
          <c:yVal>
            <c:numRef>
              <c:f>[0]!FT_PH07</c:f>
              <c:numCache>
                <c:formatCode>0.00</c:formatCode>
                <c:ptCount val="1"/>
                <c:pt idx="0">
                  <c:v>45.7121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3.85399</c:v>
                </c:pt>
              </c:numCache>
            </c:numRef>
          </c:xVal>
          <c:yVal>
            <c:numRef>
              <c:f>[0]!FT_PH08</c:f>
              <c:numCache>
                <c:formatCode>0.00</c:formatCode>
                <c:ptCount val="1"/>
                <c:pt idx="0">
                  <c:v>45.7121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3.85399</c:v>
                </c:pt>
              </c:numCache>
            </c:numRef>
          </c:xVal>
          <c:yVal>
            <c:numRef>
              <c:f>[0]!FT_PH09</c:f>
              <c:numCache>
                <c:formatCode>0.00</c:formatCode>
                <c:ptCount val="1"/>
                <c:pt idx="0">
                  <c:v>45.7121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3.85399</c:v>
                </c:pt>
              </c:numCache>
            </c:numRef>
          </c:xVal>
          <c:yVal>
            <c:numRef>
              <c:f>[0]!FT_PH10</c:f>
              <c:numCache>
                <c:formatCode>0.00</c:formatCode>
                <c:ptCount val="1"/>
                <c:pt idx="0">
                  <c:v>45.7121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3.85399</c:v>
                </c:pt>
              </c:numCache>
            </c:numRef>
          </c:xVal>
          <c:yVal>
            <c:numRef>
              <c:f>[0]!FT_PH11</c:f>
              <c:numCache>
                <c:formatCode>0.00</c:formatCode>
                <c:ptCount val="1"/>
                <c:pt idx="0">
                  <c:v>45.7121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3.85399</c:v>
                </c:pt>
              </c:numCache>
            </c:numRef>
          </c:xVal>
          <c:yVal>
            <c:numRef>
              <c:f>[0]!FT_PH12</c:f>
              <c:numCache>
                <c:formatCode>0.00</c:formatCode>
                <c:ptCount val="1"/>
                <c:pt idx="0">
                  <c:v>45.7121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3.85399</c:v>
                </c:pt>
              </c:numCache>
            </c:numRef>
          </c:xVal>
          <c:yVal>
            <c:numRef>
              <c:f>[0]!FT_PH13</c:f>
              <c:numCache>
                <c:formatCode>0.00</c:formatCode>
                <c:ptCount val="1"/>
                <c:pt idx="0">
                  <c:v>45.7121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3.85399</c:v>
                </c:pt>
              </c:numCache>
            </c:numRef>
          </c:xVal>
          <c:yVal>
            <c:numRef>
              <c:f>[0]!FT_PH14</c:f>
              <c:numCache>
                <c:formatCode>0.00</c:formatCode>
                <c:ptCount val="1"/>
                <c:pt idx="0">
                  <c:v>45.7121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3.85399</c:v>
                </c:pt>
              </c:numCache>
            </c:numRef>
          </c:xVal>
          <c:yVal>
            <c:numRef>
              <c:f>[0]!FT_PH15</c:f>
              <c:numCache>
                <c:formatCode>0.00</c:formatCode>
                <c:ptCount val="1"/>
                <c:pt idx="0">
                  <c:v>45.7121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3.85399</c:v>
                </c:pt>
              </c:numCache>
            </c:numRef>
          </c:xVal>
          <c:yVal>
            <c:numRef>
              <c:f>[0]!FT_PH16</c:f>
              <c:numCache>
                <c:formatCode>0.00</c:formatCode>
                <c:ptCount val="1"/>
                <c:pt idx="0">
                  <c:v>45.7121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3.85399</c:v>
                </c:pt>
              </c:numCache>
            </c:numRef>
          </c:xVal>
          <c:yVal>
            <c:numRef>
              <c:f>[0]!FT_PH17</c:f>
              <c:numCache>
                <c:formatCode>0.00</c:formatCode>
                <c:ptCount val="1"/>
                <c:pt idx="0">
                  <c:v>45.7121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3.85399</c:v>
                </c:pt>
              </c:numCache>
            </c:numRef>
          </c:xVal>
          <c:yVal>
            <c:numRef>
              <c:f>[0]!FT_PH18</c:f>
              <c:numCache>
                <c:formatCode>0.00</c:formatCode>
                <c:ptCount val="1"/>
                <c:pt idx="0">
                  <c:v>45.7121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3.85399</c:v>
                </c:pt>
              </c:numCache>
            </c:numRef>
          </c:xVal>
          <c:yVal>
            <c:numRef>
              <c:f>[0]!FT_PH19</c:f>
              <c:numCache>
                <c:formatCode>0.00</c:formatCode>
                <c:ptCount val="1"/>
                <c:pt idx="0">
                  <c:v>45.7121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3.85399</c:v>
                </c:pt>
              </c:numCache>
            </c:numRef>
          </c:xVal>
          <c:yVal>
            <c:numRef>
              <c:f>[0]!FT_PH20</c:f>
              <c:numCache>
                <c:formatCode>0.00</c:formatCode>
                <c:ptCount val="1"/>
                <c:pt idx="0">
                  <c:v>45.7121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3.85399</c:v>
                </c:pt>
              </c:numCache>
            </c:numRef>
          </c:xVal>
          <c:yVal>
            <c:numRef>
              <c:f>[0]!FT_PH21</c:f>
              <c:numCache>
                <c:formatCode>0.00</c:formatCode>
                <c:ptCount val="1"/>
                <c:pt idx="0">
                  <c:v>45.7121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3.85399</c:v>
                </c:pt>
              </c:numCache>
            </c:numRef>
          </c:xVal>
          <c:yVal>
            <c:numRef>
              <c:f>[0]!FT_PH22</c:f>
              <c:numCache>
                <c:formatCode>0.00</c:formatCode>
                <c:ptCount val="1"/>
                <c:pt idx="0">
                  <c:v>45.7121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3.85399</c:v>
                </c:pt>
              </c:numCache>
            </c:numRef>
          </c:xVal>
          <c:yVal>
            <c:numRef>
              <c:f>[0]!FT_PH23</c:f>
              <c:numCache>
                <c:formatCode>0.00</c:formatCode>
                <c:ptCount val="1"/>
                <c:pt idx="0">
                  <c:v>45.7121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3.85399</c:v>
                </c:pt>
              </c:numCache>
            </c:numRef>
          </c:xVal>
          <c:yVal>
            <c:numRef>
              <c:f>[0]!FT_PH24</c:f>
              <c:numCache>
                <c:formatCode>0.00</c:formatCode>
                <c:ptCount val="1"/>
                <c:pt idx="0">
                  <c:v>45.7121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3.85399</c:v>
                </c:pt>
              </c:numCache>
            </c:numRef>
          </c:xVal>
          <c:yVal>
            <c:numRef>
              <c:f>info!$H$2</c:f>
              <c:numCache>
                <c:formatCode>0.00</c:formatCode>
                <c:ptCount val="1"/>
                <c:pt idx="0">
                  <c:v>45.7121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0.16806825801800832</c:v>
                </c:pt>
                <c:pt idx="1">
                  <c:v>0.27432706389605704</c:v>
                </c:pt>
                <c:pt idx="2">
                  <c:v>0.55760467808593461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[0]!FT_E</c:f>
              <c:numCache>
                <c:formatCode>0.00</c:formatCode>
                <c:ptCount val="25"/>
                <c:pt idx="0">
                  <c:v>3.85399</c:v>
                </c:pt>
                <c:pt idx="1">
                  <c:v>3.7935799999999995</c:v>
                </c:pt>
                <c:pt idx="2">
                  <c:v>3.7297000000000002</c:v>
                </c:pt>
                <c:pt idx="3">
                  <c:v>3.6508000000000003</c:v>
                </c:pt>
                <c:pt idx="4">
                  <c:v>3.5754900000000003</c:v>
                </c:pt>
                <c:pt idx="5">
                  <c:v>3.5079500000000001</c:v>
                </c:pt>
                <c:pt idx="6">
                  <c:v>3.4474</c:v>
                </c:pt>
                <c:pt idx="7">
                  <c:v>3.3892600000000002</c:v>
                </c:pt>
                <c:pt idx="8">
                  <c:v>3.3359699999999997</c:v>
                </c:pt>
                <c:pt idx="9">
                  <c:v>3.28796</c:v>
                </c:pt>
                <c:pt idx="10">
                  <c:v>3.2356499999999997</c:v>
                </c:pt>
                <c:pt idx="11">
                  <c:v>3.18302</c:v>
                </c:pt>
                <c:pt idx="12">
                  <c:v>3.1306499999999997</c:v>
                </c:pt>
                <c:pt idx="13">
                  <c:v>3.0752699999999997</c:v>
                </c:pt>
                <c:pt idx="14">
                  <c:v>3.0221300000000002</c:v>
                </c:pt>
                <c:pt idx="15">
                  <c:v>2.9708000000000001</c:v>
                </c:pt>
                <c:pt idx="16">
                  <c:v>2.9220699999999997</c:v>
                </c:pt>
                <c:pt idx="17">
                  <c:v>2.87541</c:v>
                </c:pt>
                <c:pt idx="18">
                  <c:v>2.8401800000000001</c:v>
                </c:pt>
                <c:pt idx="19">
                  <c:v>2.8142099999999997</c:v>
                </c:pt>
                <c:pt idx="20">
                  <c:v>2.7904600000000004</c:v>
                </c:pt>
                <c:pt idx="21">
                  <c:v>2.7677299999999998</c:v>
                </c:pt>
                <c:pt idx="22">
                  <c:v>2.74552</c:v>
                </c:pt>
                <c:pt idx="23">
                  <c:v>2.7236700000000003</c:v>
                </c:pt>
                <c:pt idx="24">
                  <c:v>2.7039400000000002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3.85399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3.85399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3.85399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3.85399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3.85399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3.85399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3.85399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3.85399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3.85399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3.85399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3.85399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3.85399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3.85399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3.85399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3.85399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3.85399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3.85399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3.85399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3.85399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3.85399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3.85399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3.85399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3.85399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3.85399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0.38859399999999999</c:v>
                </c:pt>
                <c:pt idx="2">
                  <c:v>0.80348399999999998</c:v>
                </c:pt>
                <c:pt idx="3">
                  <c:v>1.2163200000000001</c:v>
                </c:pt>
                <c:pt idx="4">
                  <c:v>1.6157699999999999</c:v>
                </c:pt>
                <c:pt idx="5">
                  <c:v>2.0202599999999999</c:v>
                </c:pt>
                <c:pt idx="6">
                  <c:v>2.4212600000000002</c:v>
                </c:pt>
                <c:pt idx="7">
                  <c:v>2.82911</c:v>
                </c:pt>
                <c:pt idx="8">
                  <c:v>3.2414299999999998</c:v>
                </c:pt>
                <c:pt idx="9">
                  <c:v>3.64798</c:v>
                </c:pt>
                <c:pt idx="10">
                  <c:v>4.0531300000000003</c:v>
                </c:pt>
                <c:pt idx="11">
                  <c:v>4.4580700000000002</c:v>
                </c:pt>
                <c:pt idx="12">
                  <c:v>4.8576499999999996</c:v>
                </c:pt>
                <c:pt idx="13">
                  <c:v>5.2788300000000001</c:v>
                </c:pt>
                <c:pt idx="14">
                  <c:v>5.6715999999999998</c:v>
                </c:pt>
                <c:pt idx="15">
                  <c:v>6.0886899999999997</c:v>
                </c:pt>
                <c:pt idx="16">
                  <c:v>6.4883199999999999</c:v>
                </c:pt>
                <c:pt idx="17">
                  <c:v>6.9051200000000001</c:v>
                </c:pt>
                <c:pt idx="18">
                  <c:v>7.3035500000000004</c:v>
                </c:pt>
                <c:pt idx="19">
                  <c:v>7.7056800000000001</c:v>
                </c:pt>
                <c:pt idx="20">
                  <c:v>8.1149799999999992</c:v>
                </c:pt>
                <c:pt idx="21">
                  <c:v>8.5171200000000002</c:v>
                </c:pt>
                <c:pt idx="22">
                  <c:v>8.9221199999999996</c:v>
                </c:pt>
                <c:pt idx="23">
                  <c:v>9.3386399999999998</c:v>
                </c:pt>
                <c:pt idx="24">
                  <c:v>9.7488899999999994</c:v>
                </c:pt>
              </c:numCache>
            </c:numRef>
          </c:xVal>
          <c:yVal>
            <c:numRef>
              <c:f>[0]!FT_PH</c:f>
              <c:numCache>
                <c:formatCode>0.00</c:formatCode>
                <c:ptCount val="25"/>
                <c:pt idx="0">
                  <c:v>45.7121</c:v>
                </c:pt>
                <c:pt idx="1">
                  <c:v>46.395299999999999</c:v>
                </c:pt>
                <c:pt idx="2">
                  <c:v>47.212199999999996</c:v>
                </c:pt>
                <c:pt idx="3">
                  <c:v>48.346899999999998</c:v>
                </c:pt>
                <c:pt idx="4">
                  <c:v>49.5242</c:v>
                </c:pt>
                <c:pt idx="5">
                  <c:v>50.452500000000001</c:v>
                </c:pt>
                <c:pt idx="6">
                  <c:v>51.1875</c:v>
                </c:pt>
                <c:pt idx="7">
                  <c:v>51.6648</c:v>
                </c:pt>
                <c:pt idx="8">
                  <c:v>52.091500000000003</c:v>
                </c:pt>
                <c:pt idx="9">
                  <c:v>52.426799999999993</c:v>
                </c:pt>
                <c:pt idx="10">
                  <c:v>52.905899999999995</c:v>
                </c:pt>
                <c:pt idx="11">
                  <c:v>53.273400000000002</c:v>
                </c:pt>
                <c:pt idx="12">
                  <c:v>53.731099999999998</c:v>
                </c:pt>
                <c:pt idx="13">
                  <c:v>54.265600000000006</c:v>
                </c:pt>
                <c:pt idx="14">
                  <c:v>54.784100000000002</c:v>
                </c:pt>
                <c:pt idx="15">
                  <c:v>55.236600000000003</c:v>
                </c:pt>
                <c:pt idx="16">
                  <c:v>55.566700000000004</c:v>
                </c:pt>
                <c:pt idx="17">
                  <c:v>55.8157</c:v>
                </c:pt>
                <c:pt idx="18">
                  <c:v>56.013999999999996</c:v>
                </c:pt>
                <c:pt idx="19">
                  <c:v>56.2712</c:v>
                </c:pt>
                <c:pt idx="20">
                  <c:v>56.486000000000004</c:v>
                </c:pt>
                <c:pt idx="21">
                  <c:v>56.689799999999998</c:v>
                </c:pt>
                <c:pt idx="22">
                  <c:v>56.837199999999996</c:v>
                </c:pt>
                <c:pt idx="23">
                  <c:v>56.963200000000001</c:v>
                </c:pt>
                <c:pt idx="24">
                  <c:v>56.898700000000005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45.7121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45.7121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45.7121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45.7121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45.7121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45.7121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45.7121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45.7121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45.7121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45.7121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45.7121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45.7121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45.7121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45.7121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45.7121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45.7121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45.7121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45.7121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45.7121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45.7121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45.7121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45.7121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45.7121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45.7121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95.05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2.6447194727538039</c:v>
                </c:pt>
                <c:pt idx="1">
                  <c:v>2.6447194727538039</c:v>
                </c:pt>
                <c:pt idx="2">
                  <c:v>-7</c:v>
                </c:pt>
              </c:numCache>
            </c:numRef>
          </c:xVal>
          <c:yVal>
            <c:numRef>
              <c:f>'R'!$I$5:$I$7</c:f>
              <c:numCache>
                <c:formatCode>0.0_ </c:formatCode>
                <c:ptCount val="3"/>
                <c:pt idx="0">
                  <c:v>0</c:v>
                </c:pt>
                <c:pt idx="1">
                  <c:v>95.045623829965265</c:v>
                </c:pt>
                <c:pt idx="2">
                  <c:v>95.045623829965265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2.6447194727538039</c:v>
                </c:pt>
                <c:pt idx="1">
                  <c:v>2.6447194727538039</c:v>
                </c:pt>
                <c:pt idx="2">
                  <c:v>-7</c:v>
                </c:pt>
              </c:numCache>
            </c:numRef>
          </c:xVal>
          <c:yVal>
            <c:numRef>
              <c:f>'R'!$I$5:$I$7</c:f>
              <c:numCache>
                <c:formatCode>0.0_ </c:formatCode>
                <c:ptCount val="3"/>
                <c:pt idx="0">
                  <c:v>0</c:v>
                </c:pt>
                <c:pt idx="1">
                  <c:v>95.045623829965265</c:v>
                </c:pt>
                <c:pt idx="2">
                  <c:v>95.045623829965265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2.6447194727538039</c:v>
                </c:pt>
              </c:numCache>
            </c:numRef>
          </c:xVal>
          <c:yVal>
            <c:numRef>
              <c:f>'R'!$I$4</c:f>
              <c:numCache>
                <c:formatCode>0.00_ </c:formatCode>
                <c:ptCount val="1"/>
                <c:pt idx="0">
                  <c:v>95.045623829965265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62.598340000000007</c:v>
                </c:pt>
                <c:pt idx="1">
                  <c:v>62.598340000000007</c:v>
                </c:pt>
                <c:pt idx="2">
                  <c:v>0</c:v>
                </c:pt>
              </c:numCache>
            </c:numRef>
          </c:xVal>
          <c:yVal>
            <c:numRef>
              <c:f>'R2'!$I$5:$I$7</c:f>
              <c:numCache>
                <c:formatCode>0.0_ </c:formatCode>
                <c:ptCount val="3"/>
                <c:pt idx="0">
                  <c:v>0</c:v>
                </c:pt>
                <c:pt idx="1">
                  <c:v>71.481028908059713</c:v>
                </c:pt>
                <c:pt idx="2">
                  <c:v>71.481028908059713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1.52756</c:v>
                </c:pt>
                <c:pt idx="1">
                  <c:v>1.52756</c:v>
                </c:pt>
                <c:pt idx="2">
                  <c:v>0</c:v>
                </c:pt>
              </c:numCache>
            </c:numRef>
          </c:xVal>
          <c:yVal>
            <c:numRef>
              <c:f>'R3'!$I$6:$I$8</c:f>
              <c:numCache>
                <c:formatCode>0.0_ </c:formatCode>
                <c:ptCount val="3"/>
                <c:pt idx="0">
                  <c:v>0</c:v>
                </c:pt>
                <c:pt idx="1">
                  <c:v>30.06881476825869</c:v>
                </c:pt>
                <c:pt idx="2">
                  <c:v>30.06881476825869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1.52756</c:v>
                </c:pt>
                <c:pt idx="1">
                  <c:v>1.52756</c:v>
                </c:pt>
                <c:pt idx="2">
                  <c:v>0</c:v>
                </c:pt>
              </c:numCache>
            </c:numRef>
          </c:xVal>
          <c:yVal>
            <c:numRef>
              <c:f>'R4'!$I$5:$I$7</c:f>
              <c:numCache>
                <c:formatCode>0.0_ </c:formatCode>
                <c:ptCount val="3"/>
                <c:pt idx="0">
                  <c:v>0</c:v>
                </c:pt>
                <c:pt idx="1">
                  <c:v>4.9300577291057968E-2</c:v>
                </c:pt>
                <c:pt idx="2">
                  <c:v>4.9300577291057968E-2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0.63746634484340725</c:v>
                </c:pt>
                <c:pt idx="1">
                  <c:v>0.27040825262056967</c:v>
                </c:pt>
                <c:pt idx="2">
                  <c:v>9.2125402536023179E-2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0.23304049238731717</c:v>
                </c:pt>
                <c:pt idx="1">
                  <c:v>0.380377084878539</c:v>
                </c:pt>
                <c:pt idx="2">
                  <c:v>0.38658242273414378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79.17303390615568</c:v>
                      </c:pt>
                    </c:numCache>
                  </c:numRef>
                </c:xVal>
                <c:yVal>
                  <c:numRef>
                    <c:extLst>
                      <c:ext uri="{02D57815-91ED-43cb-92C2-25804820EDAC}">
                        <c15:formulaRef>
                          <c15:sqref>info!$W$20:$W$21</c15:sqref>
                        </c15:formulaRef>
                      </c:ext>
                    </c:extLst>
                    <c:numCache>
                      <c:formatCode>General</c:formatCode>
                      <c:ptCount val="2"/>
                      <c:pt idx="0">
                        <c:v>50</c:v>
                      </c:pt>
                      <c:pt idx="1">
                        <c:v>30.06881476825869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(66.3 , 60.3)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66.337699999999998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39.686399999999999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1fik%5e1%5e1%5e\2025-06-11%2021_31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1fik%5e1%5e1%5e\2025-06-11%2021_31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B048C97-B32B-A668-5A9F-73579D535AD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0F94515-B2D9-C95B-DD6B-B415725C1B9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45819.896967592591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1fik</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45819.896967592591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1fik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( 90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2.6447194727538039</v>
      </c>
      <c r="I20" s="862"/>
      <c r="J20" s="311" t="str">
        <f>lang!B174</f>
        <v>정보량</v>
      </c>
      <c r="K20" s="236">
        <f ca="1">info!N9</f>
        <v>53.070119999999996</v>
      </c>
      <c r="L20" s="312" t="str">
        <f>lang!B175</f>
        <v>에너지</v>
      </c>
      <c r="M20" s="863">
        <f ca="1">info!M9</f>
        <v>3.1749124000000002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31.130700000000001</v>
      </c>
      <c r="N32" s="816"/>
      <c r="O32" s="817">
        <f>Measurement!N7</f>
        <v>37.504100000000001</v>
      </c>
      <c r="P32" s="818"/>
      <c r="Q32" s="819">
        <f>Measurement!T7</f>
        <v>44.354399999999998</v>
      </c>
      <c r="R32" s="820"/>
    </row>
    <row r="33" spans="3:18" ht="12.75" customHeight="1">
      <c r="C33" s="77"/>
      <c r="I33" s="502">
        <f>Measurement!L8</f>
        <v>1</v>
      </c>
      <c r="J33" s="139" t="str">
        <f>lang!B15</f>
        <v>스트레스</v>
      </c>
      <c r="K33" s="90" t="s">
        <v>226</v>
      </c>
      <c r="L33" s="504" t="str">
        <f>Measurement!Y8</f>
        <v>매우 낮음</v>
      </c>
      <c r="M33" s="792">
        <f>Measurement!R8</f>
        <v>12.542199999999999</v>
      </c>
      <c r="N33" s="793"/>
      <c r="O33" s="806">
        <f>Measurement!N8</f>
        <v>16.597200000000001</v>
      </c>
      <c r="P33" s="807"/>
      <c r="Q33" s="792">
        <f>Measurement!T8</f>
        <v>21.5535</v>
      </c>
      <c r="R33" s="808"/>
    </row>
    <row r="34" spans="3:18" ht="12.75" customHeight="1">
      <c r="C34" s="77"/>
      <c r="I34" s="502">
        <f>Measurement!L9</f>
        <v>3</v>
      </c>
      <c r="J34" s="139" t="str">
        <f>lang!B16</f>
        <v>불안</v>
      </c>
      <c r="K34" s="90" t="s">
        <v>227</v>
      </c>
      <c r="L34" s="504" t="str">
        <f>Measurement!Y9</f>
        <v>보통</v>
      </c>
      <c r="M34" s="792">
        <f>Measurement!R9</f>
        <v>19.021799999999999</v>
      </c>
      <c r="N34" s="793"/>
      <c r="O34" s="806">
        <f>Measurement!N9</f>
        <v>27.982299999999999</v>
      </c>
      <c r="P34" s="807"/>
      <c r="Q34" s="792">
        <f>Measurement!T9</f>
        <v>40.807699999999997</v>
      </c>
      <c r="R34" s="808"/>
    </row>
    <row r="35" spans="3:18" ht="12.75" customHeight="1">
      <c r="C35" s="77"/>
      <c r="I35" s="502">
        <f>Measurement!L10</f>
        <v>3</v>
      </c>
      <c r="J35" s="139" t="str">
        <f>lang!B17</f>
        <v>의심</v>
      </c>
      <c r="K35" s="90" t="s">
        <v>225</v>
      </c>
      <c r="L35" s="504" t="str">
        <f>Measurement!Y10</f>
        <v>보통</v>
      </c>
      <c r="M35" s="792">
        <f>Measurement!R10</f>
        <v>25.7712</v>
      </c>
      <c r="N35" s="793"/>
      <c r="O35" s="806">
        <f>Measurement!N10</f>
        <v>27.5395</v>
      </c>
      <c r="P35" s="807"/>
      <c r="Q35" s="792">
        <f>Measurement!T10</f>
        <v>32.989400000000003</v>
      </c>
      <c r="R35" s="808"/>
    </row>
    <row r="36" spans="3:18" ht="12.75" customHeight="1">
      <c r="C36" s="77"/>
      <c r="I36" s="502">
        <f>Measurement!L11</f>
        <v>3</v>
      </c>
      <c r="J36" s="139" t="str">
        <f>lang!B18</f>
        <v>밸런스</v>
      </c>
      <c r="K36" s="90" t="s">
        <v>2171</v>
      </c>
      <c r="L36" s="504" t="str">
        <f>Measurement!Y11</f>
        <v>보통</v>
      </c>
      <c r="M36" s="792">
        <f>Measurement!R11</f>
        <v>63.084000000000003</v>
      </c>
      <c r="N36" s="793"/>
      <c r="O36" s="806">
        <f>Measurement!N11</f>
        <v>68.7577</v>
      </c>
      <c r="P36" s="807"/>
      <c r="Q36" s="792">
        <f>Measurement!T11</f>
        <v>78.786100000000005</v>
      </c>
      <c r="R36" s="808"/>
    </row>
    <row r="37" spans="3:18" ht="12.75" customHeight="1">
      <c r="C37" s="77"/>
      <c r="I37" s="502">
        <f>Measurement!L12</f>
        <v>5</v>
      </c>
      <c r="J37" s="139" t="str">
        <f>lang!B19</f>
        <v>카리스마</v>
      </c>
      <c r="K37" s="90" t="s">
        <v>229</v>
      </c>
      <c r="L37" s="504" t="str">
        <f>Measurement!Y12</f>
        <v>매우 높음</v>
      </c>
      <c r="M37" s="792">
        <f>Measurement!R12</f>
        <v>84.860100000000003</v>
      </c>
      <c r="N37" s="793"/>
      <c r="O37" s="806">
        <f>Measurement!N12</f>
        <v>87.932299999999998</v>
      </c>
      <c r="P37" s="807"/>
      <c r="Q37" s="792">
        <f>Measurement!T12</f>
        <v>89.003100000000003</v>
      </c>
      <c r="R37" s="808"/>
    </row>
    <row r="38" spans="3:18" ht="12.75" customHeight="1">
      <c r="C38" s="77"/>
      <c r="I38" s="502">
        <f>Measurement!L13</f>
        <v>3</v>
      </c>
      <c r="J38" s="139" t="str">
        <f>lang!B20</f>
        <v>에너지</v>
      </c>
      <c r="K38" s="90" t="s">
        <v>2170</v>
      </c>
      <c r="L38" s="504" t="str">
        <f>Measurement!Y13</f>
        <v>보통</v>
      </c>
      <c r="M38" s="792">
        <f>Measurement!R13</f>
        <v>18.218699999999998</v>
      </c>
      <c r="N38" s="793"/>
      <c r="O38" s="806">
        <f>Measurement!N13</f>
        <v>23.439800000000002</v>
      </c>
      <c r="P38" s="807"/>
      <c r="Q38" s="792">
        <f>Measurement!T13</f>
        <v>29.957100000000001</v>
      </c>
      <c r="R38" s="808"/>
    </row>
    <row r="39" spans="3:18" ht="12.75" customHeight="1">
      <c r="C39" s="77"/>
      <c r="I39" s="502">
        <f>Measurement!L14</f>
        <v>4</v>
      </c>
      <c r="J39" s="139" t="str">
        <f>lang!B21</f>
        <v>자기조절</v>
      </c>
      <c r="K39" s="90" t="s">
        <v>230</v>
      </c>
      <c r="L39" s="504" t="str">
        <f>Measurement!Y14</f>
        <v>높음</v>
      </c>
      <c r="M39" s="792">
        <f>Measurement!R14</f>
        <v>74.197699999999998</v>
      </c>
      <c r="N39" s="793"/>
      <c r="O39" s="806">
        <f>Measurement!N14</f>
        <v>78.298100000000005</v>
      </c>
      <c r="P39" s="807"/>
      <c r="Q39" s="792">
        <f>Measurement!T14</f>
        <v>83.894599999999997</v>
      </c>
      <c r="R39" s="808"/>
    </row>
    <row r="40" spans="3:18" ht="12.75" customHeight="1">
      <c r="C40" s="77"/>
      <c r="I40" s="502">
        <f>Measurement!L15</f>
        <v>3</v>
      </c>
      <c r="J40" s="139" t="str">
        <f>lang!B22</f>
        <v>억제</v>
      </c>
      <c r="K40" s="91" t="s">
        <v>248</v>
      </c>
      <c r="L40" s="504" t="str">
        <f>Measurement!Y15</f>
        <v>보통</v>
      </c>
      <c r="M40" s="792">
        <f>Measurement!R15</f>
        <v>15.4293</v>
      </c>
      <c r="N40" s="793"/>
      <c r="O40" s="806">
        <f>Measurement!N15</f>
        <v>17.728200000000001</v>
      </c>
      <c r="P40" s="807"/>
      <c r="Q40" s="792">
        <f>Measurement!T15</f>
        <v>23.575700000000001</v>
      </c>
      <c r="R40" s="808"/>
    </row>
    <row r="41" spans="3:18" ht="12.75" customHeight="1" thickBot="1">
      <c r="C41" s="77"/>
      <c r="I41" s="502">
        <f>Measurement!L16</f>
        <v>2</v>
      </c>
      <c r="J41" s="140" t="str">
        <f>lang!B23</f>
        <v>신경성</v>
      </c>
      <c r="K41" s="92" t="s">
        <v>231</v>
      </c>
      <c r="L41" s="504" t="str">
        <f>Measurement!Y16</f>
        <v>낮음</v>
      </c>
      <c r="M41" s="794">
        <f>Measurement!R16</f>
        <v>3.0220699999999998</v>
      </c>
      <c r="N41" s="795"/>
      <c r="O41" s="796">
        <f>Measurement!N16</f>
        <v>19.619299999999999</v>
      </c>
      <c r="P41" s="797"/>
      <c r="Q41" s="794">
        <f>Measurement!T16</f>
        <v>20.0168</v>
      </c>
      <c r="R41" s="798"/>
    </row>
    <row r="42" spans="3:18" ht="29.25" customHeight="1" thickBot="1">
      <c r="C42" s="77"/>
      <c r="I42" s="84"/>
      <c r="J42" s="780" t="str">
        <f>lang!B215</f>
        <v>감정변이도</v>
      </c>
      <c r="K42" s="781"/>
      <c r="L42" s="319" t="str">
        <f>info!V43</f>
        <v>보통</v>
      </c>
      <c r="M42" s="782">
        <f>info!W43</f>
        <v>11.3672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1.52756</v>
      </c>
      <c r="E44" s="249" t="s">
        <v>1072</v>
      </c>
      <c r="G44" s="289"/>
      <c r="H44" s="289"/>
      <c r="I44" s="290"/>
      <c r="J44" s="802">
        <f>info!$W$36</f>
        <v>62.598340000000007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45819.896967592591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1fik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( 90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2.6447194727538039</v>
      </c>
      <c r="I20" s="862"/>
      <c r="J20" s="311" t="str">
        <f>lang!B174</f>
        <v>정보량</v>
      </c>
      <c r="K20" s="236">
        <f ca="1">info!N9</f>
        <v>53.070119999999996</v>
      </c>
      <c r="L20" s="312" t="str">
        <f>lang!B175</f>
        <v>에너지</v>
      </c>
      <c r="M20" s="863">
        <f ca="1">info!M9</f>
        <v>3.1749124000000002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31.130700000000001</v>
      </c>
      <c r="N32" s="816"/>
      <c r="O32" s="817">
        <f>Measurement!N7</f>
        <v>37.504100000000001</v>
      </c>
      <c r="P32" s="818"/>
      <c r="Q32" s="819">
        <f>Measurement!T7</f>
        <v>44.354399999999998</v>
      </c>
      <c r="R32" s="820"/>
    </row>
    <row r="33" spans="3:18" ht="12.75" customHeight="1">
      <c r="C33" s="77"/>
      <c r="I33" s="502">
        <f>Measurement!L8</f>
        <v>1</v>
      </c>
      <c r="J33" s="139" t="str">
        <f>lang!B15</f>
        <v>스트레스</v>
      </c>
      <c r="K33" s="90" t="s">
        <v>226</v>
      </c>
      <c r="L33" s="504" t="str">
        <f>Measurement!Y8</f>
        <v>매우 낮음</v>
      </c>
      <c r="M33" s="792">
        <f>Measurement!R8</f>
        <v>12.542199999999999</v>
      </c>
      <c r="N33" s="793"/>
      <c r="O33" s="806">
        <f>Measurement!N8</f>
        <v>16.597200000000001</v>
      </c>
      <c r="P33" s="807"/>
      <c r="Q33" s="792">
        <f>Measurement!T8</f>
        <v>21.5535</v>
      </c>
      <c r="R33" s="808"/>
    </row>
    <row r="34" spans="3:18" ht="12.75" customHeight="1">
      <c r="C34" s="77"/>
      <c r="I34" s="502">
        <f>Measurement!L9</f>
        <v>3</v>
      </c>
      <c r="J34" s="139" t="str">
        <f>lang!B16</f>
        <v>불안</v>
      </c>
      <c r="K34" s="90" t="s">
        <v>227</v>
      </c>
      <c r="L34" s="504" t="str">
        <f>Measurement!Y9</f>
        <v>보통</v>
      </c>
      <c r="M34" s="792">
        <f>Measurement!R9</f>
        <v>19.021799999999999</v>
      </c>
      <c r="N34" s="793"/>
      <c r="O34" s="806">
        <f>Measurement!N9</f>
        <v>27.982299999999999</v>
      </c>
      <c r="P34" s="807"/>
      <c r="Q34" s="792">
        <f>Measurement!T9</f>
        <v>40.807699999999997</v>
      </c>
      <c r="R34" s="808"/>
    </row>
    <row r="35" spans="3:18" ht="12.75" customHeight="1">
      <c r="C35" s="77"/>
      <c r="I35" s="502">
        <f>Measurement!L10</f>
        <v>3</v>
      </c>
      <c r="J35" s="139" t="str">
        <f>lang!B17</f>
        <v>의심</v>
      </c>
      <c r="K35" s="90" t="s">
        <v>225</v>
      </c>
      <c r="L35" s="504" t="str">
        <f>Measurement!Y10</f>
        <v>보통</v>
      </c>
      <c r="M35" s="792">
        <f>Measurement!R10</f>
        <v>25.7712</v>
      </c>
      <c r="N35" s="793"/>
      <c r="O35" s="806">
        <f>Measurement!N10</f>
        <v>27.5395</v>
      </c>
      <c r="P35" s="807"/>
      <c r="Q35" s="792">
        <f>Measurement!T10</f>
        <v>32.989400000000003</v>
      </c>
      <c r="R35" s="808"/>
    </row>
    <row r="36" spans="3:18" ht="12.75" customHeight="1">
      <c r="C36" s="77"/>
      <c r="I36" s="502">
        <f>Measurement!L11</f>
        <v>3</v>
      </c>
      <c r="J36" s="139" t="str">
        <f>lang!B18</f>
        <v>밸런스</v>
      </c>
      <c r="K36" s="90" t="s">
        <v>2171</v>
      </c>
      <c r="L36" s="504" t="str">
        <f>Measurement!Y11</f>
        <v>보통</v>
      </c>
      <c r="M36" s="792">
        <f>Measurement!R11</f>
        <v>63.084000000000003</v>
      </c>
      <c r="N36" s="793"/>
      <c r="O36" s="806">
        <f>Measurement!N11</f>
        <v>68.7577</v>
      </c>
      <c r="P36" s="807"/>
      <c r="Q36" s="792">
        <f>Measurement!T11</f>
        <v>78.786100000000005</v>
      </c>
      <c r="R36" s="808"/>
    </row>
    <row r="37" spans="3:18" ht="12.75" customHeight="1">
      <c r="C37" s="77"/>
      <c r="I37" s="502">
        <f>Measurement!L12</f>
        <v>5</v>
      </c>
      <c r="J37" s="139" t="str">
        <f>lang!B19</f>
        <v>카리스마</v>
      </c>
      <c r="K37" s="90" t="s">
        <v>229</v>
      </c>
      <c r="L37" s="504" t="str">
        <f>Measurement!Y12</f>
        <v>매우 높음</v>
      </c>
      <c r="M37" s="792">
        <f>Measurement!R12</f>
        <v>84.860100000000003</v>
      </c>
      <c r="N37" s="793"/>
      <c r="O37" s="806">
        <f>Measurement!N12</f>
        <v>87.932299999999998</v>
      </c>
      <c r="P37" s="807"/>
      <c r="Q37" s="792">
        <f>Measurement!T12</f>
        <v>89.003100000000003</v>
      </c>
      <c r="R37" s="808"/>
    </row>
    <row r="38" spans="3:18" ht="12.75" customHeight="1">
      <c r="C38" s="77"/>
      <c r="I38" s="502">
        <f>Measurement!L13</f>
        <v>3</v>
      </c>
      <c r="J38" s="139" t="str">
        <f>lang!B20</f>
        <v>에너지</v>
      </c>
      <c r="K38" s="90" t="s">
        <v>2170</v>
      </c>
      <c r="L38" s="504" t="str">
        <f>Measurement!Y13</f>
        <v>보통</v>
      </c>
      <c r="M38" s="792">
        <f>Measurement!R13</f>
        <v>18.218699999999998</v>
      </c>
      <c r="N38" s="793"/>
      <c r="O38" s="806">
        <f>Measurement!N13</f>
        <v>23.439800000000002</v>
      </c>
      <c r="P38" s="807"/>
      <c r="Q38" s="792">
        <f>Measurement!T13</f>
        <v>29.957100000000001</v>
      </c>
      <c r="R38" s="808"/>
    </row>
    <row r="39" spans="3:18" ht="12.75" customHeight="1">
      <c r="C39" s="77"/>
      <c r="I39" s="502">
        <f>Measurement!L14</f>
        <v>4</v>
      </c>
      <c r="J39" s="139" t="str">
        <f>lang!B21</f>
        <v>자기조절</v>
      </c>
      <c r="K39" s="90" t="s">
        <v>230</v>
      </c>
      <c r="L39" s="504" t="str">
        <f>Measurement!Y14</f>
        <v>높음</v>
      </c>
      <c r="M39" s="792">
        <f>Measurement!R14</f>
        <v>74.197699999999998</v>
      </c>
      <c r="N39" s="793"/>
      <c r="O39" s="806">
        <f>Measurement!N14</f>
        <v>78.298100000000005</v>
      </c>
      <c r="P39" s="807"/>
      <c r="Q39" s="792">
        <f>Measurement!T14</f>
        <v>83.894599999999997</v>
      </c>
      <c r="R39" s="808"/>
    </row>
    <row r="40" spans="3:18" ht="12.75" customHeight="1">
      <c r="C40" s="77"/>
      <c r="I40" s="502">
        <f>Measurement!L15</f>
        <v>3</v>
      </c>
      <c r="J40" s="139" t="str">
        <f>lang!B22</f>
        <v>억제</v>
      </c>
      <c r="K40" s="91" t="s">
        <v>248</v>
      </c>
      <c r="L40" s="504" t="str">
        <f>Measurement!Y15</f>
        <v>보통</v>
      </c>
      <c r="M40" s="792">
        <f>Measurement!R15</f>
        <v>15.4293</v>
      </c>
      <c r="N40" s="793"/>
      <c r="O40" s="806">
        <f>Measurement!N15</f>
        <v>17.728200000000001</v>
      </c>
      <c r="P40" s="807"/>
      <c r="Q40" s="792">
        <f>Measurement!T15</f>
        <v>23.575700000000001</v>
      </c>
      <c r="R40" s="808"/>
    </row>
    <row r="41" spans="3:18" ht="12.75" customHeight="1" thickBot="1">
      <c r="C41" s="77"/>
      <c r="I41" s="502">
        <f>Measurement!L16</f>
        <v>2</v>
      </c>
      <c r="J41" s="140" t="str">
        <f>lang!B23</f>
        <v>신경성</v>
      </c>
      <c r="K41" s="92" t="s">
        <v>231</v>
      </c>
      <c r="L41" s="504" t="str">
        <f>Measurement!Y16</f>
        <v>낮음</v>
      </c>
      <c r="M41" s="794">
        <f>Measurement!R16</f>
        <v>3.0220699999999998</v>
      </c>
      <c r="N41" s="795"/>
      <c r="O41" s="796">
        <f>Measurement!N16</f>
        <v>19.619299999999999</v>
      </c>
      <c r="P41" s="797"/>
      <c r="Q41" s="794">
        <f>Measurement!T16</f>
        <v>20.0168</v>
      </c>
      <c r="R41" s="798"/>
    </row>
    <row r="42" spans="3:18" ht="29.25" customHeight="1" thickBot="1">
      <c r="C42" s="77"/>
      <c r="I42" s="84"/>
      <c r="J42" s="780" t="str">
        <f>lang!B215</f>
        <v>감정변이도</v>
      </c>
      <c r="K42" s="781"/>
      <c r="L42" s="319" t="str">
        <f>info!V43</f>
        <v>보통</v>
      </c>
      <c r="M42" s="782">
        <f>info!W43</f>
        <v>11.3672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1.52756</v>
      </c>
      <c r="E44" s="249" t="s">
        <v>1195</v>
      </c>
      <c r="G44" s="289"/>
      <c r="H44" s="289"/>
      <c r="I44" s="290"/>
      <c r="J44" s="802">
        <f>info!$W$36</f>
        <v>62.598340000000007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45819.896967592591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1fik</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(-0.05,-0.12)</v>
      </c>
      <c r="S18" s="966"/>
      <c r="T18" s="967"/>
    </row>
    <row r="19" spans="2:22" ht="16.5" customHeight="1">
      <c r="C19" s="136" t="str">
        <f>lang!B328</f>
        <v>최소값</v>
      </c>
      <c r="D19" s="105">
        <f ca="1">info!M7</f>
        <v>45.7121</v>
      </c>
      <c r="E19" s="94" t="str">
        <f>lang!B330</f>
        <v>평균값</v>
      </c>
      <c r="F19" s="971">
        <f ca="1">info!N9</f>
        <v>53.070119999999996</v>
      </c>
      <c r="G19" s="972"/>
      <c r="H19" s="912" t="str">
        <f>lang!B329</f>
        <v>최대값</v>
      </c>
      <c r="I19" s="913"/>
      <c r="J19" s="105">
        <f ca="1">info!M8</f>
        <v>56.963200000000001</v>
      </c>
      <c r="K19" s="137" t="str">
        <f>lang!B328</f>
        <v>최소값</v>
      </c>
      <c r="L19" s="105">
        <f ca="1">info!M5</f>
        <v>2.7039400000000002</v>
      </c>
      <c r="M19" s="94" t="str">
        <f>lang!B330</f>
        <v>평균값</v>
      </c>
      <c r="N19" s="971">
        <f ca="1">info!M9</f>
        <v>3.1749124000000002</v>
      </c>
      <c r="O19" s="972">
        <f>info!T9</f>
        <v>1</v>
      </c>
      <c r="P19" s="94" t="str">
        <f>lang!B329</f>
        <v>최대값</v>
      </c>
      <c r="Q19" s="105">
        <f ca="1">info!M6</f>
        <v>3.85399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17.040941320874751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1.5275650000000001</v>
      </c>
      <c r="N47" s="986"/>
      <c r="O47" s="451"/>
      <c r="P47" s="491" t="s">
        <v>1101</v>
      </c>
      <c r="Q47" s="987">
        <f>hist!M3</f>
        <v>0.44124999999999998</v>
      </c>
      <c r="R47" s="986"/>
      <c r="S47" s="451"/>
      <c r="T47" s="452"/>
    </row>
    <row r="48" spans="3:20" ht="18" customHeight="1">
      <c r="C48" s="931"/>
      <c r="D48" s="910"/>
      <c r="E48" s="910"/>
      <c r="F48" s="355"/>
      <c r="G48" s="355"/>
      <c r="H48" s="356"/>
      <c r="I48" s="356"/>
      <c r="J48" s="951"/>
      <c r="K48" s="951"/>
      <c r="L48" s="936"/>
      <c r="M48" s="988">
        <f>hist!N2</f>
        <v>0.45286900000000002</v>
      </c>
      <c r="N48" s="989"/>
      <c r="O48" s="451"/>
      <c r="P48" s="491" t="s">
        <v>1102</v>
      </c>
      <c r="Q48" s="986">
        <f>hist!N3</f>
        <v>0.25900499999999999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0.20508999999999999</v>
      </c>
      <c r="N49" s="991"/>
      <c r="O49" s="453"/>
      <c r="P49" s="454" t="s">
        <v>1588</v>
      </c>
      <c r="Q49" s="992">
        <f>hist!O3</f>
        <v>6.7084000000000005E-2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vision^1fik^1^1^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79.17303390615568</v>
      </c>
      <c r="CK4" s="422">
        <f>info!W21</f>
        <v>30.06881476825869</v>
      </c>
      <c r="CL4">
        <f>100-M!B19*100</f>
        <v>39.686399999999999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45819.896967592591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11.3672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7</v>
      </c>
      <c r="CB6" s="220">
        <f t="shared" si="0"/>
        <v>5</v>
      </c>
      <c r="CC6" s="220">
        <f t="shared" si="0"/>
        <v>9</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37.504100000000001</v>
      </c>
      <c r="O7" s="48">
        <f>M!C5*1</f>
        <v>4.0762900000000002</v>
      </c>
      <c r="P7" s="48">
        <f>M!D5*1</f>
        <v>10.8689</v>
      </c>
      <c r="Q7" s="48">
        <f>M!E5*1</f>
        <v>20</v>
      </c>
      <c r="R7" s="48">
        <f>IF(M!B5="","",M!F5*1)</f>
        <v>31.130700000000001</v>
      </c>
      <c r="S7" s="48">
        <f>M!G5*1</f>
        <v>50</v>
      </c>
      <c r="T7" s="48">
        <f>IF(M!B5="","",M!H5*1)</f>
        <v>44.354399999999998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-0.58933398889506583</v>
      </c>
      <c r="AI7" s="98">
        <v>2.5024862326905418E-2</v>
      </c>
      <c r="AJ7" s="98">
        <v>-7.7313821231156016E-2</v>
      </c>
      <c r="AK7" s="98">
        <v>0.50012525104428274</v>
      </c>
      <c r="AL7" s="98">
        <v>-8.545985269705475E-2</v>
      </c>
      <c r="AM7" s="98">
        <f>$AH7*AI7+$AH8*AI8+$AH9*AI9+$AH10*AI10+$AH11*AI11+$AH12*AI12+$AH13*AI13+$AH14*AI14+$AH15*AI15+$AH16*AI16</f>
        <v>3.2018074770305334</v>
      </c>
      <c r="AN7" s="98">
        <f t="shared" ref="AN7:AP7" si="2">$AH7*AJ7+$AH8*AJ8+$AH9*AJ9+$AH10*AJ10+$AH11*AJ11+$AH12*AJ12+$AH13*AJ13+$AH14*AJ14+$AH15*AJ15+$AH16*AJ16</f>
        <v>1.8720293722866925</v>
      </c>
      <c r="AO7" s="98">
        <f t="shared" si="2"/>
        <v>-0.7145368363225918</v>
      </c>
      <c r="AP7" s="98">
        <f t="shared" si="2"/>
        <v>-0.58500474177856332</v>
      </c>
      <c r="AQ7" s="335">
        <f>IF(SUM(N7:N16)&gt;0, 0.8608*AM7+0.333*AN7+0.104*AO7+1.129*AP7,"")</f>
        <v>2.6447194727538039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37.504100000000001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304.40213908559997</v>
      </c>
      <c r="BL7" s="56">
        <f t="shared" ref="BL7:BT7" si="3">BB7*$AY7+BB8*$AY8+BB9*$AY9+BB10*$AY10+BB11*$AY11+BB12*$AY12+BB13*$AY13+BB14</f>
        <v>298.54972770759997</v>
      </c>
      <c r="BM7" s="56">
        <f t="shared" si="3"/>
        <v>292.61728026859998</v>
      </c>
      <c r="BN7" s="56">
        <f t="shared" si="3"/>
        <v>300.57536075979993</v>
      </c>
      <c r="BO7" s="56">
        <f t="shared" si="3"/>
        <v>301.99246470640014</v>
      </c>
      <c r="BP7" s="56">
        <f t="shared" si="3"/>
        <v>289.85080061100007</v>
      </c>
      <c r="BQ7" s="56">
        <f t="shared" si="3"/>
        <v>294.81213902080003</v>
      </c>
      <c r="BR7" s="56">
        <f t="shared" si="3"/>
        <v>286.20482784159992</v>
      </c>
      <c r="BS7" s="56">
        <f t="shared" si="3"/>
        <v>289.05743406639994</v>
      </c>
      <c r="BT7" s="56">
        <f t="shared" si="3"/>
        <v>270.17110172019994</v>
      </c>
      <c r="BU7" s="56">
        <f>EXP(BK7)+EXP(BL7)+EXP(BM7)+EXP(BN7)+EXP(BO7)+EXP(BP7)+EXP(BQ7)+EXP(BR7)+EXP(BS7)+EXP(BT7)</f>
        <v>1.7671693035516293E+132</v>
      </c>
      <c r="BV7" s="56">
        <f>IF(SUM($AY$7:$AY$13)&gt;0,EXP(BK7)/$BU$7,"")</f>
        <v>0.8972038434815427</v>
      </c>
      <c r="BW7" s="56">
        <f t="shared" ref="BW7:CE7" si="4">IF(SUM($AY$7:$AY$13)&gt;0,EXP(BL7)/$BU$7,"")</f>
        <v>2.577633444728859E-3</v>
      </c>
      <c r="BX7" s="56">
        <f t="shared" si="4"/>
        <v>6.8358412919910402E-6</v>
      </c>
      <c r="BY7" s="56">
        <f t="shared" si="4"/>
        <v>1.9540803385732618E-2</v>
      </c>
      <c r="BZ7" s="56">
        <f t="shared" si="4"/>
        <v>8.0608871145799593E-2</v>
      </c>
      <c r="CA7" s="56">
        <f t="shared" si="4"/>
        <v>4.2985810672222574E-7</v>
      </c>
      <c r="CB7" s="56">
        <f t="shared" si="4"/>
        <v>6.1377192020693676E-5</v>
      </c>
      <c r="CC7" s="56">
        <f t="shared" si="4"/>
        <v>1.1217582354652323E-8</v>
      </c>
      <c r="CD7" s="56">
        <f t="shared" si="4"/>
        <v>1.9443319337487576E-7</v>
      </c>
      <c r="CE7" s="56">
        <f t="shared" si="4"/>
        <v>1.2205075990728567E-15</v>
      </c>
      <c r="CF7" s="418" t="s">
        <v>1870</v>
      </c>
      <c r="CG7" s="221">
        <f>IF(SUM($AY$7:$AY$13)&gt;0,HLOOKUP(1,$BV$6:$CE$7,2,FALSE),"")</f>
        <v>0.8972038434815427</v>
      </c>
      <c r="CH7" s="221">
        <f>IF(SUM($AY$7:$AY$13)&gt;0,HLOOKUP(2,$BV$6:$CE$7,2,FALSE),"")</f>
        <v>8.0608871145799593E-2</v>
      </c>
      <c r="CI7" s="425" t="str">
        <f>"( "&amp;IF(CG7&lt;&gt;"",ROUND(CG7*100,0),"")&amp;" , "&amp;IF(CH7&lt;&gt;"",ROUND(CH7*100,0),"")&amp;" )"</f>
        <v>( 90 , 8 )</v>
      </c>
      <c r="CJ7" s="420">
        <f>CG7</f>
        <v>0.8972038434815427</v>
      </c>
      <c r="CK7" s="420">
        <f>CH7</f>
        <v>8.0608871145799593E-2</v>
      </c>
      <c r="CL7" s="425" t="str">
        <f>CI7</f>
        <v>( 90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37.504100000000001</v>
      </c>
      <c r="DJ7" s="265">
        <f>(DI7-$DB7)/$DC7</f>
        <v>0.17089063383387293</v>
      </c>
      <c r="DK7" s="266">
        <f>IF(DH7=1,(DJ7-DF7)^2,0)</f>
        <v>0.95156739074529217</v>
      </c>
      <c r="DL7" s="267">
        <f>IF(DH7=1,(DJ7-DG7)^2,0)</f>
        <v>3.4649684164480399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16.597200000000001</v>
      </c>
      <c r="O8" s="48">
        <f>M!C6*1</f>
        <v>1.64781</v>
      </c>
      <c r="P8" s="48">
        <f>M!D6*1</f>
        <v>9.9282500000000002</v>
      </c>
      <c r="Q8" s="48">
        <f>M!E6*1</f>
        <v>20</v>
      </c>
      <c r="R8" s="48">
        <f>IF(M!B6="","",M!F6*1)</f>
        <v>12.542199999999999</v>
      </c>
      <c r="S8" s="48">
        <f>M!G6*1</f>
        <v>40</v>
      </c>
      <c r="T8" s="48">
        <f>IF(M!B6="","",M!H6*1)</f>
        <v>21.5535</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-5.097267350802964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16.597200000000001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16.597200000000001</v>
      </c>
      <c r="DJ8" s="265">
        <f t="shared" ref="DJ8:DJ14" si="8">(DI8-$DB8)/$DC8</f>
        <v>-2.1210907195077136</v>
      </c>
      <c r="DK8" s="273">
        <f t="shared" ref="DK8:DK14" si="9">IF(DH8=1,(DJ8-DF8)^2,0)</f>
        <v>0.40761984228450471</v>
      </c>
      <c r="DL8" s="274">
        <f t="shared" ref="DL8:DL14" si="10">IF(DH8=1,(DJ8-DG8)^2,0)</f>
        <v>5.7244960379814822</v>
      </c>
    </row>
    <row r="9" spans="2:119" s="5" customFormat="1" ht="24.75" customHeight="1" thickBot="1">
      <c r="B9" s="62" t="str">
        <f>CONCATENATE(M7,"
(20 ~ 50)")</f>
        <v>적극/공격성
(20 ~ 50)</v>
      </c>
      <c r="C9" s="63">
        <f>R7</f>
        <v>31.130700000000001</v>
      </c>
      <c r="D9" s="64">
        <f>N7</f>
        <v>37.504100000000001</v>
      </c>
      <c r="E9" s="65">
        <f>T7</f>
        <v>44.354399999999998</v>
      </c>
      <c r="F9" s="65">
        <f>P7</f>
        <v>10.8689</v>
      </c>
      <c r="G9" s="66" t="str">
        <f>CONCATENATE(M8,"
(20 ~ 40)")</f>
        <v>스트레스
(20 ~ 40)</v>
      </c>
      <c r="H9" s="63">
        <f>R8</f>
        <v>12.542199999999999</v>
      </c>
      <c r="I9" s="67">
        <f>N8</f>
        <v>16.597200000000001</v>
      </c>
      <c r="J9" s="63">
        <f>T8</f>
        <v>21.5535</v>
      </c>
      <c r="K9" s="68">
        <f>P8</f>
        <v>9.9282500000000002</v>
      </c>
      <c r="L9" s="1">
        <f>IF(M!B7="","",IF(N9&lt;U9,1,IF(N9&lt;V9,2,IF(N9&lt;W9,3,IF(N9&lt;X9,4,5)))))</f>
        <v>3</v>
      </c>
      <c r="M9" s="162" t="str">
        <f>lang!B16</f>
        <v>불안</v>
      </c>
      <c r="N9" s="48">
        <f>IF(M!B7="","",M!B7*1)</f>
        <v>27.982299999999999</v>
      </c>
      <c r="O9" s="48">
        <f>M!C7*1</f>
        <v>3.87656</v>
      </c>
      <c r="P9" s="48">
        <f>M!D7*1</f>
        <v>13.8536</v>
      </c>
      <c r="Q9" s="48">
        <f>M!E7*1</f>
        <v>15</v>
      </c>
      <c r="R9" s="48">
        <f>IF(M!B7="","",M!F7*1)</f>
        <v>19.021799999999999</v>
      </c>
      <c r="S9" s="48">
        <f>M!G7*1</f>
        <v>40</v>
      </c>
      <c r="T9" s="48">
        <f>IF(M!B7="","",M!H7*1)</f>
        <v>40.807699999999997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0.79341416525839392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27.982299999999999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27.982299999999999</v>
      </c>
      <c r="DJ9" s="265">
        <f t="shared" si="8"/>
        <v>-8.4678518321337742E-2</v>
      </c>
      <c r="DK9" s="273">
        <f t="shared" si="9"/>
        <v>1.2848381722707936</v>
      </c>
      <c r="DL9" s="274">
        <f t="shared" si="10"/>
        <v>5.9031100829524202E-2</v>
      </c>
      <c r="DM9"/>
      <c r="DN9"/>
    </row>
    <row r="10" spans="2:119" s="4" customFormat="1" ht="30.3" thickBot="1">
      <c r="B10" s="57" t="str">
        <f>CONCATENATE(M9,"
(15 ~ 40)")</f>
        <v>불안
(15 ~ 40)</v>
      </c>
      <c r="C10" s="17">
        <f>R9</f>
        <v>19.021799999999999</v>
      </c>
      <c r="D10" s="41">
        <f>N9</f>
        <v>27.982299999999999</v>
      </c>
      <c r="E10" s="43">
        <f>T9</f>
        <v>40.807699999999997</v>
      </c>
      <c r="F10" s="43">
        <f>P9</f>
        <v>13.8536</v>
      </c>
      <c r="G10" s="59" t="str">
        <f>CONCATENATE(M10,"
(20 ~ 50)")</f>
        <v>의심
(20 ~ 50)</v>
      </c>
      <c r="H10" s="17">
        <f>R10</f>
        <v>25.7712</v>
      </c>
      <c r="I10" s="42">
        <f>N10</f>
        <v>27.5395</v>
      </c>
      <c r="J10" s="17">
        <f>T10</f>
        <v>32.989400000000003</v>
      </c>
      <c r="K10" s="18">
        <f>P10</f>
        <v>8.5872799999999998</v>
      </c>
      <c r="L10" s="1">
        <f>IF(M!B8="","",IF(N10&lt;U10,1,IF(N10&lt;V10,2,IF(N10&lt;W10,3,IF(N10&lt;X10,4,5)))))</f>
        <v>3</v>
      </c>
      <c r="M10" s="162" t="str">
        <f>lang!B17</f>
        <v>의심</v>
      </c>
      <c r="N10" s="48">
        <f>IF(M!B8="","",M!B8*1)</f>
        <v>27.5395</v>
      </c>
      <c r="O10" s="48">
        <f>M!C8*1</f>
        <v>2.3649</v>
      </c>
      <c r="P10" s="48">
        <f>M!D8*1</f>
        <v>8.5872799999999998</v>
      </c>
      <c r="Q10" s="48">
        <f>M!E8*1</f>
        <v>20</v>
      </c>
      <c r="R10" s="48">
        <f>IF(M!B8="","",M!F8*1)</f>
        <v>25.7712</v>
      </c>
      <c r="S10" s="48">
        <f>M!G8*1</f>
        <v>50</v>
      </c>
      <c r="T10" s="48">
        <f>IF(M!B8="","",M!H8*1)</f>
        <v>32.989400000000003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-0.82604821501965708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68.7577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68.7577</v>
      </c>
      <c r="DJ10" s="265">
        <f t="shared" si="8"/>
        <v>0.30024852519001916</v>
      </c>
      <c r="DK10" s="273">
        <f t="shared" si="9"/>
        <v>0.31105404395714614</v>
      </c>
      <c r="DL10" s="274">
        <f t="shared" si="10"/>
        <v>3.4762901992276327</v>
      </c>
      <c r="DM10"/>
      <c r="DN10"/>
    </row>
    <row r="11" spans="2:119" s="4" customFormat="1" ht="24.75" customHeight="1" thickBot="1">
      <c r="B11" s="57" t="str">
        <f>CONCATENATE(M11,"
(50 ~ 100)")</f>
        <v>밸런스
(50 ~ 100)</v>
      </c>
      <c r="C11" s="17">
        <f>R11</f>
        <v>63.084000000000003</v>
      </c>
      <c r="D11" s="42">
        <f>N11</f>
        <v>68.7577</v>
      </c>
      <c r="E11" s="17">
        <f>T11</f>
        <v>78.786100000000005</v>
      </c>
      <c r="F11" s="17">
        <f>P11</f>
        <v>6.99953</v>
      </c>
      <c r="G11" s="59" t="str">
        <f>CONCATENATE(M12,"
(40 ~ 100)")</f>
        <v>카리스마
(40 ~ 100)</v>
      </c>
      <c r="H11" s="17">
        <f>R12</f>
        <v>84.860100000000003</v>
      </c>
      <c r="I11" s="42">
        <f>N12</f>
        <v>87.932299999999998</v>
      </c>
      <c r="J11" s="17">
        <f>T12</f>
        <v>89.003100000000003</v>
      </c>
      <c r="K11" s="18">
        <f>P12</f>
        <v>1.61012</v>
      </c>
      <c r="L11" s="1">
        <f>IF(M!B9="","",IF(N11&lt;U11,1,IF(N11&lt;V11,2,IF(N11&lt;W11,3,IF(N11&lt;X11,4,5)))))</f>
        <v>3</v>
      </c>
      <c r="M11" s="162" t="str">
        <f>lang!B18</f>
        <v>밸런스</v>
      </c>
      <c r="N11" s="48">
        <f>IF(M!B9="","",M!B9*1)</f>
        <v>68.7577</v>
      </c>
      <c r="O11" s="48">
        <f>M!C9*1</f>
        <v>4.8127199999999997</v>
      </c>
      <c r="P11" s="48">
        <f>M!D9*1</f>
        <v>6.99953</v>
      </c>
      <c r="Q11" s="48">
        <f>M!E9*1</f>
        <v>50</v>
      </c>
      <c r="R11" s="48">
        <f>IF(M!B9="","",M!F9*1)</f>
        <v>63.084000000000003</v>
      </c>
      <c r="S11" s="48">
        <f>M!G9*1</f>
        <v>100</v>
      </c>
      <c r="T11" s="48">
        <f>IF(M!B9="","",M!H9*1)</f>
        <v>78.786100000000005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-0.40760265089671388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87.932299999999998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87.932299999999998</v>
      </c>
      <c r="DJ11" s="265">
        <f t="shared" si="8"/>
        <v>1.538312421955649</v>
      </c>
      <c r="DK11" s="273">
        <f t="shared" si="9"/>
        <v>0.27866920418224728</v>
      </c>
      <c r="DL11" s="274">
        <f t="shared" si="10"/>
        <v>3.6660147513996453</v>
      </c>
      <c r="DM11"/>
      <c r="DN11"/>
    </row>
    <row r="12" spans="2:119" s="4" customFormat="1" ht="24.75" customHeight="1" thickBot="1">
      <c r="B12" s="57" t="str">
        <f>CONCATENATE(M13,"
(10 ~ 50)")</f>
        <v>에너지
(10 ~ 50)</v>
      </c>
      <c r="C12" s="17">
        <f>R13</f>
        <v>18.218699999999998</v>
      </c>
      <c r="D12" s="41">
        <f>N13</f>
        <v>23.439800000000002</v>
      </c>
      <c r="E12" s="43">
        <f>T13</f>
        <v>29.957100000000001</v>
      </c>
      <c r="F12" s="43">
        <f>P13</f>
        <v>14.020200000000001</v>
      </c>
      <c r="G12" s="59" t="str">
        <f>CONCATENATE(M14,"
(50 ~ 100)")</f>
        <v>자기조절
(50 ~ 100)</v>
      </c>
      <c r="H12" s="17">
        <f>R14</f>
        <v>74.197699999999998</v>
      </c>
      <c r="I12" s="42">
        <f>N14</f>
        <v>78.298100000000005</v>
      </c>
      <c r="J12" s="17">
        <f>T14</f>
        <v>83.894599999999997</v>
      </c>
      <c r="K12" s="18">
        <f>P14</f>
        <v>3.8602099999999999</v>
      </c>
      <c r="L12" s="1">
        <f>IF(M!B10="","",IF(N12&lt;U12,1,IF(N12&lt;V12,2,IF(N12&lt;W12,3,IF(N12&lt;X12,4,5)))))</f>
        <v>5</v>
      </c>
      <c r="M12" s="162" t="str">
        <f>lang!B19</f>
        <v>카리스마</v>
      </c>
      <c r="N12" s="48">
        <f>IF(M!B10="","",M!B10*1)</f>
        <v>87.932299999999998</v>
      </c>
      <c r="O12" s="48">
        <f>M!C10*1</f>
        <v>1.41581</v>
      </c>
      <c r="P12" s="48">
        <f>M!D10*1</f>
        <v>1.61012</v>
      </c>
      <c r="Q12" s="48">
        <f>M!E10*1</f>
        <v>40</v>
      </c>
      <c r="R12" s="48">
        <f>IF(M!B10="","",M!F10*1)</f>
        <v>84.860100000000003</v>
      </c>
      <c r="S12" s="48">
        <f>M!G10*1</f>
        <v>100</v>
      </c>
      <c r="T12" s="48">
        <f>IF(M!B10="","",M!H10*1)</f>
        <v>89.003100000000003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2.1483579970208679</v>
      </c>
      <c r="AI12" s="98">
        <v>0.31913434649697919</v>
      </c>
      <c r="AJ12" s="98">
        <v>3.8587997439955973E-2</v>
      </c>
      <c r="AK12" s="98">
        <v>1.0272327081707585E-2</v>
      </c>
      <c r="AL12" s="98">
        <v>1.9404033844491575E-2</v>
      </c>
      <c r="AM12" s="101"/>
      <c r="AN12" s="101"/>
      <c r="AO12" s="101"/>
      <c r="AP12" s="101"/>
      <c r="AX12" s="171"/>
      <c r="AY12" s="219">
        <f>N13</f>
        <v>23.439800000000002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23.439800000000002</v>
      </c>
      <c r="DJ12" s="265">
        <f t="shared" si="8"/>
        <v>0.8573544028910326</v>
      </c>
      <c r="DK12" s="273">
        <f t="shared" si="9"/>
        <v>1.0618122846812643</v>
      </c>
      <c r="DL12" s="274">
        <f t="shared" si="10"/>
        <v>0.26622851673977932</v>
      </c>
      <c r="DM12"/>
      <c r="DN12"/>
    </row>
    <row r="13" spans="2:119" ht="24.75" customHeight="1" thickBot="1">
      <c r="B13" s="58" t="str">
        <f>CONCATENATE(M15,"
(10 ~ 25)")</f>
        <v>억제
(10 ~ 25)</v>
      </c>
      <c r="C13" s="44">
        <f>R15</f>
        <v>15.4293</v>
      </c>
      <c r="D13" s="45">
        <f>N15</f>
        <v>17.728200000000001</v>
      </c>
      <c r="E13" s="46">
        <f>T15</f>
        <v>23.575700000000001</v>
      </c>
      <c r="F13" s="46">
        <f>P15</f>
        <v>11.066700000000001</v>
      </c>
      <c r="G13" s="60" t="str">
        <f>CONCATENATE(M16,"
(10 ~ 50)")</f>
        <v>신경성
(10 ~ 50)</v>
      </c>
      <c r="H13" s="44">
        <f>R16</f>
        <v>3.0220699999999998</v>
      </c>
      <c r="I13" s="45">
        <f>N16</f>
        <v>19.619299999999999</v>
      </c>
      <c r="J13" s="46">
        <f>T16</f>
        <v>20.0168</v>
      </c>
      <c r="K13" s="47">
        <f>P16</f>
        <v>32.8767</v>
      </c>
      <c r="L13" s="1">
        <f>IF(M!B11="","",IF(N13&lt;U13,1,IF(N13&lt;V13,2,IF(N13&lt;W13,3,IF(N13&lt;X13,4,5)))))</f>
        <v>3</v>
      </c>
      <c r="M13" s="162" t="str">
        <f>lang!B20</f>
        <v>에너지</v>
      </c>
      <c r="N13" s="48">
        <f>IF(M!B11="","",M!B11*1)</f>
        <v>23.439800000000002</v>
      </c>
      <c r="O13" s="48">
        <f>M!C11*1</f>
        <v>3.2863199999999999</v>
      </c>
      <c r="P13" s="48">
        <f>M!D11*1</f>
        <v>14.020200000000001</v>
      </c>
      <c r="Q13" s="48">
        <f>M!E11*1</f>
        <v>10</v>
      </c>
      <c r="R13" s="48">
        <f>IF(M!B11="","",M!F11*1)</f>
        <v>18.218699999999998</v>
      </c>
      <c r="S13" s="48">
        <f>M!G11*1</f>
        <v>50</v>
      </c>
      <c r="T13" s="48">
        <f>IF(M!B11="","",M!H11*1)</f>
        <v>29.957100000000001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-0.28198533420927302</v>
      </c>
      <c r="AI13" s="98">
        <v>0.16093442074971984</v>
      </c>
      <c r="AJ13" s="98">
        <v>-1.0988594420247608E-2</v>
      </c>
      <c r="AK13" s="98">
        <v>0.37151940745754808</v>
      </c>
      <c r="AL13" s="98">
        <v>8.9062029657998948E-2</v>
      </c>
      <c r="AM13" s="96"/>
      <c r="AN13" s="96"/>
      <c r="AO13" s="96"/>
      <c r="AP13" s="96"/>
      <c r="AX13" s="171"/>
      <c r="AY13" s="219">
        <f>info!W36</f>
        <v>62.598340000000007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19.619299999999999</v>
      </c>
      <c r="DJ13" s="265">
        <f t="shared" si="8"/>
        <v>-0.83862883564953339</v>
      </c>
      <c r="DK13" s="273">
        <f>IF(DH13=1,(DJ13-DF13)^2,0)</f>
        <v>1.6344675662059793</v>
      </c>
      <c r="DL13" s="274">
        <f t="shared" si="10"/>
        <v>0.22156755021294536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78.298100000000005</v>
      </c>
      <c r="O14" s="48">
        <f>M!C12*1</f>
        <v>3.0224700000000002</v>
      </c>
      <c r="P14" s="48">
        <f>M!D12*1</f>
        <v>3.8602099999999999</v>
      </c>
      <c r="Q14" s="48">
        <f>M!E12*1</f>
        <v>50</v>
      </c>
      <c r="R14" s="48">
        <f>IF(M!B12="","",M!F12*1)</f>
        <v>74.197699999999998</v>
      </c>
      <c r="S14" s="48">
        <f>M!G12*1</f>
        <v>100</v>
      </c>
      <c r="T14" s="48">
        <f>IF(M!B12="","",M!H12*1)</f>
        <v>83.894599999999997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1.5930621535696801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66.337699999999998</v>
      </c>
      <c r="DJ14" s="265">
        <f t="shared" si="8"/>
        <v>0.90034541167314575</v>
      </c>
      <c r="DK14" s="279">
        <f t="shared" si="9"/>
        <v>0.94090769692690868</v>
      </c>
      <c r="DL14" s="280">
        <f t="shared" si="10"/>
        <v>9.2410438192250712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17.728200000000001</v>
      </c>
      <c r="O15" s="48">
        <f>M!C13*1</f>
        <v>1.96193</v>
      </c>
      <c r="P15" s="48">
        <f>M!D13*1</f>
        <v>11.066700000000001</v>
      </c>
      <c r="Q15" s="48">
        <f>M!E13*1</f>
        <v>10</v>
      </c>
      <c r="R15" s="48">
        <f>IF(M!B13="","",M!F13*1)</f>
        <v>15.4293</v>
      </c>
      <c r="S15" s="48">
        <f>M!G13*1</f>
        <v>25</v>
      </c>
      <c r="T15" s="48">
        <f>IF(M!B13="","",M!H13*1)</f>
        <v>23.575700000000001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-0.67997307409320673</v>
      </c>
      <c r="AI15" s="98">
        <v>-8.3250321124619289E-2</v>
      </c>
      <c r="AJ15" s="98">
        <v>-0.44690513063775733</v>
      </c>
      <c r="AK15" s="98">
        <v>0.12052818186953573</v>
      </c>
      <c r="AL15" s="98">
        <v>-2.4174505446491225E-2</v>
      </c>
      <c r="AM15" s="96"/>
      <c r="AN15" s="96"/>
      <c r="AO15" s="96"/>
      <c r="AP15" s="96"/>
      <c r="AX15" s="171"/>
      <c r="AY15" s="50">
        <f>SUM(AY7:AY14)</f>
        <v>324.81173999999999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6.8709362012541355</v>
      </c>
      <c r="DL15" s="281">
        <f>IF(SUM($DI$7:$DI$14)&gt;0,SUM(DL7:DL14),0)</f>
        <v>26.11964039206412</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19.619299999999999</v>
      </c>
      <c r="O16" s="48">
        <f>M!C14*1</f>
        <v>6.4501900000000001</v>
      </c>
      <c r="P16" s="48">
        <f>M!D14*1</f>
        <v>32.8767</v>
      </c>
      <c r="Q16" s="48">
        <f>M!E14*1</f>
        <v>10</v>
      </c>
      <c r="R16" s="48">
        <f>IF(M!B14="","",M!F14*1)</f>
        <v>3.0220699999999998</v>
      </c>
      <c r="S16" s="48">
        <f>M!G14*1</f>
        <v>50</v>
      </c>
      <c r="T16" s="48">
        <f>IF(M!B14="","",M!H14*1)</f>
        <v>20.0168</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-2.5219311277167864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0.14554057419678448</v>
      </c>
      <c r="DL16" s="281">
        <f>IF(DL15&gt;0,1/DL15,0)</f>
        <v>3.8285366298681053E-2</v>
      </c>
      <c r="DM16" t="s">
        <v>1207</v>
      </c>
    </row>
    <row r="17" spans="2:117" ht="21" customHeight="1" thickBot="1">
      <c r="B17" s="20"/>
      <c r="C17"/>
      <c r="D17"/>
      <c r="E17"/>
      <c r="F17"/>
      <c r="G17" s="1071"/>
      <c r="H17" s="827"/>
      <c r="I17" s="827"/>
      <c r="J17" s="827"/>
      <c r="K17" s="828"/>
      <c r="M17" s="163" t="str">
        <f>lang!B7</f>
        <v>긍정감정</v>
      </c>
      <c r="N17" s="54">
        <f>SUM(N11:N14)/4</f>
        <v>64.606975000000006</v>
      </c>
      <c r="O17" s="16">
        <f>N17/(N17+N18+N19)</f>
        <v>0.5836933591720761</v>
      </c>
      <c r="P17" s="54">
        <f>SUM(P11:P14)/4</f>
        <v>6.6225149999999999</v>
      </c>
      <c r="Q17" s="16">
        <f>P17/(P17+P18+P19)</f>
        <v>0.16806825801800832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0.79173033906155676</v>
      </c>
      <c r="DL17" s="283"/>
      <c r="DM17" s="284" t="s">
        <v>1208</v>
      </c>
    </row>
    <row r="18" spans="2:117" ht="21" customHeight="1">
      <c r="B18" s="20"/>
      <c r="C18"/>
      <c r="D18"/>
      <c r="E18"/>
      <c r="F18"/>
      <c r="G18" s="1071"/>
      <c r="H18" s="827"/>
      <c r="I18" s="827"/>
      <c r="J18" s="827"/>
      <c r="K18" s="828"/>
      <c r="M18" s="163" t="str">
        <f>lang!B8</f>
        <v>부정감정</v>
      </c>
      <c r="N18" s="14">
        <f>SUM(N7:N10)/4</f>
        <v>27.405775000000002</v>
      </c>
      <c r="O18" s="16">
        <f>N18/(N17+N18+N19)</f>
        <v>0.24759817141205115</v>
      </c>
      <c r="P18" s="14">
        <f>SUM(P7:P10)/4</f>
        <v>10.8095075</v>
      </c>
      <c r="Q18" s="16">
        <f>P18/(P17+P18+P19)</f>
        <v>0.27432706389605704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18.673749999999998</v>
      </c>
      <c r="O19" s="16">
        <f>N19/(N17+N18+N19)</f>
        <v>0.16870846941587272</v>
      </c>
      <c r="P19" s="14">
        <f>(P15+P16)/2</f>
        <v>21.971699999999998</v>
      </c>
      <c r="Q19" s="16">
        <f>P19/(P17+P18+P19)</f>
        <v>0.55760467808593461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1.52756</v>
      </c>
      <c r="D24" s="34" t="str">
        <f>lang!B11</f>
        <v>편차</v>
      </c>
      <c r="E24" s="1077">
        <f>FH_info!G2*1</f>
        <v>0.45286900000000002</v>
      </c>
      <c r="F24" s="1078"/>
      <c r="G24" s="1075" t="str">
        <f>lang!B12</f>
        <v>정보(I)변화량</v>
      </c>
      <c r="H24" s="1076"/>
      <c r="I24" s="51" t="str">
        <f ca="1">CONCATENATE(info!N7,"-",info!N8)</f>
        <v>45.7-57</v>
      </c>
      <c r="J24" s="32" t="str">
        <f>lang!B13</f>
        <v>Kcal/분</v>
      </c>
      <c r="K24" s="31" t="str">
        <f ca="1">CONCATENATE(info!N5,"-",info!N6)</f>
        <v>2.7-3.9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66.337699999999998</v>
      </c>
      <c r="F27" s="1043"/>
      <c r="G27" s="1055" t="str">
        <f>lang!B33</f>
        <v>정서안정성</v>
      </c>
      <c r="H27" s="1056"/>
      <c r="I27" s="1057"/>
      <c r="J27" s="993">
        <f>M!B19*100</f>
        <v>60.313600000000001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3.85399</v>
      </c>
      <c r="H2" s="50">
        <f>IF(FT!B2&lt;&gt;"",FT!B2*100,"")</f>
        <v>45.7121</v>
      </c>
      <c r="I2" s="50">
        <f>(IF(G2&lt;&gt;"",1,""))</f>
        <v>1</v>
      </c>
      <c r="J2" t="str">
        <f>IF(FT!B2&lt;&gt;"",FT!E2,"")</f>
        <v>0 [0.000000]</v>
      </c>
      <c r="K2">
        <f>IF(FT!B2&lt;&gt;"",IF(FT!C2&lt;&gt;"",FT!C2,F2/$M$3*$M$4),"")</f>
        <v>0</v>
      </c>
      <c r="L2" t="s">
        <v>52</v>
      </c>
      <c r="M2">
        <f>FH_info!E2</f>
        <v>4.9234099999999996</v>
      </c>
      <c r="N2" s="75">
        <f>LOOKUP(O3,A2:A1000,B2:B1000)</f>
        <v>1.6990591372549018</v>
      </c>
      <c r="O2" s="50">
        <f>MAX(C2:C1000)</f>
        <v>1</v>
      </c>
      <c r="P2" t="s">
        <v>60</v>
      </c>
      <c r="Q2" t="s">
        <v>61</v>
      </c>
      <c r="R2" t="s">
        <v>62</v>
      </c>
      <c r="S2" t="s">
        <v>63</v>
      </c>
      <c r="T2" t="s">
        <v>64</v>
      </c>
      <c r="V2" s="50">
        <f>FT!G2*10</f>
        <v>3.7935799999999995</v>
      </c>
      <c r="W2" s="50">
        <f>FT!H2*100</f>
        <v>46.395299999999999</v>
      </c>
      <c r="Y2">
        <f>IF(I2=1,H2/G2,"")</f>
        <v>11.860980438454693</v>
      </c>
      <c r="Z2">
        <f>AVERAGE(Y2:Y2000)</f>
        <v>17.040941320874751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3.7935799999999995</v>
      </c>
      <c r="H3" s="50">
        <f>IF(FT!B3&lt;&gt;"",FT!B3*100,"")</f>
        <v>46.395299999999999</v>
      </c>
      <c r="I3" s="50">
        <f t="shared" ref="I3:I66" si="2">(IF(G3&lt;&gt;"",1,""))</f>
        <v>1</v>
      </c>
      <c r="J3" t="str">
        <f>IF(FT!B3&lt;&gt;"",FT!E3,"")</f>
        <v>0 [0.388594]</v>
      </c>
      <c r="K3">
        <f>IF(FT!B3&lt;&gt;"",IF(FT!C3&lt;&gt;"",FT!C3,F3/$M$3*$M$4),"")</f>
        <v>0.38859399999999999</v>
      </c>
      <c r="L3" t="s">
        <v>53</v>
      </c>
      <c r="M3">
        <f>SUM(I2:I2005)</f>
        <v>25</v>
      </c>
      <c r="O3" s="104">
        <f>MATCH(O2,C2:C1000,0)-1</f>
        <v>88</v>
      </c>
      <c r="P3">
        <v>0</v>
      </c>
      <c r="Q3">
        <v>0</v>
      </c>
      <c r="R3">
        <f>IF(S4=0,M3,0)</f>
        <v>25</v>
      </c>
      <c r="S3">
        <f t="array" ref="S3">MAX(IF(ft_nq=0,row_n))</f>
        <v>1998</v>
      </c>
      <c r="T3">
        <f>R3-Q3</f>
        <v>25</v>
      </c>
      <c r="V3" s="50">
        <f>FT!G3*10</f>
        <v>2.7677299999999998</v>
      </c>
      <c r="W3" s="50">
        <f>FT!H3*100</f>
        <v>56.689799999999998</v>
      </c>
      <c r="Y3" s="75">
        <f t="shared" ref="Y3:Y66" si="3">IF(I3=1,H3/G3,"")</f>
        <v>12.229951655164779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3.7297000000000002</v>
      </c>
      <c r="H4" s="50">
        <f>IF(FT!B4&lt;&gt;"",FT!B4*100,"")</f>
        <v>47.212199999999996</v>
      </c>
      <c r="I4" s="50">
        <f t="shared" si="2"/>
        <v>1</v>
      </c>
      <c r="J4" t="str">
        <f>IF(FT!B4&lt;&gt;"",FT!E4,"")</f>
        <v>0 [0.803484]</v>
      </c>
      <c r="K4">
        <f>IF(FT!B4&lt;&gt;"",IF(FT!C4&lt;&gt;"",FT!C4,F4/$M$3*$M$4),"")</f>
        <v>0.80348399999999998</v>
      </c>
      <c r="L4" t="s">
        <v>246</v>
      </c>
      <c r="M4">
        <f>IF(M2&lt;&gt;0,M3/M2*2,0)</f>
        <v>10.155562912696688</v>
      </c>
      <c r="P4">
        <f>P3+1</f>
        <v>1</v>
      </c>
      <c r="Q4">
        <v>0</v>
      </c>
      <c r="R4">
        <f>IF(S4=1998,0,S4)</f>
        <v>0</v>
      </c>
      <c r="S4">
        <f t="array" ref="S4">MAX(IF(ft_nq=P4,row_n))</f>
        <v>0</v>
      </c>
      <c r="T4">
        <f>R4-Q4+1</f>
        <v>1</v>
      </c>
      <c r="V4" t="s">
        <v>209</v>
      </c>
      <c r="W4" s="23">
        <f>IF(ISERROR(V3-V2)=FALSE,(V3-V2)*10,0)</f>
        <v>-10.258499999999998</v>
      </c>
      <c r="Y4" s="75">
        <f t="shared" si="3"/>
        <v>12.658444378904468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4.698983003625614E-3</v>
      </c>
      <c r="E5" s="50">
        <f t="shared" si="1"/>
        <v>2.2686280082898476E-5</v>
      </c>
      <c r="F5">
        <f t="shared" si="6"/>
        <v>3</v>
      </c>
      <c r="G5" s="50">
        <f>IF(FT!A5&lt;&gt;"",FT!A5*10,"")</f>
        <v>3.6508000000000003</v>
      </c>
      <c r="H5" s="50">
        <f>IF(FT!B5&lt;&gt;"",FT!B5*100,"")</f>
        <v>48.346899999999998</v>
      </c>
      <c r="I5" s="50">
        <f t="shared" si="2"/>
        <v>1</v>
      </c>
      <c r="J5" t="str">
        <f>IF(FT!B5&lt;&gt;"",FT!E5,"")</f>
        <v>0 [1.216321]</v>
      </c>
      <c r="K5">
        <f>IF(FT!B5&lt;&gt;"",IF(FT!C5&lt;&gt;"",FT!C5,F5/$M$3*$M$4),"")</f>
        <v>1.2163200000000001</v>
      </c>
      <c r="L5" t="s">
        <v>54</v>
      </c>
      <c r="M5" s="52">
        <f ca="1">IF(M3&gt;0,MIN(FT_E),0)</f>
        <v>2.7039400000000002</v>
      </c>
      <c r="N5" s="52">
        <f ca="1">IF(M3&gt;0,ROUND(M5,1),0)</f>
        <v>2.7</v>
      </c>
      <c r="P5">
        <f t="shared" ref="P5:P27" si="10">P4+1</f>
        <v>2</v>
      </c>
      <c r="Q5">
        <f>IF(S5=1998,0,R4)</f>
        <v>0</v>
      </c>
      <c r="R5">
        <f>IF(S5=1998,0,S5)</f>
        <v>0</v>
      </c>
      <c r="S5">
        <f t="array" ref="S5">MAX(IF(ft_nq=P5,row_n))</f>
        <v>0</v>
      </c>
      <c r="T5">
        <f t="shared" ref="T5:T27" si="11">R5-Q5+1</f>
        <v>1</v>
      </c>
      <c r="V5" t="s">
        <v>210</v>
      </c>
      <c r="W5" s="23">
        <f>IF(ISERROR(W3-W2)=FALSE,W3-W2,0)</f>
        <v>10.294499999999999</v>
      </c>
      <c r="Y5" s="75">
        <f t="shared" si="3"/>
        <v>13.242823490741754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3.0554840286213702E-2</v>
      </c>
      <c r="E6" s="50">
        <f t="shared" si="1"/>
        <v>2.8001724865997834E-5</v>
      </c>
      <c r="F6">
        <f t="shared" si="6"/>
        <v>4</v>
      </c>
      <c r="G6" s="50">
        <f>IF(FT!A6&lt;&gt;"",FT!A6*10,"")</f>
        <v>3.5754900000000003</v>
      </c>
      <c r="H6" s="50">
        <f>IF(FT!B6&lt;&gt;"",FT!B6*100,"")</f>
        <v>49.5242</v>
      </c>
      <c r="I6" s="50">
        <f t="shared" si="2"/>
        <v>1</v>
      </c>
      <c r="J6" t="str">
        <f>IF(FT!B6&lt;&gt;"",FT!E6,"")</f>
        <v>0 [1.615769]</v>
      </c>
      <c r="K6">
        <f>IF(FT!B6&lt;&gt;"",IF(FT!C6&lt;&gt;"",FT!C6,F6/$M$3*$M$4),"")</f>
        <v>1.6157699999999999</v>
      </c>
      <c r="L6" t="s">
        <v>55</v>
      </c>
      <c r="M6" s="52">
        <f ca="1">IF(M3&gt;0,MAX(FT_E),0)</f>
        <v>3.85399</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-1.0035092849831848</v>
      </c>
      <c r="Y6" s="75">
        <f t="shared" si="3"/>
        <v>13.85102461480804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3.5079500000000001</v>
      </c>
      <c r="H7" s="50">
        <f>IF(FT!B7&lt;&gt;"",FT!B7*100,"")</f>
        <v>50.452500000000001</v>
      </c>
      <c r="I7" s="50">
        <f t="shared" si="2"/>
        <v>1</v>
      </c>
      <c r="J7" t="str">
        <f>IF(FT!B7&lt;&gt;"",FT!E7,"")</f>
        <v>0 [2.020255]</v>
      </c>
      <c r="K7">
        <f>IF(FT!B7&lt;&gt;"",IF(FT!C7&lt;&gt;"",FT!C7,F7/$M$3*$M$4),"")</f>
        <v>2.0202599999999999</v>
      </c>
      <c r="L7" t="s">
        <v>56</v>
      </c>
      <c r="M7" s="366">
        <f ca="1">IF(M3&gt;0,MIN(FT_PH),0)</f>
        <v>45.7121</v>
      </c>
      <c r="N7" s="52">
        <f ca="1">IF(M3&gt;0,ROUND(M7,1),0)</f>
        <v>45.7</v>
      </c>
      <c r="P7">
        <f t="shared" si="10"/>
        <v>4</v>
      </c>
      <c r="Q7">
        <f t="shared" si="12"/>
        <v>0</v>
      </c>
      <c r="R7">
        <f t="shared" si="13"/>
        <v>0</v>
      </c>
      <c r="S7">
        <f t="array" ref="S7">MAX(IF(ft_nq=P7,row_n))</f>
        <v>0</v>
      </c>
      <c r="T7">
        <f t="shared" si="11"/>
        <v>1</v>
      </c>
      <c r="V7" t="s">
        <v>212</v>
      </c>
      <c r="W7" s="23">
        <f>DEGREES(ATAN(W6))</f>
        <v>-45.100357415125643</v>
      </c>
      <c r="X7" s="106">
        <v>0.05</v>
      </c>
      <c r="Y7" s="75">
        <f t="shared" si="3"/>
        <v>14.382331561168204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2.1752553639707083E-2</v>
      </c>
      <c r="E8" s="50">
        <f t="shared" si="1"/>
        <v>4.239235128206329E-5</v>
      </c>
      <c r="F8">
        <f t="shared" si="6"/>
        <v>6</v>
      </c>
      <c r="G8" s="50">
        <f>IF(FT!A8&lt;&gt;"",FT!A8*10,"")</f>
        <v>3.4474</v>
      </c>
      <c r="H8" s="50">
        <f>IF(FT!B8&lt;&gt;"",FT!B8*100,"")</f>
        <v>51.1875</v>
      </c>
      <c r="I8" s="50">
        <f t="shared" si="2"/>
        <v>1</v>
      </c>
      <c r="J8" t="str">
        <f>IF(FT!B8&lt;&gt;"",FT!E8,"")</f>
        <v>0 [2.421264]</v>
      </c>
      <c r="K8">
        <f>IF(FT!B8&lt;&gt;"",IF(FT!C8&lt;&gt;"",FT!C8,F8/$M$3*$M$4),"")</f>
        <v>2.4212600000000002</v>
      </c>
      <c r="L8" t="s">
        <v>57</v>
      </c>
      <c r="M8" s="52">
        <f ca="1">IF(M3&gt;0,MAX(FT_PH),0)</f>
        <v>56.963200000000001</v>
      </c>
      <c r="N8" s="52">
        <f ca="1">IF(M3&gt;0,ROUND(M8,1),0)</f>
        <v>57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14.848146429193015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8.7561212920005807E-2</v>
      </c>
      <c r="E9" s="50">
        <f t="shared" si="1"/>
        <v>5.1995855953647485E-5</v>
      </c>
      <c r="F9">
        <f t="shared" si="6"/>
        <v>7</v>
      </c>
      <c r="G9" s="50">
        <f>IF(FT!A9&lt;&gt;"",FT!A9*10,"")</f>
        <v>3.3892600000000002</v>
      </c>
      <c r="H9" s="50">
        <f>IF(FT!B9&lt;&gt;"",FT!B9*100,"")</f>
        <v>51.6648</v>
      </c>
      <c r="I9" s="50">
        <f t="shared" si="2"/>
        <v>1</v>
      </c>
      <c r="J9" t="str">
        <f>IF(FT!B9&lt;&gt;"",FT!E9,"")</f>
        <v>0 [2.829114]</v>
      </c>
      <c r="K9">
        <f>IF(FT!B9&lt;&gt;"",IF(FT!C9&lt;&gt;"",FT!C9,F9/$M$3*$M$4),"")</f>
        <v>2.82911</v>
      </c>
      <c r="L9" t="s">
        <v>222</v>
      </c>
      <c r="M9" s="74">
        <f ca="1">IF(M3&gt;0,IF(COUNT(FT_E)&gt;0,AVERAGE(FT_E),0),0)</f>
        <v>3.1749124000000002</v>
      </c>
      <c r="N9" s="365">
        <f ca="1">IF(M3&gt;0,IF(COUNT(FT_PH)&gt;0,AVERAGE(FT_PH),0),0)</f>
        <v>53.070119999999996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15.243681511598401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v>
      </c>
      <c r="E10" s="50">
        <f t="shared" si="1"/>
        <v>6.3640932711193118E-5</v>
      </c>
      <c r="F10">
        <f t="shared" si="6"/>
        <v>8</v>
      </c>
      <c r="G10" s="50">
        <f>IF(FT!A10&lt;&gt;"",FT!A10*10,"")</f>
        <v>3.3359699999999997</v>
      </c>
      <c r="H10" s="50">
        <f>IF(FT!B10&lt;&gt;"",FT!B10*100,"")</f>
        <v>52.091500000000003</v>
      </c>
      <c r="I10" s="50">
        <f t="shared" si="2"/>
        <v>1</v>
      </c>
      <c r="J10" t="str">
        <f>IF(FT!B10&lt;&gt;"",FT!E10,"")</f>
        <v>0 [3.241426]</v>
      </c>
      <c r="K10">
        <f>IF(FT!B10&lt;&gt;"",IF(FT!C10&lt;&gt;"",FT!C10,F10/$M$3*$M$4),"")</f>
        <v>3.2414299999999998</v>
      </c>
      <c r="M10">
        <v>2</v>
      </c>
      <c r="P10">
        <f t="shared" si="10"/>
        <v>7</v>
      </c>
      <c r="Q10">
        <f t="shared" si="12"/>
        <v>0</v>
      </c>
      <c r="R10">
        <f t="shared" si="13"/>
        <v>0</v>
      </c>
      <c r="S10">
        <f t="array" ref="S10">MAX(IF(ft_nq=P10,row_n))</f>
        <v>0</v>
      </c>
      <c r="T10">
        <f t="shared" si="11"/>
        <v>1</v>
      </c>
      <c r="V10" t="s">
        <v>215</v>
      </c>
      <c r="X10" s="71" t="s">
        <v>270</v>
      </c>
      <c r="Y10" s="75">
        <f t="shared" si="3"/>
        <v>15.615098457120421</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9.901885392899322E-2</v>
      </c>
      <c r="E11" s="50">
        <f t="shared" si="1"/>
        <v>7.7730402646829089E-5</v>
      </c>
      <c r="F11">
        <f t="shared" si="6"/>
        <v>9</v>
      </c>
      <c r="G11" s="50">
        <f>IF(FT!A11&lt;&gt;"",FT!A11*10,"")</f>
        <v>3.28796</v>
      </c>
      <c r="H11" s="50">
        <f>IF(FT!B11&lt;&gt;"",FT!B11*100,"")</f>
        <v>52.426799999999993</v>
      </c>
      <c r="I11" s="50">
        <f t="shared" si="2"/>
        <v>1</v>
      </c>
      <c r="J11" t="str">
        <f>IF(FT!B11&lt;&gt;"",FT!E11,"")</f>
        <v>0 [3.647976]</v>
      </c>
      <c r="K11">
        <f>IF(FT!B11&lt;&gt;"",IF(FT!C11&lt;&gt;"",FT!C11,F11/$M$3*$M$4),"")</f>
        <v>3.64798</v>
      </c>
      <c r="M11" s="49">
        <f>MAX(IF(ft_nq=1,row_n))</f>
        <v>0</v>
      </c>
      <c r="P11">
        <f t="shared" si="10"/>
        <v>8</v>
      </c>
      <c r="Q11">
        <f t="shared" si="12"/>
        <v>0</v>
      </c>
      <c r="R11">
        <f t="shared" si="13"/>
        <v>0</v>
      </c>
      <c r="S11">
        <f t="array" ref="S11">MAX(IF(ft_nq=P11,row_n))</f>
        <v>0</v>
      </c>
      <c r="T11">
        <f t="shared" si="11"/>
        <v>1</v>
      </c>
      <c r="V11" s="71" t="s">
        <v>216</v>
      </c>
      <c r="W11" s="23">
        <f>FT!H11*100</f>
        <v>45.7121</v>
      </c>
      <c r="Y11" s="75">
        <f t="shared" si="3"/>
        <v>15.945084490078953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0.44680197034324465</v>
      </c>
      <c r="E12" s="50">
        <f t="shared" si="1"/>
        <v>9.4739671855514963E-5</v>
      </c>
      <c r="F12">
        <f t="shared" si="6"/>
        <v>10</v>
      </c>
      <c r="G12" s="50">
        <f>IF(FT!A12&lt;&gt;"",FT!A12*10,"")</f>
        <v>3.2356499999999997</v>
      </c>
      <c r="H12" s="50">
        <f>IF(FT!B12&lt;&gt;"",FT!B12*100,"")</f>
        <v>52.905899999999995</v>
      </c>
      <c r="I12" s="50">
        <f t="shared" si="2"/>
        <v>1</v>
      </c>
      <c r="J12" t="str">
        <f>IF(FT!B12&lt;&gt;"",FT!E12,"")</f>
        <v>0 [4.053131]</v>
      </c>
      <c r="K12">
        <f>IF(FT!B12&lt;&gt;"",IF(FT!C12&lt;&gt;"",FT!C12,F12/$M$3*$M$4),"")</f>
        <v>4.0531300000000003</v>
      </c>
      <c r="M12">
        <f>M11+1</f>
        <v>1</v>
      </c>
      <c r="P12">
        <f t="shared" si="10"/>
        <v>9</v>
      </c>
      <c r="Q12">
        <f t="shared" si="12"/>
        <v>0</v>
      </c>
      <c r="R12">
        <f t="shared" si="13"/>
        <v>0</v>
      </c>
      <c r="S12">
        <f t="array" ref="S12">MAX(IF(ft_nq=P12,row_n))</f>
        <v>0</v>
      </c>
      <c r="T12">
        <f t="shared" si="11"/>
        <v>1</v>
      </c>
      <c r="V12" s="71" t="s">
        <v>217</v>
      </c>
      <c r="W12" s="23">
        <f>FT!H12*100</f>
        <v>56.963200000000001</v>
      </c>
      <c r="Y12" s="75">
        <f t="shared" si="3"/>
        <v>16.350934124519032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0.19905722867534106</v>
      </c>
      <c r="E13" s="50">
        <f t="shared" si="1"/>
        <v>1.1522836836240688E-4</v>
      </c>
      <c r="F13">
        <f t="shared" si="6"/>
        <v>11</v>
      </c>
      <c r="G13" s="50">
        <f>IF(FT!A13&lt;&gt;"",FT!A13*10,"")</f>
        <v>3.18302</v>
      </c>
      <c r="H13" s="50">
        <f>IF(FT!B13&lt;&gt;"",FT!B13*100,"")</f>
        <v>53.273400000000002</v>
      </c>
      <c r="I13" s="50">
        <f t="shared" si="2"/>
        <v>1</v>
      </c>
      <c r="J13" t="str">
        <f>IF(FT!B13&lt;&gt;"",FT!E13,"")</f>
        <v>0 [4.458074]</v>
      </c>
      <c r="K13">
        <f>IF(FT!B13&lt;&gt;"",IF(FT!C13&lt;&gt;"",FT!C13,F13/$M$3*$M$4),"")</f>
        <v>4.4580700000000002</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16.736746863042018</v>
      </c>
    </row>
    <row r="14" spans="1:104">
      <c r="A14" s="50">
        <f t="shared" si="5"/>
        <v>12</v>
      </c>
      <c r="B14" s="50">
        <f t="shared" si="0"/>
        <v>0.23168988235294116</v>
      </c>
      <c r="C14" s="50">
        <f>IF(FH!$C$2&gt;0,FH!A14/FH!$C$2,0)</f>
        <v>0</v>
      </c>
      <c r="D14" s="50">
        <f>IF(hist!$D$2&gt;0,hist!B14/hist!$D$2,0)</f>
        <v>0.48655893491672864</v>
      </c>
      <c r="E14" s="50">
        <f t="shared" si="1"/>
        <v>1.3985355997663738E-4</v>
      </c>
      <c r="F14">
        <f t="shared" si="6"/>
        <v>12</v>
      </c>
      <c r="G14" s="50">
        <f>IF(FT!A14&lt;&gt;"",FT!A14*10,"")</f>
        <v>3.1306499999999997</v>
      </c>
      <c r="H14" s="50">
        <f>IF(FT!B14&lt;&gt;"",FT!B14*100,"")</f>
        <v>53.731099999999998</v>
      </c>
      <c r="I14" s="50">
        <f t="shared" si="2"/>
        <v>1</v>
      </c>
      <c r="J14" t="str">
        <f>IF(FT!B14&lt;&gt;"",FT!E14,"")</f>
        <v>0 [4.857645]</v>
      </c>
      <c r="K14">
        <f>IF(FT!B14&lt;&gt;"",IF(FT!C14&lt;&gt;"",FT!C14,F14/$M$3*$M$4),"")</f>
        <v>4.8576499999999996</v>
      </c>
      <c r="M14">
        <f>M13+1</f>
        <v>1</v>
      </c>
      <c r="P14">
        <f t="shared" si="10"/>
        <v>11</v>
      </c>
      <c r="Q14">
        <f t="shared" si="12"/>
        <v>0</v>
      </c>
      <c r="R14">
        <f t="shared" si="13"/>
        <v>0</v>
      </c>
      <c r="S14">
        <f t="array" ref="S14">MAX(IF(ft_nq=P14,row_n))</f>
        <v>0</v>
      </c>
      <c r="T14">
        <f t="shared" si="11"/>
        <v>1</v>
      </c>
      <c r="V14" s="71" t="s">
        <v>221</v>
      </c>
      <c r="W14">
        <f>FT!H14</f>
        <v>24</v>
      </c>
      <c r="Y14" s="75">
        <f t="shared" si="3"/>
        <v>17.162921438040023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0.97454860001234367</v>
      </c>
      <c r="E15" s="50">
        <f t="shared" si="1"/>
        <v>1.6938471460455832E-4</v>
      </c>
      <c r="F15">
        <f t="shared" si="6"/>
        <v>13</v>
      </c>
      <c r="G15" s="50">
        <f>IF(FT!A15&lt;&gt;"",FT!A15*10,"")</f>
        <v>3.0752699999999997</v>
      </c>
      <c r="H15" s="50">
        <f>IF(FT!B15&lt;&gt;"",FT!B15*100,"")</f>
        <v>54.265600000000006</v>
      </c>
      <c r="I15" s="50">
        <f t="shared" si="2"/>
        <v>1</v>
      </c>
      <c r="J15" t="str">
        <f>IF(FT!B15&lt;&gt;"",FT!E15,"")</f>
        <v>0 [5.278831]</v>
      </c>
      <c r="K15">
        <f>IF(FT!B15&lt;&gt;"",IF(FT!C15&lt;&gt;"",FT!C15,F15/$M$3*$M$4),"")</f>
        <v>5.2788300000000001</v>
      </c>
      <c r="M15">
        <f t="array" ref="M15">MAX(IF(ft_nq=3,row_n))</f>
        <v>0</v>
      </c>
      <c r="P15">
        <f t="shared" si="10"/>
        <v>12</v>
      </c>
      <c r="Q15">
        <f t="shared" si="12"/>
        <v>0</v>
      </c>
      <c r="R15">
        <f t="shared" si="13"/>
        <v>0</v>
      </c>
      <c r="S15">
        <f t="array" ref="S15">MAX(IF(ft_nq=P15,row_n))</f>
        <v>0</v>
      </c>
      <c r="T15">
        <f t="shared" si="11"/>
        <v>1</v>
      </c>
      <c r="V15" s="23">
        <f>FT!G15*10</f>
        <v>3.85399</v>
      </c>
      <c r="W15" s="23">
        <f>FT!H15*100</f>
        <v>45.7121</v>
      </c>
      <c r="Y15" s="75">
        <f t="shared" si="3"/>
        <v>17.645800206160764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0.9764924915485822</v>
      </c>
      <c r="E16" s="50">
        <f t="shared" si="1"/>
        <v>2.0472057137382575E-4</v>
      </c>
      <c r="F16">
        <f t="shared" si="6"/>
        <v>14</v>
      </c>
      <c r="G16" s="50">
        <f>IF(FT!A16&lt;&gt;"",FT!A16*10,"")</f>
        <v>3.0221300000000002</v>
      </c>
      <c r="H16" s="50">
        <f>IF(FT!B16&lt;&gt;"",FT!B16*100,"")</f>
        <v>54.784100000000002</v>
      </c>
      <c r="I16" s="50">
        <f t="shared" si="2"/>
        <v>1</v>
      </c>
      <c r="J16" t="str">
        <f>IF(FT!B16&lt;&gt;"",FT!E16,"")</f>
        <v>0 [5.671604]</v>
      </c>
      <c r="K16">
        <f>IF(FT!B16&lt;&gt;"",IF(FT!C16&lt;&gt;"",FT!C16,F16/$M$3*$M$4),"")</f>
        <v>5.6715999999999998</v>
      </c>
      <c r="M16">
        <f>M15+1</f>
        <v>1</v>
      </c>
      <c r="P16">
        <f t="shared" si="10"/>
        <v>13</v>
      </c>
      <c r="Q16">
        <f t="shared" si="12"/>
        <v>0</v>
      </c>
      <c r="R16">
        <f t="shared" si="13"/>
        <v>0</v>
      </c>
      <c r="S16">
        <f t="array" ref="S16">MAX(IF(ft_nq=P16,row_n))</f>
        <v>0</v>
      </c>
      <c r="T16">
        <f t="shared" si="11"/>
        <v>1</v>
      </c>
      <c r="V16" s="23">
        <f>FT!G16*10</f>
        <v>2.7236700000000003</v>
      </c>
      <c r="W16" s="23">
        <f>FT!H16*100</f>
        <v>56.963200000000001</v>
      </c>
      <c r="Y16" s="75">
        <f t="shared" si="3"/>
        <v>18.127645071522402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4.5413051936084962E-2</v>
      </c>
      <c r="D17" s="50">
        <f>IF(hist!$D$2&gt;0,hist!B17/hist!$D$2,0)</f>
        <v>0.33255210631181525</v>
      </c>
      <c r="E17" s="50">
        <f t="shared" si="1"/>
        <v>2.4690809609102658E-4</v>
      </c>
      <c r="F17">
        <f t="shared" si="6"/>
        <v>15</v>
      </c>
      <c r="G17" s="50">
        <f>IF(FT!A17&lt;&gt;"",FT!A17*10,"")</f>
        <v>2.9708000000000001</v>
      </c>
      <c r="H17" s="50">
        <f>IF(FT!B17&lt;&gt;"",FT!B17*100,"")</f>
        <v>55.236600000000003</v>
      </c>
      <c r="I17" s="50">
        <f t="shared" si="2"/>
        <v>1</v>
      </c>
      <c r="J17" t="str">
        <f>IF(FT!B17&lt;&gt;"",FT!E17,"")</f>
        <v>0 [6.088686]</v>
      </c>
      <c r="K17">
        <f>IF(FT!B17&lt;&gt;"",IF(FT!C17&lt;&gt;"",FT!C17,F17/$M$3*$M$4),"")</f>
        <v>6.0886899999999997</v>
      </c>
      <c r="M17">
        <f>M3+1</f>
        <v>26</v>
      </c>
      <c r="P17">
        <f t="shared" si="10"/>
        <v>14</v>
      </c>
      <c r="Q17">
        <f t="shared" si="12"/>
        <v>0</v>
      </c>
      <c r="R17">
        <f t="shared" si="13"/>
        <v>0</v>
      </c>
      <c r="S17">
        <f t="array" ref="S17">MAX(IF(ft_nq=P17,row_n))</f>
        <v>0</v>
      </c>
      <c r="T17">
        <f t="shared" si="11"/>
        <v>1</v>
      </c>
      <c r="V17" t="s">
        <v>1522</v>
      </c>
      <c r="Y17" s="75">
        <f t="shared" si="3"/>
        <v>18.593173555944528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0.14288259264062467</v>
      </c>
      <c r="D18" s="50">
        <f>IF(hist!$D$2&gt;0,hist!B18/hist!$D$2,0)</f>
        <v>1</v>
      </c>
      <c r="E18" s="50">
        <f t="shared" si="1"/>
        <v>2.9716369761879154E-4</v>
      </c>
      <c r="F18">
        <f t="shared" si="6"/>
        <v>16</v>
      </c>
      <c r="G18" s="50">
        <f>IF(FT!A18&lt;&gt;"",FT!A18*10,"")</f>
        <v>2.9220699999999997</v>
      </c>
      <c r="H18" s="50">
        <f>IF(FT!B18&lt;&gt;"",FT!B18*100,"")</f>
        <v>55.566700000000004</v>
      </c>
      <c r="I18" s="50">
        <f t="shared" si="2"/>
        <v>1</v>
      </c>
      <c r="J18" t="str">
        <f>IF(FT!B18&lt;&gt;"",FT!E18,"")</f>
        <v>0 [6.488323]</v>
      </c>
      <c r="K18">
        <f>IF(FT!B18&lt;&gt;"",IF(FT!C18&lt;&gt;"",FT!C18,F18/$M$3*$M$4),"")</f>
        <v>6.4883199999999999</v>
      </c>
      <c r="P18">
        <f t="shared" si="10"/>
        <v>15</v>
      </c>
      <c r="Q18">
        <f t="shared" si="12"/>
        <v>0</v>
      </c>
      <c r="R18">
        <f t="shared" si="13"/>
        <v>0</v>
      </c>
      <c r="S18">
        <f t="array" ref="S18">MAX(IF(ft_nq=P18,row_n))</f>
        <v>0</v>
      </c>
      <c r="T18">
        <f t="shared" si="11"/>
        <v>1</v>
      </c>
      <c r="V18" s="288">
        <f>M!B18*100</f>
        <v>66.337699999999998</v>
      </c>
      <c r="W18" s="287">
        <f>100-M!B19*100</f>
        <v>39.686399999999999</v>
      </c>
      <c r="X18" t="str">
        <f>"(" &amp; ROUND(V18,1) &amp; " , " &amp; ROUND(100-W18,1) &amp; ")"</f>
        <v>(66.3 , 60.3)</v>
      </c>
      <c r="Y18" s="75">
        <f t="shared" si="3"/>
        <v>19.016211110616791</v>
      </c>
      <c r="Z18">
        <f>M!B18*100</f>
        <v>66.337699999999998</v>
      </c>
      <c r="AA18">
        <f>100-M!B19*100</f>
        <v>39.686399999999999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0.10047301494126561</v>
      </c>
      <c r="D19" s="50">
        <f>IF(hist!$D$2&gt;0,hist!B19/hist!$D$2,0)</f>
        <v>0.66831512056514253</v>
      </c>
      <c r="E19" s="50">
        <f t="shared" si="1"/>
        <v>3.5689688220270742E-4</v>
      </c>
      <c r="F19">
        <f t="shared" si="6"/>
        <v>17</v>
      </c>
      <c r="G19" s="50">
        <f>IF(FT!A19&lt;&gt;"",FT!A19*10,"")</f>
        <v>2.87541</v>
      </c>
      <c r="H19" s="50">
        <f>IF(FT!B19&lt;&gt;"",FT!B19*100,"")</f>
        <v>55.8157</v>
      </c>
      <c r="I19" s="50">
        <f t="shared" si="2"/>
        <v>1</v>
      </c>
      <c r="J19" t="str">
        <f>IF(FT!B19&lt;&gt;"",FT!E19,"")</f>
        <v>0 [6.905121]</v>
      </c>
      <c r="K19">
        <f>IF(FT!B19&lt;&gt;"",IF(FT!C19&lt;&gt;"",FT!C19,F19/$M$3*$M$4),"")</f>
        <v>6.9051200000000001</v>
      </c>
      <c r="P19">
        <f t="shared" si="10"/>
        <v>16</v>
      </c>
      <c r="Q19">
        <f t="shared" si="12"/>
        <v>0</v>
      </c>
      <c r="R19">
        <f t="shared" si="13"/>
        <v>0</v>
      </c>
      <c r="S19">
        <f t="array" ref="S19">MAX(IF(ft_nq=P19,row_n))</f>
        <v>0</v>
      </c>
      <c r="T19">
        <f t="shared" si="11"/>
        <v>1</v>
      </c>
      <c r="V19" t="s">
        <v>1521</v>
      </c>
      <c r="Y19" s="75">
        <f t="shared" si="3"/>
        <v>19.411388288974443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0.11257687345997119</v>
      </c>
      <c r="D20" s="50">
        <f>IF(hist!$D$2&gt;0,hist!B20/hist!$D$2,0)</f>
        <v>0.84176280793168512</v>
      </c>
      <c r="E20" s="50">
        <f t="shared" si="1"/>
        <v>4.2773652004581729E-4</v>
      </c>
      <c r="F20">
        <f t="shared" si="6"/>
        <v>18</v>
      </c>
      <c r="G20" s="50">
        <f>IF(FT!A20&lt;&gt;"",FT!A20*10,"")</f>
        <v>2.8401800000000001</v>
      </c>
      <c r="H20" s="50">
        <f>IF(FT!B20&lt;&gt;"",FT!B20*100,"")</f>
        <v>56.013999999999996</v>
      </c>
      <c r="I20" s="50">
        <f t="shared" si="2"/>
        <v>1</v>
      </c>
      <c r="J20" t="str">
        <f>IF(FT!B20&lt;&gt;"",FT!E20,"")</f>
        <v>0 [7.303545]</v>
      </c>
      <c r="K20">
        <f>IF(FT!B20&lt;&gt;"",IF(FT!C20&lt;&gt;"",FT!C20,F20/$M$3*$M$4),"")</f>
        <v>7.3035500000000004</v>
      </c>
      <c r="P20">
        <f t="shared" si="10"/>
        <v>17</v>
      </c>
      <c r="Q20">
        <f t="shared" si="12"/>
        <v>0</v>
      </c>
      <c r="R20">
        <f t="shared" si="13"/>
        <v>0</v>
      </c>
      <c r="S20">
        <f t="array" ref="S20">MAX(IF(ft_nq=P20,row_n))</f>
        <v>0</v>
      </c>
      <c r="T20">
        <f t="shared" si="11"/>
        <v>1</v>
      </c>
      <c r="V20" s="56">
        <v>50</v>
      </c>
      <c r="W20">
        <v>50</v>
      </c>
      <c r="Y20" s="75">
        <f t="shared" si="3"/>
        <v>19.721989451372799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8.7094814582238389E-2</v>
      </c>
      <c r="D21" s="50">
        <f>IF(hist!$D$2&gt;0,hist!B21/hist!$D$2,0)</f>
        <v>0.45571193780349872</v>
      </c>
      <c r="E21" s="50">
        <f t="shared" si="1"/>
        <v>5.1155989191839816E-4</v>
      </c>
      <c r="F21">
        <f t="shared" si="6"/>
        <v>19</v>
      </c>
      <c r="G21" s="50">
        <f>IF(FT!A21&lt;&gt;"",FT!A21*10,"")</f>
        <v>2.8142099999999997</v>
      </c>
      <c r="H21" s="50">
        <f>IF(FT!B21&lt;&gt;"",FT!B21*100,"")</f>
        <v>56.2712</v>
      </c>
      <c r="I21" s="50">
        <f t="shared" si="2"/>
        <v>1</v>
      </c>
      <c r="J21" t="str">
        <f>IF(FT!B21&lt;&gt;"",FT!E21,"")</f>
        <v>0 [7.705682]</v>
      </c>
      <c r="K21">
        <f>IF(FT!B21&lt;&gt;"",IF(FT!C21&lt;&gt;"",FT!C21,F21/$M$3*$M$4),"")</f>
        <v>7.7056800000000001</v>
      </c>
      <c r="P21">
        <f t="shared" si="10"/>
        <v>18</v>
      </c>
      <c r="Q21">
        <f t="shared" si="12"/>
        <v>0</v>
      </c>
      <c r="R21">
        <f t="shared" si="13"/>
        <v>0</v>
      </c>
      <c r="S21">
        <f t="array" ref="S21">MAX(IF(ft_nq=P21,row_n))</f>
        <v>0</v>
      </c>
      <c r="T21">
        <f t="shared" si="11"/>
        <v>1</v>
      </c>
      <c r="V21" s="288">
        <f>Measurement!DK17*100</f>
        <v>79.17303390615568</v>
      </c>
      <c r="W21" s="287">
        <f>'R3'!I3</f>
        <v>30.06881476825869</v>
      </c>
      <c r="X21" t="str">
        <f>"(" &amp; ROUND(V21,1) &amp; " , " &amp; ROUND(W21,1) &amp; ")" &amp; CHAR(10) &amp; AR26</f>
        <v>(79.2 , 30.1)
만족스러운</v>
      </c>
      <c r="Y21" s="75">
        <f t="shared" si="3"/>
        <v>19.995380586381259</v>
      </c>
      <c r="AA21">
        <f>100-M!B19*100</f>
        <v>39.686399999999999</v>
      </c>
      <c r="AC21">
        <f>'R3'!I3</f>
        <v>30.06881476825869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7.3989638720334178E-2</v>
      </c>
      <c r="D22" s="50">
        <f>IF(hist!$D$2&gt;0,hist!B22/hist!$D$2,0)</f>
        <v>0.45819431932356031</v>
      </c>
      <c r="E22" s="50">
        <f t="shared" si="1"/>
        <v>6.1052467266546498E-4</v>
      </c>
      <c r="F22">
        <f t="shared" si="6"/>
        <v>20</v>
      </c>
      <c r="G22" s="50">
        <f>IF(FT!A22&lt;&gt;"",FT!A22*10,"")</f>
        <v>2.7904600000000004</v>
      </c>
      <c r="H22" s="50">
        <f>IF(FT!B22&lt;&gt;"",FT!B22*100,"")</f>
        <v>56.486000000000004</v>
      </c>
      <c r="I22" s="50">
        <f t="shared" si="2"/>
        <v>1</v>
      </c>
      <c r="J22" t="str">
        <f>IF(FT!B22&lt;&gt;"",FT!E22,"")</f>
        <v>0 [8.114980]</v>
      </c>
      <c r="K22">
        <f>IF(FT!B22&lt;&gt;"",IF(FT!C22&lt;&gt;"",FT!C22,F22/$M$3*$M$4),"")</f>
        <v>8.1149799999999992</v>
      </c>
      <c r="P22">
        <f t="shared" si="10"/>
        <v>19</v>
      </c>
      <c r="Q22">
        <f t="shared" si="12"/>
        <v>0</v>
      </c>
      <c r="R22">
        <f t="shared" si="13"/>
        <v>0</v>
      </c>
      <c r="S22">
        <f t="array" ref="S22">MAX(IF(ft_nq=P22,row_n))</f>
        <v>0</v>
      </c>
      <c r="T22">
        <f t="shared" si="11"/>
        <v>1</v>
      </c>
      <c r="V22" s="300">
        <f>X23</f>
        <v>90</v>
      </c>
      <c r="W22" s="300">
        <f>X23</f>
        <v>90</v>
      </c>
      <c r="X22" t="s">
        <v>1188</v>
      </c>
      <c r="Y22" s="75">
        <f t="shared" si="3"/>
        <v>20.242540656379234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8.5274423747670761E-2</v>
      </c>
      <c r="D23" s="50">
        <f>IF(hist!$D$2&gt;0,hist!B23/hist!$D$2,0)</f>
        <v>0.59674330223882222</v>
      </c>
      <c r="E23" s="50">
        <f t="shared" si="1"/>
        <v>7.2710399246906645E-4</v>
      </c>
      <c r="F23">
        <f t="shared" si="6"/>
        <v>21</v>
      </c>
      <c r="G23" s="50">
        <f>IF(FT!A23&lt;&gt;"",FT!A23*10,"")</f>
        <v>2.7677299999999998</v>
      </c>
      <c r="H23" s="50">
        <f>IF(FT!B23&lt;&gt;"",FT!B23*100,"")</f>
        <v>56.689799999999998</v>
      </c>
      <c r="I23" s="50">
        <f t="shared" si="2"/>
        <v>1</v>
      </c>
      <c r="J23" t="str">
        <f>IF(FT!B23&lt;&gt;"",FT!E23,"")</f>
        <v>0 [8.517120]</v>
      </c>
      <c r="K23">
        <f>IF(FT!B23&lt;&gt;"",IF(FT!C23&lt;&gt;"",FT!C23,F23/$M$3*$M$4),"")</f>
        <v>8.5171200000000002</v>
      </c>
      <c r="P23">
        <f t="shared" si="10"/>
        <v>20</v>
      </c>
      <c r="Q23">
        <f t="shared" si="12"/>
        <v>0</v>
      </c>
      <c r="R23">
        <f t="shared" si="13"/>
        <v>0</v>
      </c>
      <c r="S23">
        <f t="array" ref="S23">MAX(IF(ft_nq=P23,row_n))</f>
        <v>0</v>
      </c>
      <c r="T23">
        <f t="shared" si="11"/>
        <v>1</v>
      </c>
      <c r="V23" s="300">
        <f>100-X23</f>
        <v>10</v>
      </c>
      <c r="W23" s="300">
        <f>X23</f>
        <v>90</v>
      </c>
      <c r="X23">
        <v>90</v>
      </c>
      <c r="Y23" s="75">
        <f t="shared" si="3"/>
        <v>20.482416998767945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1.5926406246800494E-2</v>
      </c>
      <c r="D24" s="50">
        <f>IF(hist!$D$2&gt;0,hist!B24/hist!$D$2,0)</f>
        <v>0.27844049472308635</v>
      </c>
      <c r="E24" s="50">
        <f t="shared" si="1"/>
        <v>8.6412469495482391E-4</v>
      </c>
      <c r="F24">
        <f t="shared" si="6"/>
        <v>22</v>
      </c>
      <c r="G24" s="50">
        <f>IF(FT!A24&lt;&gt;"",FT!A24*10,"")</f>
        <v>2.74552</v>
      </c>
      <c r="H24" s="50">
        <f>IF(FT!B24&lt;&gt;"",FT!B24*100,"")</f>
        <v>56.837199999999996</v>
      </c>
      <c r="I24" s="50">
        <f t="shared" si="2"/>
        <v>1</v>
      </c>
      <c r="J24" t="str">
        <f>IF(FT!B24&lt;&gt;"",FT!E24,"")</f>
        <v>0 [8.922120]</v>
      </c>
      <c r="K24">
        <f>IF(FT!B24&lt;&gt;"",IF(FT!C24&lt;&gt;"",FT!C24,F24/$M$3*$M$4),"")</f>
        <v>8.9221199999999996</v>
      </c>
      <c r="P24">
        <f t="shared" si="10"/>
        <v>21</v>
      </c>
      <c r="Q24">
        <f t="shared" si="12"/>
        <v>0</v>
      </c>
      <c r="R24">
        <f t="shared" si="13"/>
        <v>0</v>
      </c>
      <c r="S24">
        <f t="array" ref="S24">MAX(IF(ft_nq=P24,row_n))</f>
        <v>0</v>
      </c>
      <c r="T24">
        <f t="shared" si="11"/>
        <v>1</v>
      </c>
      <c r="V24" s="300">
        <f>100-X23</f>
        <v>10</v>
      </c>
      <c r="W24" s="300">
        <f>100-X23</f>
        <v>10</v>
      </c>
      <c r="Y24" s="75">
        <f t="shared" si="3"/>
        <v>20.70179783793234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1.6836533407960028E-2</v>
      </c>
      <c r="D25" s="50">
        <f>IF(hist!$D$2&gt;0,hist!B25/hist!$D$2,0)</f>
        <v>0.28166975670439681</v>
      </c>
      <c r="E25" s="50">
        <f t="shared" si="1"/>
        <v>1.0248088830179514E-3</v>
      </c>
      <c r="F25">
        <f t="shared" si="6"/>
        <v>23</v>
      </c>
      <c r="G25" s="50">
        <f>IF(FT!A25&lt;&gt;"",FT!A25*10,"")</f>
        <v>2.7236700000000003</v>
      </c>
      <c r="H25" s="50">
        <f>IF(FT!B25&lt;&gt;"",FT!B25*100,"")</f>
        <v>56.963200000000001</v>
      </c>
      <c r="I25" s="50">
        <f t="shared" si="2"/>
        <v>1</v>
      </c>
      <c r="J25" t="str">
        <f>IF(FT!B25&lt;&gt;"",FT!E25,"")</f>
        <v>0 [9.338639]</v>
      </c>
      <c r="K25">
        <f>IF(FT!B25&lt;&gt;"",IF(FT!C25&lt;&gt;"",FT!C25,F25/$M$3*$M$4),"")</f>
        <v>9.3386399999999998</v>
      </c>
      <c r="P25">
        <f t="shared" si="10"/>
        <v>22</v>
      </c>
      <c r="Q25">
        <f t="shared" si="12"/>
        <v>0</v>
      </c>
      <c r="R25">
        <f t="shared" si="13"/>
        <v>0</v>
      </c>
      <c r="S25">
        <f t="array" ref="S25">MAX(IF(ft_nq=P25,row_n))</f>
        <v>0</v>
      </c>
      <c r="T25">
        <f t="shared" si="11"/>
        <v>1</v>
      </c>
      <c r="V25" s="300">
        <f>X23</f>
        <v>90</v>
      </c>
      <c r="W25" s="300">
        <f>100-X23</f>
        <v>10</v>
      </c>
      <c r="Y25" s="75">
        <f t="shared" si="3"/>
        <v>20.914134237995057</v>
      </c>
    </row>
    <row r="26" spans="1:120">
      <c r="A26" s="50">
        <f t="shared" si="5"/>
        <v>24</v>
      </c>
      <c r="B26" s="50">
        <f t="shared" si="0"/>
        <v>0.46337976470588232</v>
      </c>
      <c r="C26" s="50">
        <f>IF(FH!$C$2&gt;0,FH!A26/FH!$C$2,0)</f>
        <v>4.9417433979263785E-2</v>
      </c>
      <c r="D26" s="50">
        <f>IF(hist!$D$2&gt;0,hist!B26/hist!$D$2,0)</f>
        <v>0.36191444176929394</v>
      </c>
      <c r="E26" s="50">
        <f t="shared" si="1"/>
        <v>1.2128188079122912E-3</v>
      </c>
      <c r="F26">
        <f t="shared" si="6"/>
        <v>24</v>
      </c>
      <c r="G26" s="50">
        <f>IF(FT!A26&lt;&gt;"",FT!A26*10,"")</f>
        <v>2.7039400000000002</v>
      </c>
      <c r="H26" s="50">
        <f>IF(FT!B26&lt;&gt;"",FT!B26*100,"")</f>
        <v>56.898700000000005</v>
      </c>
      <c r="I26" s="50">
        <f t="shared" si="2"/>
        <v>1</v>
      </c>
      <c r="J26" t="str">
        <f>IF(FT!B26&lt;&gt;"",FT!E26,"")</f>
        <v>0 [9.748893]</v>
      </c>
      <c r="K26">
        <f>IF(FT!B26&lt;&gt;"",IF(FT!C26&lt;&gt;"",FT!C26,F26/$M$3*$M$4),"")</f>
        <v>9.7488899999999994</v>
      </c>
      <c r="P26">
        <f t="shared" si="10"/>
        <v>23</v>
      </c>
      <c r="Q26">
        <f t="shared" si="12"/>
        <v>0</v>
      </c>
      <c r="R26">
        <f t="shared" si="13"/>
        <v>0</v>
      </c>
      <c r="S26">
        <f t="array" ref="S26">MAX(IF(ft_nq=P26,row_n))</f>
        <v>0</v>
      </c>
      <c r="T26">
        <f t="shared" si="11"/>
        <v>1</v>
      </c>
      <c r="V26" s="300">
        <f>X23</f>
        <v>90</v>
      </c>
      <c r="W26" s="300">
        <f>X23</f>
        <v>90</v>
      </c>
      <c r="Y26" s="75">
        <f t="shared" si="3"/>
        <v>21.042885566987433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7.5354761205949208E-2</v>
      </c>
      <c r="D27" s="50">
        <f>IF(hist!$D$2&gt;0,hist!B27/hist!$D$2,0)</f>
        <v>0.29349737041114221</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5.0509531967755802E-2</v>
      </c>
      <c r="D28" s="50">
        <f>IF(hist!$D$2&gt;0,hist!B28/hist!$D$2,0)</f>
        <v>0.15259779628096806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7.1077149897274539E-2</v>
      </c>
      <c r="D29" s="50">
        <f>IF(hist!$D$2&gt;0,hist!B29/hist!$D$2,0)</f>
        <v>0.2377751387775428</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8.7731644221777802E-2</v>
      </c>
      <c r="D30" s="50">
        <f>IF(hist!$D$2&gt;0,hist!B30/hist!$D$2,0)</f>
        <v>0.32248744525212575</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1.710955790508303E-2</v>
      </c>
      <c r="D31" s="50">
        <f>IF(hist!$D$2&gt;0,hist!B31/hist!$D$2,0)</f>
        <v>8.3610273667891935E-2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7.4353443862750571E-2</v>
      </c>
      <c r="D32" s="50">
        <f>IF(hist!$D$2&gt;0,hist!B32/hist!$D$2,0)</f>
        <v>0.22694527070963361</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9.6832915833373154E-2</v>
      </c>
      <c r="D33" s="50">
        <f>IF(hist!$D$2&gt;0,hist!B33/hist!$D$2,0)</f>
        <v>0.15120024736740262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0.45286900000000002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9.4375695359266112E-2</v>
      </c>
      <c r="D34" s="50">
        <f>IF(hist!$D$2&gt;0,hist!B34/hist!$D$2,0)</f>
        <v>0.18264517395747654</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54.713100000000004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0.10520521203765008</v>
      </c>
      <c r="D35" s="50">
        <f>IF(hist!$D$2&gt;0,hist!B35/hist!$D$2,0)</f>
        <v>0.1147401633844267</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50.918666666666667</v>
      </c>
      <c r="W35" s="23">
        <f>IF(FH_info!G2*1&lt;&gt;0,(1-NORMSDIST((FH_info!G2*1-0.5308)/0.1538))*100,0)</f>
        <v>69.381856667219523</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0.12895834328735145</v>
      </c>
      <c r="D36" s="50">
        <f>IF(hist!$D$2&gt;0,hist!B36/hist!$D$2,0)</f>
        <v>0.17346714111944028</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1.52756</v>
      </c>
      <c r="W36" s="495">
        <f>IF(W34&gt;=60,30/40*(W34-60)+70,IF(W34&gt;=35,35/25*(W34-35)+35,IF(W34&gt;=0,W34,0)))</f>
        <v>62.598340000000007</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0.14470298347519231</v>
      </c>
      <c r="D37" s="50">
        <f>IF(hist!$D$2&gt;0,hist!B37/hist!$D$2,0)</f>
        <v>0.11527971527871127</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0.13232610045936372</v>
      </c>
      <c r="D38" s="50">
        <f>IF(hist!$D$2&gt;0,hist!B38/hist!$D$2,0)</f>
        <v>0.12579802087915462</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0.13660302920679557</v>
      </c>
      <c r="D39" s="50">
        <f>IF(hist!$D$2&gt;0,hist!B39/hist!$D$2,0)</f>
        <v>8.2336439900553254E-2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0.12049458387653832</v>
      </c>
      <c r="D40" s="50">
        <f>IF(hist!$D$2&gt;0,hist!B40/hist!$D$2,0)</f>
        <v>8.1689212347426432E-2</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0.16490679626229462</v>
      </c>
      <c r="D41" s="50">
        <f>IF(hist!$D$2&gt;0,hist!B41/hist!$D$2,0)</f>
        <v>8.2830160392270619E-2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0.18356324271195232</v>
      </c>
      <c r="D42" s="50">
        <f>IF(hist!$D$2&gt;0,hist!B42/hist!$D$2,0)</f>
        <v>7.0866200303371152E-2</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0.15070952241189842</v>
      </c>
      <c r="D43" s="50">
        <f>IF(hist!$D$2&gt;0,hist!B43/hist!$D$2,0)</f>
        <v>5.7101459155099135E-2</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11.3672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0.28795006381947624</v>
      </c>
      <c r="D44" s="50">
        <f>IF(hist!$D$2&gt;0,hist!B44/hist!$D$2,0)</f>
        <v>8.8190113067010897E-2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0.18192509572921431</v>
      </c>
      <c r="D45" s="50">
        <f>IF(hist!$D$2&gt;0,hist!B45/hist!$D$2,0)</f>
        <v>2.2532663478724971E-2</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0.40453152409099902</v>
      </c>
      <c r="D46" s="50">
        <f>IF(hist!$D$2&gt;0,hist!B46/hist!$D$2,0)</f>
        <v>5.2560559050357392E-2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0.4518555427385722</v>
      </c>
      <c r="D47" s="50">
        <f>IF(hist!$D$2&gt;0,hist!B47/hist!$D$2,0)</f>
        <v>5.2117234629720462E-2</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0.51173868825380353</v>
      </c>
      <c r="D48" s="50">
        <f>IF(hist!$D$2&gt;0,hist!B48/hist!$D$2,0)</f>
        <v>4.8247620879606878E-2</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0.58672964431733632</v>
      </c>
      <c r="D49" s="50">
        <f>IF(hist!$D$2&gt;0,hist!B49/hist!$D$2,0)</f>
        <v>4.2918594199182994E-2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0.44876149262492576</v>
      </c>
      <c r="D50" s="50">
        <f>IF(hist!$D$2&gt;0,hist!B50/hist!$D$2,0)</f>
        <v>4.0440803981311266E-2</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0.62686424539441798</v>
      </c>
      <c r="D51" s="50">
        <f>IF(hist!$D$2&gt;0,hist!B51/hist!$D$2,0)</f>
        <v>3.3262884652568166E-2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0.52839318257830681</v>
      </c>
      <c r="D52" s="50">
        <f>IF(hist!$D$2&gt;0,hist!B52/hist!$D$2,0)</f>
        <v>3.5771606878812312E-2</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79.17303390615568</v>
      </c>
      <c r="W52" s="303">
        <f ca="1">100-N9</f>
        <v>46.929880000000004</v>
      </c>
      <c r="X52" t="str">
        <f ca="1">"(" &amp; ROUND(V52,1) &amp; " , " &amp; ROUND(100-W52,1) &amp; ")"</f>
        <v>(79.2 , 53.1)</v>
      </c>
      <c r="Y52" s="75" t="str">
        <f t="shared" si="3"/>
        <v/>
      </c>
    </row>
    <row r="53" spans="1:25">
      <c r="A53" s="50">
        <f t="shared" si="5"/>
        <v>51</v>
      </c>
      <c r="B53" s="50">
        <f t="shared" si="0"/>
        <v>0.98468199999999995</v>
      </c>
      <c r="C53" s="50">
        <f>IF(FH!$C$2&gt;0,FH!A53/FH!$C$2,0)</f>
        <v>0.26501600606114384</v>
      </c>
      <c r="D53" s="50">
        <f>IF(hist!$D$2&gt;0,hist!B53/hist!$D$2,0)</f>
        <v>2.057952662009388E-2</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0.51911034967612468</v>
      </c>
      <c r="D54" s="50">
        <f>IF(hist!$D$2&gt;0,hist!B54/hist!$D$2,0)</f>
        <v>4.0949420430619964E-2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0.44084378220835863</v>
      </c>
      <c r="D55" s="50">
        <f>IF(hist!$D$2&gt;0,hist!B55/hist!$D$2,0)</f>
        <v>3.794697427605502E-2</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0.20649730047028467</v>
      </c>
      <c r="D56" s="50">
        <f>IF(hist!$D$2&gt;0,hist!B56/hist!$D$2,0)</f>
        <v>2.2592231844374863E-2</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0.34100759690663246</v>
      </c>
      <c r="D57" s="50">
        <f>IF(hist!$D$2&gt;0,hist!B57/hist!$D$2,0)</f>
        <v>2.3313919424988613E-2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0.43037738811114823</v>
      </c>
      <c r="D58" s="50">
        <f>IF(hist!$D$2&gt;0,hist!B58/hist!$D$2,0)</f>
        <v>3.3744009992694286E-2</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0.18128826608967491</v>
      </c>
      <c r="D59" s="50">
        <f>IF(hist!$D$2&gt;0,hist!B59/hist!$D$2,0)</f>
        <v>1.5154275043474944E-2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0.29413816404676907</v>
      </c>
      <c r="D60" s="50">
        <f>IF(hist!$D$2&gt;0,hist!B60/hist!$D$2,0)</f>
        <v>2.5318603616851051E-2</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0.32444388322742257</v>
      </c>
      <c r="D61" s="50">
        <f>IF(hist!$D$2&gt;0,hist!B61/hist!$D$2,0)</f>
        <v>2.4073407065940695E-2</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0.32608203021016058</v>
      </c>
      <c r="D62" s="50">
        <f>IF(hist!$D$2&gt;0,hist!B62/hist!$D$2,0)</f>
        <v>2.7400039191541065E-2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0.30524138778351889</v>
      </c>
      <c r="D63" s="50">
        <f>IF(hist!$D$2&gt;0,hist!B63/hist!$D$2,0)</f>
        <v>1.329621869209487E-2</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0.29550328653238411</v>
      </c>
      <c r="D64" s="50">
        <f>IF(hist!$D$2&gt;0,hist!B64/hist!$D$2,0)</f>
        <v>1.6518605748232502E-2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0.54677728709208429</v>
      </c>
      <c r="D65" s="50">
        <f>IF(hist!$D$2&gt;0,hist!B65/hist!$D$2,0)</f>
        <v>2.9915632906354572E-2</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0.33918720607206482</v>
      </c>
      <c r="D66" s="50">
        <f>IF(hist!$D$2&gt;0,hist!B66/hist!$D$2,0)</f>
        <v>1.4871329172816829E-2</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0.37677380602974597</v>
      </c>
      <c r="D67" s="50">
        <f>IF(hist!$D$2&gt;0,hist!B67/hist!$D$2,0)</f>
        <v>1.4335218177722108E-2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0.36903833946500847</v>
      </c>
      <c r="D68" s="50">
        <f>IF(hist!$D$2&gt;0,hist!B68/hist!$D$2,0)</f>
        <v>1.7101683943329855E-2</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0.58855003515190396</v>
      </c>
      <c r="D69" s="50">
        <f>IF(hist!$D$2&gt;0,hist!B69/hist!$D$2,0)</f>
        <v>1.7656123203697156E-2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0.42509914202051774</v>
      </c>
      <c r="D70" s="50">
        <f>IF(hist!$D$2&gt;0,hist!B70/hist!$D$2,0)</f>
        <v>1.5925219461130253E-2</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0.52502610796753735</v>
      </c>
      <c r="D71" s="50">
        <f>IF(hist!$D$2&gt;0,hist!B71/hist!$D$2,0)</f>
        <v>1.200291055223785E-2</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0.51874654453370828</v>
      </c>
      <c r="D72" s="50">
        <f>IF(hist!$D$2&gt;0,hist!B72/hist!$D$2,0)</f>
        <v>1.4146205847918401E-2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0.47114950138901207</v>
      </c>
      <c r="D73" s="50">
        <f>IF(hist!$D$2&gt;0,hist!B73/hist!$D$2,0)</f>
        <v>1.0001661245509229E-2</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0.6168531196461603</v>
      </c>
      <c r="D74" s="50">
        <f>IF(hist!$D$2&gt;0,hist!B74/hist!$D$2,0)</f>
        <v>1.4466955215518289E-2</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0.66408635764843993</v>
      </c>
      <c r="D75" s="50">
        <f>IF(hist!$D$2&gt;0,hist!B75/hist!$D$2,0)</f>
        <v>1.0001661245509229E-2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0.67537182523701933</v>
      </c>
      <c r="D76" s="50">
        <f>IF(hist!$D$2&gt;0,hist!B76/hist!$D$2,0)</f>
        <v>1.1488565285002106E-2</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0.54623123809783836</v>
      </c>
      <c r="D77" s="50">
        <f>IF(hist!$D$2&gt;0,hist!B77/hist!$D$2,0)</f>
        <v>8.2661773697136134E-3</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0.73834697318216869</v>
      </c>
      <c r="D78" s="50">
        <f>IF(hist!$D$2&gt;0,hist!B78/hist!$D$2,0)</f>
        <v>9.7084047053936431E-3</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0.70776822950439233</v>
      </c>
      <c r="D79" s="50">
        <f>IF(hist!$D$2&gt;0,hist!B79/hist!$D$2,0)</f>
        <v>9.5274108305559019E-3</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0.5873664739568758</v>
      </c>
      <c r="D80" s="50">
        <f>IF(hist!$D$2&gt;0,hist!B80/hist!$D$2,0)</f>
        <v>8.0370701876274885E-3</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0.7459916591016128</v>
      </c>
      <c r="D81" s="50">
        <f>IF(hist!$D$2&gt;0,hist!B81/hist!$D$2,0)</f>
        <v>6.7013766992982671E-3</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0.81552417290641399</v>
      </c>
      <c r="D82" s="50">
        <f>IF(hist!$D$2&gt;0,hist!B82/hist!$D$2,0)</f>
        <v>7.6636256612487869E-3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0.83891554669742729</v>
      </c>
      <c r="D83" s="50">
        <f>IF(hist!$D$2&gt;0,hist!B83/hist!$D$2,0)</f>
        <v>7.6006215513142183E-3</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0.85565877398349566</v>
      </c>
      <c r="D84" s="50">
        <f>IF(hist!$D$2&gt;0,hist!B84/hist!$D$2,0)</f>
        <v>6.332514883600854E-3</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0.84574115912550252</v>
      </c>
      <c r="D85" s="50">
        <f>IF(hist!$D$2&gt;0,hist!B85/hist!$D$2,0)</f>
        <v>6.0598771049476339E-3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0.84637594108131353</v>
      </c>
      <c r="D86" s="50">
        <f>IF(hist!$D$2&gt;0,hist!B86/hist!$D$2,0)</f>
        <v>6.760944205797299E-3</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0.16636269939320306</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0.97069082023384545</v>
      </c>
      <c r="D88" s="50">
        <f>IF(hist!$D$2&gt;0,hist!B88/hist!$D$2,0)</f>
        <v>5.4997116041058686E-3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0.70613008252165421</v>
      </c>
      <c r="D89" s="50">
        <f>IF(hist!$D$2&gt;0,hist!B89/hist!$D$2,0)</f>
        <v>4.1548535535649257E-3</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1</v>
      </c>
      <c r="D90" s="50">
        <f>IF(hist!$D$2&gt;0,hist!B90/hist!$D$2,0)</f>
        <v>5.2648764632435615E-3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0.81434334195635705</v>
      </c>
      <c r="D91" s="50">
        <f>IF(hist!$D$2&gt;0,hist!B91/hist!$D$2,0)</f>
        <v>3.8753434271914891E-3</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0.67746455800746719</v>
      </c>
      <c r="D92" s="50">
        <f>IF(hist!$D$2&gt;0,hist!B92/hist!$D$2,0)</f>
        <v>3.7378792897699857E-3</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0.940207635130062</v>
      </c>
      <c r="D93" s="50">
        <f>IF(hist!$D$2&gt;0,hist!B93/hist!$D$2,0)</f>
        <v>3.6015604004433766E-3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0.75518575904223006</v>
      </c>
      <c r="D94" s="50">
        <f>IF(hist!$D$2&gt;0,hist!B94/hist!$D$2,0)</f>
        <v>2.9314227305135493E-3</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0.4523108110875248</v>
      </c>
      <c r="D95" s="50">
        <f>IF(hist!$D$2&gt;0,hist!B95/hist!$D$2,0)</f>
        <v>1.6953907418149163E-3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0.92491826329117388</v>
      </c>
      <c r="D96" s="50">
        <f>IF(hist!$D$2&gt;0,hist!B96/hist!$D$2,0)</f>
        <v>3.1719849710011797E-3</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0.77056386384268327</v>
      </c>
      <c r="D97" s="50">
        <f>IF(hist!$D$2&gt;0,hist!B97/hist!$D$2,0)</f>
        <v>2.4548801010687198E-3</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0.4292852901226562</v>
      </c>
      <c r="D98" s="50">
        <f>IF(hist!$D$2&gt;0,hist!B98/hist!$D$2,0)</f>
        <v>1.7194469658636791E-3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0.7982348966260997</v>
      </c>
      <c r="D99" s="50">
        <f>IF(hist!$D$2&gt;0,hist!B99/hist!$D$2,0)</f>
        <v>2.0825816819357692E-3</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0.684929730320053</v>
      </c>
      <c r="D100" s="50">
        <f>IF(hist!$D$2&gt;0,hist!B100/hist!$D$2,0)</f>
        <v>1.9336624861127606E-3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0.56843700301009503</v>
      </c>
      <c r="D101" s="50">
        <f>IF(hist!$D$2&gt;0,hist!B101/hist!$D$2,0)</f>
        <v>1.4903406429284136E-3</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0.58081388602592365</v>
      </c>
      <c r="D102" s="50">
        <f>IF(hist!$D$2&gt;0,hist!B102/hist!$D$2,0)</f>
        <v>1.4983590978943817E-3</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0.60920843372671618</v>
      </c>
      <c r="D103" s="50">
        <f>IF(hist!$D$2&gt;0,hist!B103/hist!$D$2,0)</f>
        <v>1.2692519158082572E-3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0.401255230125523</v>
      </c>
      <c r="D104" s="50">
        <f>IF(hist!$D$2&gt;0,hist!B104/hist!$D$2,0)</f>
        <v>1.7034100559317432E-3</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0.71796569447193648</v>
      </c>
      <c r="D105" s="50">
        <f>IF(hist!$D$2&gt;0,hist!B105/hist!$D$2,0)</f>
        <v>5.6131160808751729E-4</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0.5699843693475396</v>
      </c>
      <c r="D106" s="50">
        <f>IF(hist!$D$2&gt;0,hist!B106/hist!$D$2,0)</f>
        <v>9.4964779630326288E-4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0.54486611561222331</v>
      </c>
      <c r="D107" s="50">
        <f>IF(hist!$D$2&gt;0,hist!B107/hist!$D$2,0)</f>
        <v>9.2330107606471417E-4</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0.58572832697413768</v>
      </c>
      <c r="D108" s="50">
        <f>IF(hist!$D$2&gt;0,hist!B108/hist!$D$2,0)</f>
        <v>9.1757311728853195E-4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0.34819701447712392</v>
      </c>
      <c r="D109" s="50">
        <f>IF(hist!$D$2&gt;0,hist!B109/hist!$D$2,0)</f>
        <v>5.6703956686369951E-4</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0.34901608796849298</v>
      </c>
      <c r="D110" s="50">
        <f>IF(hist!$D$2&gt;0,hist!B110/hist!$D$2,0)</f>
        <v>6.2660707336273109E-4</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0.51747220269338667</v>
      </c>
      <c r="D111" s="50">
        <f>IF(hist!$D$2&gt;0,hist!B111/hist!$D$2,0)</f>
        <v>7.0450370428520241E-4</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0.25546014866183869</v>
      </c>
      <c r="D112" s="50">
        <f>IF(hist!$D$2&gt;0,hist!B112/hist!$D$2,0)</f>
        <v>3.6313471607208984E-4</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0.31607158702314564</v>
      </c>
      <c r="D113" s="50">
        <f>IF(hist!$D$2&gt;0,hist!B113/hist!$D$2,0)</f>
        <v>4.1926561913558388E-4</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0.43374514528316049</v>
      </c>
      <c r="D114" s="50">
        <f>IF(hist!$D$2&gt;0,hist!B114/hist!$D$2,0)</f>
        <v>4.8341583631590488E-4</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0.31652617281085549</v>
      </c>
      <c r="D115" s="50">
        <f>IF(hist!$D$2&gt;0,hist!B115/hist!$D$2,0)</f>
        <v>3.6313471607208984E-4</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0.19503027159111852</v>
      </c>
      <c r="D116" s="50">
        <f>IF(hist!$D$2&gt;0,hist!B116/hist!$D$2,0)</f>
        <v>2.4170748858252299E-4</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0.27202317977980572</v>
      </c>
      <c r="D117" s="50">
        <f>IF(hist!$D$2&gt;0,hist!B117/hist!$D$2,0)</f>
        <v>2.1650601643886708E-4</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0.36430545980738116</v>
      </c>
      <c r="D118" s="50">
        <f>IF(hist!$D$2&gt;0,hist!B118/hist!$D$2,0)</f>
        <v>3.3793238477757503E-4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0.10957360399161814</v>
      </c>
      <c r="D119" s="50">
        <f>IF(hist!$D$2&gt;0,hist!B119/hist!$D$2,0)</f>
        <v>9.737014428994494E-5</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0.26328639587186958</v>
      </c>
      <c r="D120" s="50">
        <f>IF(hist!$D$2&gt;0,hist!B120/hist!$D$2,0)</f>
        <v>2.1765126453375996E-4</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0.12713863501402664</v>
      </c>
      <c r="D121" s="50">
        <f>IF(hist!$D$2&gt;0,hist!B121/hist!$D$2,0)</f>
        <v>1.145531614676328E-4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0.15935552567454114</v>
      </c>
      <c r="D122" s="50">
        <f>IF(hist!$D$2&gt;0,hist!B122/hist!$D$2,0)</f>
        <v>1.4777394772811563E-4</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0.11312292245421719</v>
      </c>
      <c r="D123" s="50">
        <f>IF(hist!$D$2&gt;0,hist!B123/hist!$D$2,0)</f>
        <v>8.2478482452901745E-5</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5.3785825933231862E-2</v>
      </c>
      <c r="D124" s="50">
        <f>IF(hist!$D$2&gt;0,hist!B124/hist!$D$2,0)</f>
        <v>4.811244809752602E-5</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0.10693482222692431</v>
      </c>
      <c r="D125" s="50">
        <f>IF(hist!$D$2&gt;0,hist!B125/hist!$D$2,0)</f>
        <v>7.5605275581826597E-5</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2.4481219327404151E-2</v>
      </c>
      <c r="D126" s="50">
        <f>IF(hist!$D$2&gt;0,hist!B126/hist!$D$2,0)</f>
        <v>1.7183017177687862E-5</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8.6275741090869371E-2</v>
      </c>
      <c r="D127" s="50">
        <f>IF(hist!$D$2&gt;0,hist!B127/hist!$D$2,0)</f>
        <v>5.3840406873708268E-5</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8.1998129782194701E-2</v>
      </c>
      <c r="D128" s="50">
        <f>IF(hist!$D$2&gt;0,hist!B128/hist!$D$2,0)</f>
        <v>4.9257696192418913E-5</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1.6745479738169505E-2</v>
      </c>
      <c r="D129" s="50">
        <f>IF(hist!$D$2&gt;0,hist!B129/hist!$D$2,0)</f>
        <v>5.7279587761822497E-6</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6.92574416239497E-2</v>
      </c>
      <c r="D130" s="50">
        <f>IF(hist!$D$2&gt;0,hist!B130/hist!$D$2,0)</f>
        <v>3.6657389696020399E-5</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6.7619089872838836E-2</v>
      </c>
      <c r="D132" s="50">
        <f>IF(hist!$D$2&gt;0,hist!B132/hist!$D$2,0)</f>
        <v>3.5511282450268624E-5</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4.331990962889145E-2</v>
      </c>
      <c r="D133" s="50">
        <f>IF(hist!$D$2&gt;0,hist!B133/hist!$D$2,0)</f>
        <v>2.5201472143655906E-5</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4.8234350577105525E-3</v>
      </c>
      <c r="D134" s="50">
        <f>IF(hist!$D$2&gt;0,hist!B134/hist!$D$2,0)</f>
        <v>3.436603435537573E-6</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3.4037076726709303E-2</v>
      </c>
      <c r="D135" s="50">
        <f>IF(hist!$D$2&gt;0,hist!B135/hist!$D$2,0)</f>
        <v>1.8328265272580762E-5</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1.0920979884920174E-2</v>
      </c>
      <c r="D136" s="50">
        <f>IF(hist!$D$2&gt;0,hist!B136/hist!$D$2,0)</f>
        <v>4.5818515304304692E-6</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1.5562396336011249E-2</v>
      </c>
      <c r="D137" s="50">
        <f>IF(hist!$D$2&gt;0,hist!B137/hist!$D$2,0)</f>
        <v>6.873206871075146E-6</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7.917710416567126E-3</v>
      </c>
      <c r="D138" s="50">
        <f>IF(hist!$D$2&gt;0,hist!B138/hist!$D$2,0)</f>
        <v>5.7279587761822497E-6</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9.919867310094397E-3</v>
      </c>
      <c r="D139" s="50">
        <f>IF(hist!$D$2&gt;0,hist!B139/hist!$D$2,0)</f>
        <v>2.2913553406446768E-6</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7.4626468359873591E-3</v>
      </c>
      <c r="D140" s="50">
        <f>IF(hist!$D$2&gt;0,hist!B140/hist!$D$2,0)</f>
        <v>3.436603435537573E-6</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5.2784713358406078E-3</v>
      </c>
      <c r="D142" s="50">
        <f>IF(hist!$D$2&gt;0,hist!B142/hist!$D$2,0)</f>
        <v>2.2913553406446768E-6</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2.5482263646105646E-3</v>
      </c>
      <c r="D143" s="50">
        <f>IF(hist!$D$2&gt;0,hist!B143/hist!$D$2,0)</f>
        <v>1.145248094892896E-6</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2.5482263646105646E-3</v>
      </c>
      <c r="D145" s="50">
        <f>IF(hist!$D$2&gt;0,hist!B145/hist!$D$2,0)</f>
        <v>1.145248094892896E-6</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2.6392390807265182E-3</v>
      </c>
      <c r="D147" s="50">
        <f>IF(hist!$D$2&gt;0,hist!B147/hist!$D$2,0)</f>
        <v>1.145248094892896E-6</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2.6392390807265182E-3</v>
      </c>
      <c r="D149" s="50">
        <f>IF(hist!$D$2&gt;0,hist!B149/hist!$D$2,0)</f>
        <v>1.145248094892896E-6</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37.504100000000001</v>
      </c>
      <c r="C5" s="49">
        <v>4.0762900000000002</v>
      </c>
      <c r="D5" s="49">
        <v>10.8689</v>
      </c>
      <c r="E5" s="49">
        <v>20</v>
      </c>
      <c r="F5" s="49">
        <v>31.130700000000001</v>
      </c>
      <c r="G5" s="49">
        <v>50</v>
      </c>
      <c r="H5" s="49">
        <v>44.354399999999998</v>
      </c>
    </row>
    <row r="6" spans="1:10">
      <c r="A6" t="s">
        <v>1111</v>
      </c>
      <c r="B6" s="49">
        <v>16.597200000000001</v>
      </c>
      <c r="C6" s="49">
        <v>1.64781</v>
      </c>
      <c r="D6" s="49">
        <v>9.9282500000000002</v>
      </c>
      <c r="E6" s="49">
        <v>20</v>
      </c>
      <c r="F6" s="49">
        <v>12.542199999999999</v>
      </c>
      <c r="G6" s="49">
        <v>40</v>
      </c>
      <c r="H6" s="49">
        <v>21.5535</v>
      </c>
    </row>
    <row r="7" spans="1:10">
      <c r="A7" t="s">
        <v>1112</v>
      </c>
      <c r="B7" s="49">
        <v>27.982299999999999</v>
      </c>
      <c r="C7" s="49">
        <v>3.87656</v>
      </c>
      <c r="D7" s="49">
        <v>13.8536</v>
      </c>
      <c r="E7" s="49">
        <v>15</v>
      </c>
      <c r="F7" s="49">
        <v>19.021799999999999</v>
      </c>
      <c r="G7" s="49">
        <v>40</v>
      </c>
      <c r="H7" s="49">
        <v>40.807699999999997</v>
      </c>
    </row>
    <row r="8" spans="1:10">
      <c r="A8" t="s">
        <v>1113</v>
      </c>
      <c r="B8" s="49">
        <v>27.5395</v>
      </c>
      <c r="C8" s="49">
        <v>2.3649</v>
      </c>
      <c r="D8" s="49">
        <v>8.5872799999999998</v>
      </c>
      <c r="E8" s="49">
        <v>20</v>
      </c>
      <c r="F8" s="49">
        <v>25.7712</v>
      </c>
      <c r="G8" s="49">
        <v>50</v>
      </c>
      <c r="H8" s="49">
        <v>32.989400000000003</v>
      </c>
    </row>
    <row r="9" spans="1:10">
      <c r="A9" t="s">
        <v>1114</v>
      </c>
      <c r="B9" s="49">
        <v>68.7577</v>
      </c>
      <c r="C9" s="49">
        <v>4.8127199999999997</v>
      </c>
      <c r="D9" s="49">
        <v>6.99953</v>
      </c>
      <c r="E9" s="49">
        <v>50</v>
      </c>
      <c r="F9" s="49">
        <v>63.084000000000003</v>
      </c>
      <c r="G9" s="49">
        <v>100</v>
      </c>
      <c r="H9" s="49">
        <v>78.786100000000005</v>
      </c>
    </row>
    <row r="10" spans="1:10">
      <c r="A10" t="s">
        <v>1115</v>
      </c>
      <c r="B10" s="49">
        <v>87.932299999999998</v>
      </c>
      <c r="C10" s="49">
        <v>1.41581</v>
      </c>
      <c r="D10" s="49">
        <v>1.61012</v>
      </c>
      <c r="E10" s="49">
        <v>40</v>
      </c>
      <c r="F10" s="49">
        <v>84.860100000000003</v>
      </c>
      <c r="G10" s="49">
        <v>100</v>
      </c>
      <c r="H10" s="49">
        <v>89.003100000000003</v>
      </c>
    </row>
    <row r="11" spans="1:10">
      <c r="A11" t="s">
        <v>1116</v>
      </c>
      <c r="B11" s="49">
        <v>23.439800000000002</v>
      </c>
      <c r="C11" s="49">
        <v>3.2863199999999999</v>
      </c>
      <c r="D11" s="49">
        <v>14.020200000000001</v>
      </c>
      <c r="E11" s="49">
        <v>10</v>
      </c>
      <c r="F11" s="49">
        <v>18.218699999999998</v>
      </c>
      <c r="G11" s="49">
        <v>50</v>
      </c>
      <c r="H11" s="49">
        <v>29.957100000000001</v>
      </c>
    </row>
    <row r="12" spans="1:10">
      <c r="A12" t="s">
        <v>1117</v>
      </c>
      <c r="B12" s="49">
        <v>78.298100000000005</v>
      </c>
      <c r="C12" s="49">
        <v>3.0224700000000002</v>
      </c>
      <c r="D12" s="49">
        <v>3.8602099999999999</v>
      </c>
      <c r="E12" s="49">
        <v>50</v>
      </c>
      <c r="F12" s="49">
        <v>74.197699999999998</v>
      </c>
      <c r="G12" s="49">
        <v>100</v>
      </c>
      <c r="H12" s="49">
        <v>83.894599999999997</v>
      </c>
    </row>
    <row r="13" spans="1:10">
      <c r="A13" t="s">
        <v>1118</v>
      </c>
      <c r="B13" s="49">
        <v>17.728200000000001</v>
      </c>
      <c r="C13" s="49">
        <v>1.96193</v>
      </c>
      <c r="D13" s="49">
        <v>11.066700000000001</v>
      </c>
      <c r="E13" s="49">
        <v>10</v>
      </c>
      <c r="F13" s="49">
        <v>15.4293</v>
      </c>
      <c r="G13" s="49">
        <v>25</v>
      </c>
      <c r="H13" s="49">
        <v>23.575700000000001</v>
      </c>
      <c r="J13" s="49"/>
    </row>
    <row r="14" spans="1:10">
      <c r="A14" t="s">
        <v>1119</v>
      </c>
      <c r="B14" s="49">
        <v>19.619299999999999</v>
      </c>
      <c r="C14" s="49">
        <v>6.4501900000000001</v>
      </c>
      <c r="D14" s="49">
        <v>32.8767</v>
      </c>
      <c r="E14" s="49">
        <v>10</v>
      </c>
      <c r="F14" s="49">
        <v>3.0220699999999998</v>
      </c>
      <c r="G14" s="49">
        <v>50</v>
      </c>
      <c r="H14" s="49">
        <v>20.0168</v>
      </c>
    </row>
    <row r="15" spans="1:10">
      <c r="A15" t="s">
        <v>1120</v>
      </c>
      <c r="B15" s="49">
        <v>-5.3141800000000003E-2</v>
      </c>
      <c r="C15" s="49">
        <v>0</v>
      </c>
      <c r="D15" s="49">
        <v>0</v>
      </c>
      <c r="E15" s="49">
        <v>0</v>
      </c>
      <c r="F15" s="49">
        <v>0</v>
      </c>
      <c r="G15" s="49">
        <v>0</v>
      </c>
      <c r="H15" s="49">
        <v>0</v>
      </c>
    </row>
    <row r="16" spans="1:10">
      <c r="A16" t="s">
        <v>1121</v>
      </c>
      <c r="B16" s="49">
        <v>-0.12232700000000001</v>
      </c>
      <c r="C16" s="49">
        <v>0</v>
      </c>
      <c r="D16" s="49">
        <v>0</v>
      </c>
      <c r="E16" s="49">
        <v>0</v>
      </c>
      <c r="F16" s="49">
        <v>0</v>
      </c>
      <c r="G16" s="49">
        <v>0</v>
      </c>
      <c r="H16" s="49">
        <v>0</v>
      </c>
    </row>
    <row r="17" spans="1:8">
      <c r="A17" t="s">
        <v>1122</v>
      </c>
      <c r="B17" s="49">
        <v>11.3672</v>
      </c>
      <c r="C17" s="49">
        <v>0</v>
      </c>
      <c r="D17" s="49">
        <v>0</v>
      </c>
      <c r="E17" s="49">
        <v>0</v>
      </c>
      <c r="F17" s="49">
        <v>0</v>
      </c>
      <c r="G17" s="49">
        <v>0</v>
      </c>
      <c r="H17" s="49">
        <v>0</v>
      </c>
    </row>
    <row r="18" spans="1:8">
      <c r="A18" t="s">
        <v>1123</v>
      </c>
      <c r="B18" s="49">
        <v>0.66337699999999999</v>
      </c>
      <c r="C18" s="49">
        <v>0</v>
      </c>
      <c r="D18" s="49">
        <v>0</v>
      </c>
      <c r="E18" s="49">
        <v>0</v>
      </c>
      <c r="F18" s="49">
        <v>0</v>
      </c>
      <c r="G18" s="49">
        <v>0</v>
      </c>
      <c r="H18" s="49">
        <v>0</v>
      </c>
    </row>
    <row r="19" spans="1:8">
      <c r="A19" t="s">
        <v>1124</v>
      </c>
      <c r="B19" s="49">
        <v>0.60313600000000001</v>
      </c>
      <c r="C19" s="49">
        <v>0</v>
      </c>
      <c r="D19" s="49">
        <v>0</v>
      </c>
      <c r="E19" s="49">
        <v>0</v>
      </c>
      <c r="F19" s="49">
        <v>0</v>
      </c>
      <c r="G19" s="49">
        <v>0</v>
      </c>
      <c r="H19" s="49">
        <v>0</v>
      </c>
    </row>
    <row r="20" spans="1:8">
      <c r="A20" t="s">
        <v>1125</v>
      </c>
      <c r="B20" s="49">
        <v>1.7996999999999999E-2</v>
      </c>
      <c r="C20" s="49">
        <v>0.29422999999999999</v>
      </c>
      <c r="D20" s="49">
        <v>16.348800000000001</v>
      </c>
      <c r="E20" s="49">
        <v>0</v>
      </c>
      <c r="F20" s="49">
        <v>3.2971300000000001E-3</v>
      </c>
      <c r="G20" s="49">
        <v>0</v>
      </c>
      <c r="H20" s="49">
        <v>1.80307</v>
      </c>
    </row>
    <row r="21" spans="1:8">
      <c r="A21" t="s">
        <v>1126</v>
      </c>
      <c r="B21" s="49">
        <v>0.13324900000000001</v>
      </c>
      <c r="C21" s="49">
        <v>1.0502100000000001</v>
      </c>
      <c r="D21" s="49">
        <v>7.8815200000000001</v>
      </c>
      <c r="E21" s="49">
        <v>0</v>
      </c>
      <c r="F21" s="49">
        <v>6.6567600000000003E-3</v>
      </c>
      <c r="G21" s="49">
        <v>0</v>
      </c>
      <c r="H21" s="49">
        <v>3.6811600000000002</v>
      </c>
    </row>
    <row r="22" spans="1:8">
      <c r="A22" t="s">
        <v>1127</v>
      </c>
      <c r="B22" s="49">
        <v>45.733199999999997</v>
      </c>
      <c r="C22" s="49">
        <v>22.694299999999998</v>
      </c>
      <c r="D22" s="49">
        <v>0.49623200000000001</v>
      </c>
      <c r="E22" s="49">
        <v>0</v>
      </c>
      <c r="F22" s="49">
        <v>22.939900000000002</v>
      </c>
      <c r="G22" s="49">
        <v>0</v>
      </c>
      <c r="H22" s="49">
        <v>116.393</v>
      </c>
    </row>
    <row r="23" spans="1:8">
      <c r="A23" t="s">
        <v>1128</v>
      </c>
      <c r="B23" s="49">
        <v>42.202599999999997</v>
      </c>
      <c r="C23" s="49">
        <v>7.4482299999999997</v>
      </c>
      <c r="D23" s="49">
        <v>0.176487</v>
      </c>
      <c r="E23" s="49">
        <v>0</v>
      </c>
      <c r="F23" s="49">
        <v>31.948499999999999</v>
      </c>
      <c r="G23" s="49">
        <v>0</v>
      </c>
      <c r="H23" s="49">
        <v>58.286299999999997</v>
      </c>
    </row>
    <row r="24" spans="1:8">
      <c r="A24" t="s">
        <v>1129</v>
      </c>
      <c r="B24" s="49">
        <v>2.07473E-2</v>
      </c>
      <c r="C24" s="49">
        <v>0.25899800000000001</v>
      </c>
      <c r="D24" s="49">
        <v>12.483499999999999</v>
      </c>
      <c r="E24" s="49">
        <v>0</v>
      </c>
      <c r="F24" s="49">
        <v>3.8268099999999999E-3</v>
      </c>
      <c r="G24" s="49">
        <v>0</v>
      </c>
      <c r="H24" s="49">
        <v>0.91481400000000002</v>
      </c>
    </row>
    <row r="25" spans="1:8">
      <c r="A25" t="s">
        <v>1130</v>
      </c>
      <c r="B25" s="49">
        <v>0.30180200000000001</v>
      </c>
      <c r="C25" s="49">
        <v>0.82365600000000005</v>
      </c>
      <c r="D25" s="49">
        <v>2.7291300000000001</v>
      </c>
      <c r="E25" s="49">
        <v>0</v>
      </c>
      <c r="F25" s="49">
        <v>1.5806899999999999E-2</v>
      </c>
      <c r="G25" s="49">
        <v>0</v>
      </c>
      <c r="H25" s="49">
        <v>2.6670500000000001</v>
      </c>
    </row>
    <row r="26" spans="1:8">
      <c r="A26" t="s">
        <v>1131</v>
      </c>
      <c r="B26" s="49">
        <v>2.2580999999999999E-3</v>
      </c>
      <c r="C26" s="49">
        <v>1.4737E-2</v>
      </c>
      <c r="D26" s="49">
        <v>6.5262900000000004</v>
      </c>
      <c r="E26" s="49">
        <v>0</v>
      </c>
      <c r="F26" s="173">
        <v>6.8523E-4</v>
      </c>
      <c r="G26" s="49">
        <v>0</v>
      </c>
      <c r="H26" s="49">
        <v>7.9674400000000006E-2</v>
      </c>
    </row>
    <row r="27" spans="1:8">
      <c r="A27" t="s">
        <v>1132</v>
      </c>
      <c r="B27" s="173">
        <v>-7.6378899999999995E-6</v>
      </c>
      <c r="C27" s="49">
        <v>6.3551800000000002E-3</v>
      </c>
      <c r="D27" s="49">
        <v>-832.05899999999997</v>
      </c>
      <c r="E27" s="49">
        <v>0</v>
      </c>
      <c r="F27" s="49">
        <v>-3.2223300000000003E-2</v>
      </c>
      <c r="G27" s="49">
        <v>0</v>
      </c>
      <c r="H27" s="49">
        <v>3.1851200000000003E-2</v>
      </c>
    </row>
    <row r="28" spans="1:8">
      <c r="A28" t="s">
        <v>1133</v>
      </c>
      <c r="B28" s="49">
        <v>1.1362300000000001E-2</v>
      </c>
      <c r="C28" s="49">
        <v>3.5626100000000001E-2</v>
      </c>
      <c r="D28" s="49">
        <v>3.1354600000000001</v>
      </c>
      <c r="E28" s="49">
        <v>0</v>
      </c>
      <c r="F28" s="49">
        <v>1.2706200000000001E-3</v>
      </c>
      <c r="G28" s="49">
        <v>0</v>
      </c>
      <c r="H28" s="49">
        <v>0.12986900000000001</v>
      </c>
    </row>
    <row r="29" spans="1:8">
      <c r="A29" t="s">
        <v>1134</v>
      </c>
      <c r="B29" s="49">
        <v>55.461599999999997</v>
      </c>
      <c r="C29" s="49">
        <v>6.6310700000000002</v>
      </c>
      <c r="D29" s="49">
        <v>0.119561</v>
      </c>
      <c r="E29" s="49">
        <v>0</v>
      </c>
      <c r="F29" s="49">
        <v>48.276200000000003</v>
      </c>
      <c r="G29" s="49">
        <v>0</v>
      </c>
      <c r="H29" s="49">
        <v>73.6053</v>
      </c>
    </row>
    <row r="30" spans="1:8">
      <c r="A30" t="s">
        <v>1135</v>
      </c>
      <c r="B30" s="49">
        <v>24.765899999999998</v>
      </c>
      <c r="C30" s="49">
        <v>3.7658999999999998</v>
      </c>
      <c r="D30" s="49">
        <v>0.15206</v>
      </c>
      <c r="E30" s="49">
        <v>0</v>
      </c>
      <c r="F30" s="49">
        <v>19.0123</v>
      </c>
      <c r="G30" s="49">
        <v>0</v>
      </c>
      <c r="H30" s="49">
        <v>32.157400000000003</v>
      </c>
    </row>
    <row r="31" spans="1:8">
      <c r="A31" t="s">
        <v>1136</v>
      </c>
      <c r="B31" s="49">
        <v>210.65799999999999</v>
      </c>
      <c r="C31" s="49">
        <v>42.5505</v>
      </c>
      <c r="D31" s="49">
        <v>0.201988</v>
      </c>
      <c r="E31" s="49">
        <v>0</v>
      </c>
      <c r="F31" s="49">
        <v>157.57</v>
      </c>
      <c r="G31" s="49">
        <v>0</v>
      </c>
      <c r="H31" s="49">
        <v>293.495</v>
      </c>
    </row>
    <row r="32" spans="1:8">
      <c r="A32" t="s">
        <v>1137</v>
      </c>
      <c r="B32" s="49">
        <v>0.27982299999999999</v>
      </c>
      <c r="C32" s="49">
        <v>3.8765599999999997E-2</v>
      </c>
      <c r="D32" s="49">
        <v>0.13853599999999999</v>
      </c>
      <c r="E32" s="49">
        <v>0.15</v>
      </c>
      <c r="F32" s="49">
        <v>0.190218</v>
      </c>
      <c r="G32" s="49">
        <v>0.4</v>
      </c>
      <c r="H32" s="49">
        <v>0.40807700000000002</v>
      </c>
    </row>
    <row r="33" spans="1:8">
      <c r="A33" t="s">
        <v>1138</v>
      </c>
      <c r="B33" s="49">
        <v>0.22317899999999999</v>
      </c>
      <c r="C33" s="49">
        <v>4.0757899999999998E-4</v>
      </c>
      <c r="D33" s="49">
        <v>1.82624E-3</v>
      </c>
      <c r="E33" s="49">
        <v>0</v>
      </c>
      <c r="F33" s="49">
        <v>0.22228800000000001</v>
      </c>
      <c r="G33" s="49">
        <v>0</v>
      </c>
      <c r="H33" s="49">
        <v>0.22514200000000001</v>
      </c>
    </row>
    <row r="34" spans="1:8">
      <c r="A34" t="s">
        <v>1139</v>
      </c>
      <c r="B34" s="49">
        <v>0.177282</v>
      </c>
      <c r="C34" s="49">
        <v>1.9619299999999999E-2</v>
      </c>
      <c r="D34" s="49">
        <v>0.110667</v>
      </c>
      <c r="E34" s="49">
        <v>0.1</v>
      </c>
      <c r="F34" s="49">
        <v>0.15429300000000001</v>
      </c>
      <c r="G34" s="49">
        <v>0.25</v>
      </c>
      <c r="H34" s="49">
        <v>0.23575699999999999</v>
      </c>
    </row>
    <row r="35" spans="1:8">
      <c r="A35" t="s">
        <v>1140</v>
      </c>
      <c r="B35" s="49">
        <v>5.8949500000000002E-2</v>
      </c>
      <c r="C35" s="49">
        <v>2.49933E-2</v>
      </c>
      <c r="D35" s="49">
        <v>0.42397800000000002</v>
      </c>
      <c r="E35" s="49">
        <v>0</v>
      </c>
      <c r="F35" s="49">
        <v>4.14239E-2</v>
      </c>
      <c r="G35" s="49">
        <v>0</v>
      </c>
      <c r="H35" s="49">
        <v>0.13894400000000001</v>
      </c>
    </row>
    <row r="36" spans="1:8">
      <c r="A36" t="s">
        <v>1141</v>
      </c>
      <c r="B36" s="49">
        <v>0.15446499999999999</v>
      </c>
      <c r="C36" s="49">
        <v>6.2301000000000002E-2</v>
      </c>
      <c r="D36" s="49">
        <v>0.403335</v>
      </c>
      <c r="E36" s="49">
        <v>0</v>
      </c>
      <c r="F36" s="49">
        <v>5.0992700000000002E-2</v>
      </c>
      <c r="G36" s="49">
        <v>0</v>
      </c>
      <c r="H36" s="49">
        <v>0.36849900000000002</v>
      </c>
    </row>
    <row r="37" spans="1:8">
      <c r="A37" t="s">
        <v>1142</v>
      </c>
      <c r="B37" s="49">
        <v>0.19619300000000001</v>
      </c>
      <c r="C37" s="49">
        <v>6.4501900000000001E-2</v>
      </c>
      <c r="D37" s="49">
        <v>0.32876699999999998</v>
      </c>
      <c r="E37" s="49">
        <v>0.1</v>
      </c>
      <c r="F37" s="49">
        <v>3.02207E-2</v>
      </c>
      <c r="G37" s="49">
        <v>0.5</v>
      </c>
      <c r="H37" s="49">
        <v>0.20016800000000001</v>
      </c>
    </row>
    <row r="38" spans="1:8">
      <c r="A38" t="s">
        <v>1143</v>
      </c>
      <c r="B38" s="49">
        <v>85.584999999999994</v>
      </c>
      <c r="C38" s="49">
        <v>163.35400000000001</v>
      </c>
      <c r="D38" s="49">
        <v>1.9086700000000001</v>
      </c>
      <c r="E38" s="49">
        <v>0</v>
      </c>
      <c r="F38" s="49">
        <v>-89.433700000000002</v>
      </c>
      <c r="G38" s="49">
        <v>0</v>
      </c>
      <c r="H38" s="49">
        <v>541.95799999999997</v>
      </c>
    </row>
    <row r="39" spans="1:8">
      <c r="A39" t="s">
        <v>1144</v>
      </c>
      <c r="B39" s="49">
        <v>21.019200000000001</v>
      </c>
      <c r="C39" s="49">
        <v>41.8416</v>
      </c>
      <c r="D39" s="49">
        <v>1.9906299999999999</v>
      </c>
      <c r="E39" s="49">
        <v>0</v>
      </c>
      <c r="F39" s="49">
        <v>-13.3362</v>
      </c>
      <c r="G39" s="49">
        <v>0</v>
      </c>
      <c r="H39" s="49">
        <v>139.624</v>
      </c>
    </row>
    <row r="40" spans="1:8">
      <c r="A40" t="s">
        <v>1145</v>
      </c>
      <c r="B40" s="49">
        <v>-2.7757100000000001</v>
      </c>
      <c r="C40" s="49">
        <v>1.5670500000000001</v>
      </c>
      <c r="D40" s="49">
        <v>-0.56455699999999998</v>
      </c>
      <c r="E40" s="49">
        <v>0</v>
      </c>
      <c r="F40" s="49">
        <v>-6.5929200000000003</v>
      </c>
      <c r="G40" s="49">
        <v>0</v>
      </c>
      <c r="H40" s="49">
        <v>-1.6757200000000001</v>
      </c>
    </row>
    <row r="41" spans="1:8">
      <c r="A41" t="s">
        <v>1146</v>
      </c>
      <c r="B41" s="49">
        <v>0.446135</v>
      </c>
      <c r="C41" s="49">
        <v>0.42882599999999998</v>
      </c>
      <c r="D41" s="49">
        <v>0.96120399999999995</v>
      </c>
      <c r="E41" s="49">
        <v>0</v>
      </c>
      <c r="F41" s="49">
        <v>-0.54285700000000003</v>
      </c>
      <c r="G41" s="49">
        <v>0</v>
      </c>
      <c r="H41" s="49">
        <v>1</v>
      </c>
    </row>
    <row r="42" spans="1:8">
      <c r="A42" t="s">
        <v>1147</v>
      </c>
      <c r="B42" s="49">
        <v>0.42633399999999999</v>
      </c>
      <c r="C42" s="49">
        <v>0.26427499999999998</v>
      </c>
      <c r="D42" s="49">
        <v>0.61987899999999996</v>
      </c>
      <c r="E42" s="49">
        <v>0</v>
      </c>
      <c r="F42" s="49">
        <v>-0.18179000000000001</v>
      </c>
      <c r="G42" s="49">
        <v>0</v>
      </c>
      <c r="H42" s="49">
        <v>0.66838900000000001</v>
      </c>
    </row>
    <row r="43" spans="1:8">
      <c r="A43" t="s">
        <v>1148</v>
      </c>
      <c r="B43" s="49">
        <v>-4.4405199999999999E-2</v>
      </c>
      <c r="C43" s="49">
        <v>4.6121900000000004E-3</v>
      </c>
      <c r="D43" s="49">
        <v>-0.103866</v>
      </c>
      <c r="E43" s="49">
        <v>0</v>
      </c>
      <c r="F43" s="49">
        <v>-5.7208200000000001E-2</v>
      </c>
      <c r="G43" s="49">
        <v>0</v>
      </c>
      <c r="H43" s="49">
        <v>-3.6741299999999998E-2</v>
      </c>
    </row>
    <row r="44" spans="1:8">
      <c r="A44" t="s">
        <v>1149</v>
      </c>
      <c r="B44" s="49">
        <v>46.870399999999997</v>
      </c>
      <c r="C44" s="49">
        <v>27.8828</v>
      </c>
      <c r="D44" s="49">
        <v>0.59489199999999998</v>
      </c>
      <c r="E44" s="49">
        <v>0</v>
      </c>
      <c r="F44" s="49">
        <v>19.395299999999999</v>
      </c>
      <c r="G44" s="49">
        <v>0</v>
      </c>
      <c r="H44" s="49">
        <v>104.96</v>
      </c>
    </row>
    <row r="45" spans="1:8">
      <c r="A45" t="s">
        <v>1150</v>
      </c>
      <c r="B45" s="49">
        <v>53.451700000000002</v>
      </c>
      <c r="C45" s="49">
        <v>4.9743000000000004</v>
      </c>
      <c r="D45" s="49">
        <v>9.3061400000000002E-2</v>
      </c>
      <c r="E45" s="49">
        <v>0</v>
      </c>
      <c r="F45" s="49">
        <v>45.754100000000001</v>
      </c>
      <c r="G45" s="49">
        <v>0</v>
      </c>
      <c r="H45" s="49">
        <v>67.977699999999999</v>
      </c>
    </row>
    <row r="46" spans="1:8">
      <c r="A46" t="s">
        <v>1151</v>
      </c>
      <c r="B46" s="49">
        <v>25.767399999999999</v>
      </c>
      <c r="C46" s="49">
        <v>2.5051899999999998</v>
      </c>
      <c r="D46" s="49">
        <v>9.7223000000000004E-2</v>
      </c>
      <c r="E46" s="49">
        <v>0</v>
      </c>
      <c r="F46" s="49">
        <v>22.7974</v>
      </c>
      <c r="G46" s="49">
        <v>0</v>
      </c>
      <c r="H46" s="49">
        <v>31.518999999999998</v>
      </c>
    </row>
    <row r="47" spans="1:8">
      <c r="A47" t="s">
        <v>1152</v>
      </c>
      <c r="B47" s="49">
        <v>0.80372100000000002</v>
      </c>
      <c r="C47" s="49">
        <v>0.31576500000000002</v>
      </c>
      <c r="D47" s="49">
        <v>0.39287899999999998</v>
      </c>
      <c r="E47" s="49">
        <v>0</v>
      </c>
      <c r="F47" s="49">
        <v>0.31599500000000003</v>
      </c>
      <c r="G47" s="49">
        <v>0</v>
      </c>
      <c r="H47" s="49">
        <v>1.84524</v>
      </c>
    </row>
    <row r="48" spans="1:8">
      <c r="A48" t="s">
        <v>1153</v>
      </c>
      <c r="B48" s="49">
        <v>1.2703100000000001</v>
      </c>
      <c r="C48" s="49">
        <v>0.15154400000000001</v>
      </c>
      <c r="D48" s="49">
        <v>0.119297</v>
      </c>
      <c r="E48" s="49">
        <v>0</v>
      </c>
      <c r="F48" s="49">
        <v>1.0332300000000001</v>
      </c>
      <c r="G48" s="49">
        <v>0</v>
      </c>
      <c r="H48" s="49">
        <v>1.5801700000000001</v>
      </c>
    </row>
    <row r="50" spans="1:4">
      <c r="A50" t="str">
        <f>lang!B7</f>
        <v>긍정감정</v>
      </c>
      <c r="B50" s="134">
        <f>SUM(B9:B12)</f>
        <v>258.42790000000002</v>
      </c>
      <c r="C50" s="134"/>
      <c r="D50" s="134">
        <f t="shared" ref="D50" si="0">SUM(D9:D12)</f>
        <v>26.49006</v>
      </c>
    </row>
    <row r="51" spans="1:4">
      <c r="A51" t="str">
        <f>lang!B8</f>
        <v>부정감정</v>
      </c>
      <c r="B51" s="134">
        <f>SUM(B5:B8)</f>
        <v>109.62310000000001</v>
      </c>
      <c r="C51" s="134"/>
      <c r="D51" s="134">
        <f t="shared" ref="D51" si="1">SUM(D5:D8)</f>
        <v>43.238030000000002</v>
      </c>
    </row>
    <row r="52" spans="1:4">
      <c r="A52" t="str">
        <f>lang!B9</f>
        <v>생리감정</v>
      </c>
      <c r="B52" s="134">
        <f>SUM(B13:B14)</f>
        <v>37.347499999999997</v>
      </c>
      <c r="C52" s="134"/>
      <c r="D52" s="134">
        <f t="shared" ref="D52" si="2">SUM(D13:D14)</f>
        <v>43.943399999999997</v>
      </c>
    </row>
    <row r="53" spans="1:4">
      <c r="B53" s="50">
        <f>SUM(B50:B52)</f>
        <v>405.39850000000001</v>
      </c>
      <c r="D53" s="50">
        <f>SUM(D50:D52)</f>
        <v>113.67149000000001</v>
      </c>
    </row>
    <row r="54" spans="1:4">
      <c r="A54" t="str">
        <f>lang!B7</f>
        <v>긍정감정</v>
      </c>
      <c r="B54" s="135">
        <f>IF(B$53&lt;&gt;0,B50/B$53,0)</f>
        <v>0.63746634484340725</v>
      </c>
      <c r="C54" s="135"/>
      <c r="D54" s="135">
        <f>IF(D$53&lt;&gt;0,D50/D$53,0)</f>
        <v>0.23304049238731717</v>
      </c>
    </row>
    <row r="55" spans="1:4">
      <c r="A55" t="str">
        <f>lang!B8</f>
        <v>부정감정</v>
      </c>
      <c r="B55" s="135">
        <f>IF(B$53&lt;&gt;0,B51/B$53,0)</f>
        <v>0.27040825262056967</v>
      </c>
      <c r="C55" s="135"/>
      <c r="D55" s="135">
        <f>IF(D$53&lt;&gt;0,D51/D$53,0)</f>
        <v>0.380377084878539</v>
      </c>
    </row>
    <row r="56" spans="1:4">
      <c r="A56" t="str">
        <f>lang!B9</f>
        <v>생리감정</v>
      </c>
      <c r="B56" s="135">
        <f>IF(B$53&lt;&gt;0,B52/B$53,0)</f>
        <v>9.2125402536023179E-2</v>
      </c>
      <c r="C56" s="135"/>
      <c r="D56" s="135">
        <f>IF(D$53&lt;&gt;0,D52/D$53,0)</f>
        <v>0.38658242273414378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14.650700000000001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0.66533299999999995</v>
      </c>
      <c r="B17" s="49">
        <v>0.66533299999999995</v>
      </c>
    </row>
    <row r="18" spans="1:2">
      <c r="A18" s="49">
        <v>2.0933299999999999</v>
      </c>
      <c r="B18" s="49">
        <v>2.0933299999999999</v>
      </c>
    </row>
    <row r="19" spans="1:2">
      <c r="A19" s="49">
        <v>1.472</v>
      </c>
      <c r="B19" s="49">
        <v>1.472</v>
      </c>
    </row>
    <row r="20" spans="1:2">
      <c r="A20" s="49">
        <v>1.64933</v>
      </c>
      <c r="B20" s="49">
        <v>1.64933</v>
      </c>
    </row>
    <row r="21" spans="1:2">
      <c r="A21" s="49">
        <v>1.276</v>
      </c>
      <c r="B21" s="49">
        <v>1.276</v>
      </c>
    </row>
    <row r="22" spans="1:2">
      <c r="A22" s="49">
        <v>1.0840000000000001</v>
      </c>
      <c r="B22" s="49">
        <v>1.0840000000000001</v>
      </c>
    </row>
    <row r="23" spans="1:2">
      <c r="A23" s="49">
        <v>1.2493300000000001</v>
      </c>
      <c r="B23" s="49">
        <v>1.2493300000000001</v>
      </c>
    </row>
    <row r="24" spans="1:2">
      <c r="A24" s="49">
        <v>0.23333300000000001</v>
      </c>
      <c r="B24" s="49">
        <v>0.23333300000000001</v>
      </c>
    </row>
    <row r="25" spans="1:2">
      <c r="A25" s="49">
        <v>0.246667</v>
      </c>
      <c r="B25" s="49">
        <v>0.246667</v>
      </c>
    </row>
    <row r="26" spans="1:2">
      <c r="A26" s="49">
        <v>0.72399999999999998</v>
      </c>
      <c r="B26" s="49">
        <v>0.72399999999999998</v>
      </c>
    </row>
    <row r="27" spans="1:2">
      <c r="A27" s="49">
        <v>1.1040000000000001</v>
      </c>
      <c r="B27" s="49">
        <v>1.1040000000000001</v>
      </c>
    </row>
    <row r="28" spans="1:2">
      <c r="A28" s="49">
        <v>0.74</v>
      </c>
      <c r="B28" s="49">
        <v>0.74</v>
      </c>
    </row>
    <row r="29" spans="1:2">
      <c r="A29" s="49">
        <v>1.0413300000000001</v>
      </c>
      <c r="B29" s="49">
        <v>1.0413300000000001</v>
      </c>
    </row>
    <row r="30" spans="1:2">
      <c r="A30" s="49">
        <v>1.2853300000000001</v>
      </c>
      <c r="B30" s="49">
        <v>1.2853300000000001</v>
      </c>
    </row>
    <row r="31" spans="1:2">
      <c r="A31" s="49">
        <v>0.25066699999999997</v>
      </c>
      <c r="B31" s="49">
        <v>0.25066699999999997</v>
      </c>
    </row>
    <row r="32" spans="1:2">
      <c r="A32" s="49">
        <v>1.0893299999999999</v>
      </c>
      <c r="B32" s="49">
        <v>1.0893299999999999</v>
      </c>
    </row>
    <row r="33" spans="1:2">
      <c r="A33" s="49">
        <v>1.4186700000000001</v>
      </c>
      <c r="B33" s="49">
        <v>1.4186700000000001</v>
      </c>
    </row>
    <row r="34" spans="1:2">
      <c r="A34" s="49">
        <v>1.3826700000000001</v>
      </c>
      <c r="B34" s="49">
        <v>1.3826700000000001</v>
      </c>
    </row>
    <row r="35" spans="1:2">
      <c r="A35" s="49">
        <v>1.5413300000000001</v>
      </c>
      <c r="B35" s="49">
        <v>1.5413300000000001</v>
      </c>
    </row>
    <row r="36" spans="1:2">
      <c r="A36" s="49">
        <v>1.88933</v>
      </c>
      <c r="B36" s="49">
        <v>1.88933</v>
      </c>
    </row>
    <row r="37" spans="1:2">
      <c r="A37" s="49">
        <v>2.12</v>
      </c>
      <c r="B37" s="49">
        <v>2.12</v>
      </c>
    </row>
    <row r="38" spans="1:2">
      <c r="A38" s="49">
        <v>1.9386699999999999</v>
      </c>
      <c r="B38" s="49">
        <v>1.9386699999999999</v>
      </c>
    </row>
    <row r="39" spans="1:2">
      <c r="A39" s="49">
        <v>2.0013299999999998</v>
      </c>
      <c r="B39" s="49">
        <v>2.0013299999999998</v>
      </c>
    </row>
    <row r="40" spans="1:2">
      <c r="A40" s="49">
        <v>1.7653300000000001</v>
      </c>
      <c r="B40" s="49">
        <v>1.7653300000000001</v>
      </c>
    </row>
    <row r="41" spans="1:2">
      <c r="A41" s="49">
        <v>2.4159999999999999</v>
      </c>
      <c r="B41" s="49">
        <v>2.4159999999999999</v>
      </c>
    </row>
    <row r="42" spans="1:2">
      <c r="A42" s="49">
        <v>2.68933</v>
      </c>
      <c r="B42" s="49">
        <v>2.68933</v>
      </c>
    </row>
    <row r="43" spans="1:2">
      <c r="A43" s="49">
        <v>2.2080000000000002</v>
      </c>
      <c r="B43" s="49">
        <v>2.2080000000000002</v>
      </c>
    </row>
    <row r="44" spans="1:2">
      <c r="A44" s="49">
        <v>4.2186700000000004</v>
      </c>
      <c r="B44" s="49">
        <v>4.2186700000000004</v>
      </c>
    </row>
    <row r="45" spans="1:2">
      <c r="A45" s="49">
        <v>2.66533</v>
      </c>
      <c r="B45" s="49">
        <v>2.66533</v>
      </c>
    </row>
    <row r="46" spans="1:2">
      <c r="A46" s="49">
        <v>5.9266699999999997</v>
      </c>
      <c r="B46" s="49">
        <v>5.9266699999999997</v>
      </c>
    </row>
    <row r="47" spans="1:2">
      <c r="A47" s="49">
        <v>6.62</v>
      </c>
      <c r="B47" s="49">
        <v>6.62</v>
      </c>
    </row>
    <row r="48" spans="1:2">
      <c r="A48" s="49">
        <v>7.4973299999999998</v>
      </c>
      <c r="B48" s="49">
        <v>7.4973299999999998</v>
      </c>
    </row>
    <row r="49" spans="1:2">
      <c r="A49" s="49">
        <v>8.5960000000000001</v>
      </c>
      <c r="B49" s="49">
        <v>8.5960000000000001</v>
      </c>
    </row>
    <row r="50" spans="1:2">
      <c r="A50" s="49">
        <v>6.5746700000000002</v>
      </c>
      <c r="B50" s="49">
        <v>6.5746700000000002</v>
      </c>
    </row>
    <row r="51" spans="1:2">
      <c r="A51" s="49">
        <v>9.1839999999999993</v>
      </c>
      <c r="B51" s="49">
        <v>9.1839999999999993</v>
      </c>
    </row>
    <row r="52" spans="1:2">
      <c r="A52" s="49">
        <v>7.7413299999999996</v>
      </c>
      <c r="B52" s="49">
        <v>7.7413299999999996</v>
      </c>
    </row>
    <row r="53" spans="1:2">
      <c r="A53" s="49">
        <v>3.8826700000000001</v>
      </c>
      <c r="B53" s="49">
        <v>3.8826700000000001</v>
      </c>
    </row>
    <row r="54" spans="1:2">
      <c r="A54" s="49">
        <v>7.6053300000000004</v>
      </c>
      <c r="B54" s="49">
        <v>7.6053300000000004</v>
      </c>
    </row>
    <row r="55" spans="1:2">
      <c r="A55" s="49">
        <v>6.4586699999999997</v>
      </c>
      <c r="B55" s="49">
        <v>6.4586699999999997</v>
      </c>
    </row>
    <row r="56" spans="1:2">
      <c r="A56" s="49">
        <v>3.0253299999999999</v>
      </c>
      <c r="B56" s="49">
        <v>3.0253299999999999</v>
      </c>
    </row>
    <row r="57" spans="1:2">
      <c r="A57" s="49">
        <v>4.9960000000000004</v>
      </c>
      <c r="B57" s="49">
        <v>4.9960000000000004</v>
      </c>
    </row>
    <row r="58" spans="1:2">
      <c r="A58" s="49">
        <v>6.3053299999999997</v>
      </c>
      <c r="B58" s="49">
        <v>6.3053299999999997</v>
      </c>
    </row>
    <row r="59" spans="1:2">
      <c r="A59" s="49">
        <v>2.6560000000000001</v>
      </c>
      <c r="B59" s="49">
        <v>2.6560000000000001</v>
      </c>
    </row>
    <row r="60" spans="1:2">
      <c r="A60" s="49">
        <v>4.3093300000000001</v>
      </c>
      <c r="B60" s="49">
        <v>4.3093300000000001</v>
      </c>
    </row>
    <row r="61" spans="1:2">
      <c r="A61" s="49">
        <v>4.7533300000000001</v>
      </c>
      <c r="B61" s="49">
        <v>4.7533300000000001</v>
      </c>
    </row>
    <row r="62" spans="1:2">
      <c r="A62" s="49">
        <v>4.7773300000000001</v>
      </c>
      <c r="B62" s="49">
        <v>4.7773300000000001</v>
      </c>
    </row>
    <row r="63" spans="1:2">
      <c r="A63" s="49">
        <v>4.4720000000000004</v>
      </c>
      <c r="B63" s="49">
        <v>4.4720000000000004</v>
      </c>
    </row>
    <row r="64" spans="1:2">
      <c r="A64" s="49">
        <v>4.3293299999999997</v>
      </c>
      <c r="B64" s="49">
        <v>4.3293299999999997</v>
      </c>
    </row>
    <row r="65" spans="1:2">
      <c r="A65" s="49">
        <v>8.0106699999999993</v>
      </c>
      <c r="B65" s="49">
        <v>8.0106699999999993</v>
      </c>
    </row>
    <row r="66" spans="1:2">
      <c r="A66" s="49">
        <v>4.9693300000000002</v>
      </c>
      <c r="B66" s="49">
        <v>4.9693300000000002</v>
      </c>
    </row>
    <row r="67" spans="1:2">
      <c r="A67" s="49">
        <v>5.52</v>
      </c>
      <c r="B67" s="49">
        <v>5.52</v>
      </c>
    </row>
    <row r="68" spans="1:2">
      <c r="A68" s="49">
        <v>5.4066700000000001</v>
      </c>
      <c r="B68" s="49">
        <v>5.4066700000000001</v>
      </c>
    </row>
    <row r="69" spans="1:2">
      <c r="A69" s="49">
        <v>8.6226699999999994</v>
      </c>
      <c r="B69" s="49">
        <v>8.6226699999999994</v>
      </c>
    </row>
    <row r="70" spans="1:2">
      <c r="A70" s="49">
        <v>6.2279999999999998</v>
      </c>
      <c r="B70" s="49">
        <v>6.2279999999999998</v>
      </c>
    </row>
    <row r="71" spans="1:2">
      <c r="A71" s="49">
        <v>7.6920000000000002</v>
      </c>
      <c r="B71" s="49">
        <v>7.6920000000000002</v>
      </c>
    </row>
    <row r="72" spans="1:2">
      <c r="A72" s="49">
        <v>7.6</v>
      </c>
      <c r="B72" s="49">
        <v>7.6</v>
      </c>
    </row>
    <row r="73" spans="1:2">
      <c r="A73" s="49">
        <v>6.9026699999999996</v>
      </c>
      <c r="B73" s="49">
        <v>6.9026699999999996</v>
      </c>
    </row>
    <row r="74" spans="1:2">
      <c r="A74" s="49">
        <v>9.0373300000000008</v>
      </c>
      <c r="B74" s="49">
        <v>9.0373300000000008</v>
      </c>
    </row>
    <row r="75" spans="1:2">
      <c r="A75" s="49">
        <v>9.7293299999999991</v>
      </c>
      <c r="B75" s="49">
        <v>9.7293299999999991</v>
      </c>
    </row>
    <row r="76" spans="1:2">
      <c r="A76" s="49">
        <v>9.8946699999999996</v>
      </c>
      <c r="B76" s="49">
        <v>9.8946699999999996</v>
      </c>
    </row>
    <row r="77" spans="1:2">
      <c r="A77" s="49">
        <v>8.0026700000000002</v>
      </c>
      <c r="B77" s="49">
        <v>8.0026700000000002</v>
      </c>
    </row>
    <row r="78" spans="1:2">
      <c r="A78" s="49">
        <v>10.817299999999999</v>
      </c>
      <c r="B78" s="49">
        <v>10.817299999999999</v>
      </c>
    </row>
    <row r="79" spans="1:2">
      <c r="A79" s="49">
        <v>10.369300000000001</v>
      </c>
      <c r="B79" s="49">
        <v>10.369300000000001</v>
      </c>
    </row>
    <row r="80" spans="1:2">
      <c r="A80" s="49">
        <v>8.6053300000000004</v>
      </c>
      <c r="B80" s="49">
        <v>8.6053300000000004</v>
      </c>
    </row>
    <row r="81" spans="1:2">
      <c r="A81" s="49">
        <v>10.9293</v>
      </c>
      <c r="B81" s="49">
        <v>10.9293</v>
      </c>
    </row>
    <row r="82" spans="1:2">
      <c r="A82" s="49">
        <v>11.948</v>
      </c>
      <c r="B82" s="49">
        <v>11.948</v>
      </c>
    </row>
    <row r="83" spans="1:2">
      <c r="A83" s="49">
        <v>12.290699999999999</v>
      </c>
      <c r="B83" s="49">
        <v>12.290699999999999</v>
      </c>
    </row>
    <row r="84" spans="1:2">
      <c r="A84" s="49">
        <v>12.536</v>
      </c>
      <c r="B84" s="49">
        <v>12.536</v>
      </c>
    </row>
    <row r="85" spans="1:2">
      <c r="A85" s="49">
        <v>12.390700000000001</v>
      </c>
      <c r="B85" s="49">
        <v>12.390700000000001</v>
      </c>
    </row>
    <row r="86" spans="1:2">
      <c r="A86" s="49">
        <v>12.4</v>
      </c>
      <c r="B86" s="49">
        <v>12.4</v>
      </c>
    </row>
    <row r="87" spans="1:2">
      <c r="A87" s="49">
        <v>2.4373300000000002</v>
      </c>
      <c r="B87" s="49">
        <v>2.4373300000000002</v>
      </c>
    </row>
    <row r="88" spans="1:2">
      <c r="A88" s="49">
        <v>14.221299999999999</v>
      </c>
      <c r="B88" s="49">
        <v>14.221299999999999</v>
      </c>
    </row>
    <row r="89" spans="1:2">
      <c r="A89" s="49">
        <v>10.3453</v>
      </c>
      <c r="B89" s="49">
        <v>10.3453</v>
      </c>
    </row>
    <row r="90" spans="1:2">
      <c r="A90" s="49">
        <v>14.650700000000001</v>
      </c>
      <c r="B90" s="49">
        <v>14.650700000000001</v>
      </c>
    </row>
    <row r="91" spans="1:2">
      <c r="A91" s="49">
        <v>11.9307</v>
      </c>
      <c r="B91" s="49">
        <v>11.9307</v>
      </c>
    </row>
    <row r="92" spans="1:2">
      <c r="A92" s="49">
        <v>9.9253300000000007</v>
      </c>
      <c r="B92" s="49">
        <v>9.9253300000000007</v>
      </c>
    </row>
    <row r="93" spans="1:2">
      <c r="A93" s="49">
        <v>13.774699999999999</v>
      </c>
      <c r="B93" s="49">
        <v>13.774699999999999</v>
      </c>
    </row>
    <row r="94" spans="1:2">
      <c r="A94" s="49">
        <v>11.064</v>
      </c>
      <c r="B94" s="49">
        <v>11.064</v>
      </c>
    </row>
    <row r="95" spans="1:2">
      <c r="A95" s="49">
        <v>6.6266699999999998</v>
      </c>
      <c r="B95" s="49">
        <v>6.6266699999999998</v>
      </c>
    </row>
    <row r="96" spans="1:2">
      <c r="A96" s="49">
        <v>13.550700000000001</v>
      </c>
      <c r="B96" s="49">
        <v>13.550700000000001</v>
      </c>
    </row>
    <row r="97" spans="1:2">
      <c r="A97" s="49">
        <v>11.289300000000001</v>
      </c>
      <c r="B97" s="49">
        <v>11.289300000000001</v>
      </c>
    </row>
    <row r="98" spans="1:2">
      <c r="A98" s="49">
        <v>6.2893299999999996</v>
      </c>
      <c r="B98" s="49">
        <v>6.2893299999999996</v>
      </c>
    </row>
    <row r="99" spans="1:2">
      <c r="A99" s="49">
        <v>11.694699999999999</v>
      </c>
      <c r="B99" s="49">
        <v>11.694699999999999</v>
      </c>
    </row>
    <row r="100" spans="1:2">
      <c r="A100" s="49">
        <v>10.034700000000001</v>
      </c>
      <c r="B100" s="49">
        <v>10.034700000000001</v>
      </c>
    </row>
    <row r="101" spans="1:2">
      <c r="A101" s="49">
        <v>8.3279999999999994</v>
      </c>
      <c r="B101" s="49">
        <v>8.3279999999999994</v>
      </c>
    </row>
    <row r="102" spans="1:2">
      <c r="A102" s="49">
        <v>8.5093300000000003</v>
      </c>
      <c r="B102" s="49">
        <v>8.5093300000000003</v>
      </c>
    </row>
    <row r="103" spans="1:2">
      <c r="A103" s="49">
        <v>8.9253300000000007</v>
      </c>
      <c r="B103" s="49">
        <v>8.9253300000000007</v>
      </c>
    </row>
    <row r="104" spans="1:2">
      <c r="A104" s="49">
        <v>5.8786699999999996</v>
      </c>
      <c r="B104" s="49">
        <v>5.8786699999999996</v>
      </c>
    </row>
    <row r="105" spans="1:2">
      <c r="A105" s="49">
        <v>10.518700000000001</v>
      </c>
      <c r="B105" s="49">
        <v>10.518700000000001</v>
      </c>
    </row>
    <row r="106" spans="1:2">
      <c r="A106" s="49">
        <v>8.3506699999999991</v>
      </c>
      <c r="B106" s="49">
        <v>8.3506699999999991</v>
      </c>
    </row>
    <row r="107" spans="1:2">
      <c r="A107" s="49">
        <v>7.9826699999999997</v>
      </c>
      <c r="B107" s="49">
        <v>7.9826699999999997</v>
      </c>
    </row>
    <row r="108" spans="1:2">
      <c r="A108" s="49">
        <v>8.5813299999999995</v>
      </c>
      <c r="B108" s="49">
        <v>8.5813299999999995</v>
      </c>
    </row>
    <row r="109" spans="1:2">
      <c r="A109" s="49">
        <v>5.1013299999999999</v>
      </c>
      <c r="B109" s="49">
        <v>5.1013299999999999</v>
      </c>
    </row>
    <row r="110" spans="1:2">
      <c r="A110" s="49">
        <v>5.1133300000000004</v>
      </c>
      <c r="B110" s="49">
        <v>5.1133300000000004</v>
      </c>
    </row>
    <row r="111" spans="1:2">
      <c r="A111" s="49">
        <v>7.5813300000000003</v>
      </c>
      <c r="B111" s="49">
        <v>7.5813300000000003</v>
      </c>
    </row>
    <row r="112" spans="1:2">
      <c r="A112" s="49">
        <v>3.7426699999999999</v>
      </c>
      <c r="B112" s="49">
        <v>3.7426699999999999</v>
      </c>
    </row>
    <row r="113" spans="1:2">
      <c r="A113" s="49">
        <v>4.6306700000000003</v>
      </c>
      <c r="B113" s="49">
        <v>4.6306700000000003</v>
      </c>
    </row>
    <row r="114" spans="1:2">
      <c r="A114" s="49">
        <v>6.3546699999999996</v>
      </c>
      <c r="B114" s="49">
        <v>6.3546699999999996</v>
      </c>
    </row>
    <row r="115" spans="1:2">
      <c r="A115" s="49">
        <v>4.6373300000000004</v>
      </c>
      <c r="B115" s="49">
        <v>4.6373300000000004</v>
      </c>
    </row>
    <row r="116" spans="1:2">
      <c r="A116" s="49">
        <v>2.8573300000000001</v>
      </c>
      <c r="B116" s="49">
        <v>2.8573300000000001</v>
      </c>
    </row>
    <row r="117" spans="1:2">
      <c r="A117" s="49">
        <v>3.9853299999999998</v>
      </c>
      <c r="B117" s="49">
        <v>3.9853299999999998</v>
      </c>
    </row>
    <row r="118" spans="1:2">
      <c r="A118" s="49">
        <v>5.3373299999999997</v>
      </c>
      <c r="B118" s="49">
        <v>5.3373299999999997</v>
      </c>
    </row>
    <row r="119" spans="1:2">
      <c r="A119" s="49">
        <v>1.6053299999999999</v>
      </c>
      <c r="B119" s="49">
        <v>1.6053299999999999</v>
      </c>
    </row>
    <row r="120" spans="1:2">
      <c r="A120" s="49">
        <v>3.8573300000000001</v>
      </c>
      <c r="B120" s="49">
        <v>3.8573300000000001</v>
      </c>
    </row>
    <row r="121" spans="1:2">
      <c r="A121" s="49">
        <v>1.86267</v>
      </c>
      <c r="B121" s="49">
        <v>1.86267</v>
      </c>
    </row>
    <row r="122" spans="1:2">
      <c r="A122" s="49">
        <v>2.33467</v>
      </c>
      <c r="B122" s="49">
        <v>2.33467</v>
      </c>
    </row>
    <row r="123" spans="1:2">
      <c r="A123" s="49">
        <v>1.65733</v>
      </c>
      <c r="B123" s="49">
        <v>1.65733</v>
      </c>
    </row>
    <row r="124" spans="1:2">
      <c r="A124" s="49">
        <v>0.78800000000000003</v>
      </c>
      <c r="B124" s="49">
        <v>0.78800000000000003</v>
      </c>
    </row>
    <row r="125" spans="1:2">
      <c r="A125" s="49">
        <v>1.56667</v>
      </c>
      <c r="B125" s="49">
        <v>1.56667</v>
      </c>
    </row>
    <row r="126" spans="1:2">
      <c r="A126" s="49">
        <v>0.35866700000000001</v>
      </c>
      <c r="B126" s="49">
        <v>0.35866700000000001</v>
      </c>
    </row>
    <row r="127" spans="1:2">
      <c r="A127" s="49">
        <v>1.264</v>
      </c>
      <c r="B127" s="49">
        <v>1.264</v>
      </c>
    </row>
    <row r="128" spans="1:2">
      <c r="A128" s="49">
        <v>1.20133</v>
      </c>
      <c r="B128" s="49">
        <v>1.20133</v>
      </c>
    </row>
    <row r="129" spans="1:2">
      <c r="A129" s="49">
        <v>0.245333</v>
      </c>
      <c r="B129" s="49">
        <v>0.245333</v>
      </c>
    </row>
    <row r="130" spans="1:2">
      <c r="A130" s="49">
        <v>1.01467</v>
      </c>
      <c r="B130" s="49">
        <v>1.01467</v>
      </c>
    </row>
    <row r="131" spans="1:2">
      <c r="A131" s="49">
        <v>0</v>
      </c>
      <c r="B131" s="49">
        <v>0</v>
      </c>
    </row>
    <row r="132" spans="1:2">
      <c r="A132" s="49">
        <v>0.99066699999999996</v>
      </c>
      <c r="B132" s="49">
        <v>0.99066699999999996</v>
      </c>
    </row>
    <row r="133" spans="1:2">
      <c r="A133" s="49">
        <v>0.63466699999999998</v>
      </c>
      <c r="B133" s="49">
        <v>0.63466699999999998</v>
      </c>
    </row>
    <row r="134" spans="1:2">
      <c r="A134" s="49">
        <v>7.0666699999999999E-2</v>
      </c>
      <c r="B134" s="49">
        <v>7.0666699999999999E-2</v>
      </c>
    </row>
    <row r="135" spans="1:2">
      <c r="A135" s="49">
        <v>0.49866700000000003</v>
      </c>
      <c r="B135" s="49">
        <v>0.49866700000000003</v>
      </c>
    </row>
    <row r="136" spans="1:2">
      <c r="A136" s="49">
        <v>0.16</v>
      </c>
      <c r="B136" s="49">
        <v>0.16</v>
      </c>
    </row>
    <row r="137" spans="1:2">
      <c r="A137" s="49">
        <v>0.22800000000000001</v>
      </c>
      <c r="B137" s="49">
        <v>0.22800000000000001</v>
      </c>
    </row>
    <row r="138" spans="1:2">
      <c r="A138" s="49">
        <v>0.11600000000000001</v>
      </c>
      <c r="B138" s="49">
        <v>0.11600000000000001</v>
      </c>
    </row>
    <row r="139" spans="1:2">
      <c r="A139" s="49">
        <v>0.14533299999999999</v>
      </c>
      <c r="B139" s="49">
        <v>0.14533299999999999</v>
      </c>
    </row>
    <row r="140" spans="1:2">
      <c r="A140" s="49">
        <v>0.109333</v>
      </c>
      <c r="B140" s="49">
        <v>0.109333</v>
      </c>
    </row>
    <row r="141" spans="1:2">
      <c r="A141" s="49">
        <v>0</v>
      </c>
      <c r="B141" s="49">
        <v>0</v>
      </c>
    </row>
    <row r="142" spans="1:2">
      <c r="A142" s="49">
        <v>7.7333299999999994E-2</v>
      </c>
      <c r="B142" s="49">
        <v>7.7333299999999994E-2</v>
      </c>
    </row>
    <row r="143" spans="1:2">
      <c r="A143" s="49">
        <v>3.73333E-2</v>
      </c>
      <c r="B143" s="49">
        <v>3.73333E-2</v>
      </c>
    </row>
    <row r="144" spans="1:2">
      <c r="A144" s="49">
        <v>0</v>
      </c>
      <c r="B144" s="49">
        <v>0</v>
      </c>
    </row>
    <row r="145" spans="1:2">
      <c r="A145" s="49">
        <v>3.73333E-2</v>
      </c>
      <c r="B145" s="49">
        <v>3.73333E-2</v>
      </c>
    </row>
    <row r="146" spans="1:2">
      <c r="A146" s="49">
        <v>0</v>
      </c>
      <c r="B146" s="49">
        <v>0</v>
      </c>
    </row>
    <row r="147" spans="1:2">
      <c r="A147" s="49">
        <v>3.8666699999999998E-2</v>
      </c>
      <c r="B147" s="49">
        <v>3.8666699999999998E-2</v>
      </c>
    </row>
    <row r="148" spans="1:2">
      <c r="A148" s="49">
        <v>0</v>
      </c>
      <c r="B148" s="49">
        <v>0</v>
      </c>
    </row>
    <row r="149" spans="1:2">
      <c r="A149" s="49">
        <v>3.8666699999999998E-2</v>
      </c>
      <c r="B149" s="49">
        <v>3.8666699999999998E-2</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0.38539899999999999</v>
      </c>
      <c r="B2" s="49">
        <v>0.457121</v>
      </c>
      <c r="C2">
        <v>0</v>
      </c>
      <c r="D2">
        <v>0</v>
      </c>
      <c r="E2" t="s">
        <v>1161</v>
      </c>
      <c r="F2" s="49">
        <f>IF(A2&lt;&gt;"",1,"")</f>
        <v>1</v>
      </c>
      <c r="G2">
        <f>IF($H8&gt;0,LOOKUP(COUNT(A2:A1000)*$H8,F2:F1000,A2:A1000),LOOKUP(1,F2:F1000,A2:A1000))</f>
        <v>0.37935799999999997</v>
      </c>
      <c r="H2">
        <f>IF($H8&gt;0,LOOKUP(COUNT(B2:B1000)*$H8,F2:F1000,B2:B1000),LOOKUP(1,F2:F1000,B2:B1000))</f>
        <v>0.463953</v>
      </c>
      <c r="J2" s="49">
        <f>IF(A2&lt;&gt;"",A2*10,"")</f>
        <v>3.85399</v>
      </c>
      <c r="K2" s="49">
        <f>IF(B2&lt;&gt;"",B2*100,"")</f>
        <v>45.7121</v>
      </c>
      <c r="L2" s="49">
        <f>IF(F2&lt;&gt;"",IF(K2&lt;&gt;0,K2/J2,0),"")</f>
        <v>11.860980438454693</v>
      </c>
    </row>
    <row r="3" spans="1:12">
      <c r="A3" s="49">
        <v>0.37935799999999997</v>
      </c>
      <c r="B3" s="49">
        <v>0.463953</v>
      </c>
      <c r="C3">
        <v>0.38859399999999999</v>
      </c>
      <c r="D3">
        <v>0</v>
      </c>
      <c r="E3" t="s">
        <v>2560</v>
      </c>
      <c r="F3" s="49">
        <f>IF(A3&lt;&gt;"",F2+1,"")</f>
        <v>2</v>
      </c>
      <c r="G3">
        <f>IF($H9&gt;0,LOOKUP(COUNT(A2:A1000)*$H9,F2:F1000,A2:A1000),LOOKUP(1,F2:F1000,A2:A1000))</f>
        <v>0.27677299999999999</v>
      </c>
      <c r="H3">
        <f>IF($H9&gt;0,LOOKUP(COUNT(B2:B1000)*$H9,F2:F1000,B2:B1000),LOOKUP(1,F2:F1000,B2:B1000))</f>
        <v>0.56689800000000001</v>
      </c>
      <c r="J3" s="49">
        <f t="shared" ref="J3:J66" si="0">IF(A3&lt;&gt;"",A3*10,"")</f>
        <v>3.7935799999999995</v>
      </c>
      <c r="K3" s="49">
        <f t="shared" ref="K3:K66" si="1">IF(B3&lt;&gt;"",B3*100,"")</f>
        <v>46.395299999999999</v>
      </c>
      <c r="L3" s="49">
        <f t="shared" ref="L3:L66" si="2">IF(F3&lt;&gt;"",IF(K3&lt;&gt;0,K3/J3,0),"")</f>
        <v>12.229951655164779</v>
      </c>
    </row>
    <row r="4" spans="1:12">
      <c r="A4" s="49">
        <v>0.37297000000000002</v>
      </c>
      <c r="B4" s="49">
        <v>0.47212199999999999</v>
      </c>
      <c r="C4">
        <v>0.80348399999999998</v>
      </c>
      <c r="D4">
        <v>0</v>
      </c>
      <c r="E4" t="s">
        <v>2561</v>
      </c>
      <c r="F4" s="49">
        <f t="shared" ref="F4:F67" si="3">IF(A4&lt;&gt;"",F3+1,"")</f>
        <v>3</v>
      </c>
      <c r="G4" s="71" t="s">
        <v>209</v>
      </c>
      <c r="H4" s="23">
        <f>IF(ISERROR(G3-G2)=FALSE,(G3-G2)*10,0)</f>
        <v>-1.0258499999999997</v>
      </c>
      <c r="J4" s="49">
        <f t="shared" si="0"/>
        <v>3.7297000000000002</v>
      </c>
      <c r="K4" s="49">
        <f t="shared" si="1"/>
        <v>47.212199999999996</v>
      </c>
      <c r="L4" s="49">
        <f t="shared" si="2"/>
        <v>12.658444378904468</v>
      </c>
    </row>
    <row r="5" spans="1:12">
      <c r="A5" s="49">
        <v>0.36508000000000002</v>
      </c>
      <c r="B5" s="49">
        <v>0.48346899999999998</v>
      </c>
      <c r="C5">
        <v>1.2163200000000001</v>
      </c>
      <c r="D5">
        <v>0</v>
      </c>
      <c r="E5" t="s">
        <v>2562</v>
      </c>
      <c r="F5" s="49">
        <f t="shared" si="3"/>
        <v>4</v>
      </c>
      <c r="G5" s="71" t="s">
        <v>210</v>
      </c>
      <c r="H5" s="23">
        <f>IF(ISERROR(H3-H2)=FALSE,H3-H2,0)</f>
        <v>0.10294500000000001</v>
      </c>
      <c r="J5" s="49">
        <f t="shared" si="0"/>
        <v>3.6508000000000003</v>
      </c>
      <c r="K5" s="49">
        <f t="shared" si="1"/>
        <v>48.346899999999998</v>
      </c>
      <c r="L5" s="49">
        <f t="shared" si="2"/>
        <v>13.242823490741754</v>
      </c>
    </row>
    <row r="6" spans="1:12">
      <c r="A6" s="49">
        <v>0.35754900000000001</v>
      </c>
      <c r="B6" s="49">
        <v>0.49524200000000002</v>
      </c>
      <c r="C6">
        <v>1.6157699999999999</v>
      </c>
      <c r="D6">
        <v>0</v>
      </c>
      <c r="E6" t="s">
        <v>2563</v>
      </c>
      <c r="F6" s="49">
        <f t="shared" si="3"/>
        <v>5</v>
      </c>
      <c r="G6" s="71" t="s">
        <v>211</v>
      </c>
      <c r="H6" s="23">
        <f>IF(H4&lt;&gt;0,H5/H4,0)</f>
        <v>-0.1003509284983185</v>
      </c>
      <c r="J6" s="49">
        <f t="shared" si="0"/>
        <v>3.5754900000000003</v>
      </c>
      <c r="K6" s="49">
        <f t="shared" si="1"/>
        <v>49.5242</v>
      </c>
      <c r="L6" s="49">
        <f t="shared" si="2"/>
        <v>13.85102461480804</v>
      </c>
    </row>
    <row r="7" spans="1:12">
      <c r="A7" s="49">
        <v>0.35079500000000002</v>
      </c>
      <c r="B7" s="49">
        <v>0.504525</v>
      </c>
      <c r="C7">
        <v>2.0202599999999999</v>
      </c>
      <c r="D7">
        <v>0</v>
      </c>
      <c r="E7" t="s">
        <v>2564</v>
      </c>
      <c r="F7" s="49">
        <f t="shared" si="3"/>
        <v>6</v>
      </c>
      <c r="G7" s="71" t="s">
        <v>212</v>
      </c>
      <c r="H7" s="23">
        <f>DEGREES(ATAN(H6))</f>
        <v>-5.7305000904340364</v>
      </c>
      <c r="J7" s="49">
        <f t="shared" si="0"/>
        <v>3.5079500000000001</v>
      </c>
      <c r="K7" s="49">
        <f t="shared" si="1"/>
        <v>50.452500000000001</v>
      </c>
      <c r="L7" s="49">
        <f t="shared" si="2"/>
        <v>14.382331561168204</v>
      </c>
    </row>
    <row r="8" spans="1:12">
      <c r="A8" s="49">
        <v>0.34473999999999999</v>
      </c>
      <c r="B8" s="49">
        <v>0.51187499999999997</v>
      </c>
      <c r="C8">
        <v>2.4212600000000002</v>
      </c>
      <c r="D8">
        <v>0</v>
      </c>
      <c r="E8" t="s">
        <v>2565</v>
      </c>
      <c r="F8" s="49">
        <f t="shared" si="3"/>
        <v>7</v>
      </c>
      <c r="G8" s="71" t="s">
        <v>213</v>
      </c>
      <c r="H8" s="72">
        <v>0.1</v>
      </c>
      <c r="J8" s="49">
        <f t="shared" si="0"/>
        <v>3.4474</v>
      </c>
      <c r="K8" s="49">
        <f t="shared" si="1"/>
        <v>51.1875</v>
      </c>
      <c r="L8" s="49">
        <f t="shared" si="2"/>
        <v>14.848146429193015</v>
      </c>
    </row>
    <row r="9" spans="1:12">
      <c r="A9" s="49">
        <v>0.33892600000000001</v>
      </c>
      <c r="B9" s="49">
        <v>0.516648</v>
      </c>
      <c r="C9">
        <v>2.82911</v>
      </c>
      <c r="D9">
        <v>0</v>
      </c>
      <c r="E9" t="s">
        <v>2566</v>
      </c>
      <c r="F9" s="49">
        <f t="shared" si="3"/>
        <v>8</v>
      </c>
      <c r="G9" s="71" t="s">
        <v>214</v>
      </c>
      <c r="H9" s="72">
        <v>0.9</v>
      </c>
      <c r="J9" s="49">
        <f t="shared" si="0"/>
        <v>3.3892600000000002</v>
      </c>
      <c r="K9" s="49">
        <f t="shared" si="1"/>
        <v>51.6648</v>
      </c>
      <c r="L9" s="49">
        <f t="shared" si="2"/>
        <v>15.243681511598401</v>
      </c>
    </row>
    <row r="10" spans="1:12">
      <c r="A10" s="49">
        <v>0.33359699999999998</v>
      </c>
      <c r="B10" s="49">
        <v>0.52091500000000002</v>
      </c>
      <c r="C10">
        <v>3.2414299999999998</v>
      </c>
      <c r="D10">
        <v>0</v>
      </c>
      <c r="E10" t="s">
        <v>2567</v>
      </c>
      <c r="F10" s="49">
        <f t="shared" si="3"/>
        <v>9</v>
      </c>
      <c r="G10" t="s">
        <v>215</v>
      </c>
      <c r="J10" s="49">
        <f t="shared" si="0"/>
        <v>3.3359699999999997</v>
      </c>
      <c r="K10" s="49">
        <f t="shared" si="1"/>
        <v>52.091500000000003</v>
      </c>
      <c r="L10" s="49">
        <f t="shared" si="2"/>
        <v>15.615098457120421</v>
      </c>
    </row>
    <row r="11" spans="1:12">
      <c r="A11" s="49">
        <v>0.32879599999999998</v>
      </c>
      <c r="B11" s="49">
        <v>0.52426799999999996</v>
      </c>
      <c r="C11">
        <v>3.64798</v>
      </c>
      <c r="D11">
        <v>0</v>
      </c>
      <c r="E11" t="s">
        <v>2568</v>
      </c>
      <c r="F11" s="49">
        <f t="shared" si="3"/>
        <v>10</v>
      </c>
      <c r="G11" s="71" t="s">
        <v>216</v>
      </c>
      <c r="H11" s="73">
        <f>MIN(B2:B1000)</f>
        <v>0.457121</v>
      </c>
      <c r="J11" s="49">
        <f t="shared" si="0"/>
        <v>3.28796</v>
      </c>
      <c r="K11" s="49">
        <f t="shared" si="1"/>
        <v>52.426799999999993</v>
      </c>
      <c r="L11" s="49">
        <f t="shared" si="2"/>
        <v>15.945084490078953</v>
      </c>
    </row>
    <row r="12" spans="1:12">
      <c r="A12" s="49">
        <v>0.32356499999999999</v>
      </c>
      <c r="B12" s="49">
        <v>0.52905899999999995</v>
      </c>
      <c r="C12">
        <v>4.0531300000000003</v>
      </c>
      <c r="D12">
        <v>0</v>
      </c>
      <c r="E12" t="s">
        <v>2569</v>
      </c>
      <c r="F12" s="49">
        <f t="shared" si="3"/>
        <v>11</v>
      </c>
      <c r="G12" s="71" t="s">
        <v>218</v>
      </c>
      <c r="H12" s="73">
        <f>MAX(B2:B1000)</f>
        <v>0.56963200000000003</v>
      </c>
      <c r="J12" s="49">
        <f t="shared" si="0"/>
        <v>3.2356499999999997</v>
      </c>
      <c r="K12" s="49">
        <f t="shared" si="1"/>
        <v>52.905899999999995</v>
      </c>
      <c r="L12" s="49">
        <f t="shared" si="2"/>
        <v>16.350934124519032</v>
      </c>
    </row>
    <row r="13" spans="1:12">
      <c r="A13" s="49">
        <v>0.31830199999999997</v>
      </c>
      <c r="B13" s="49">
        <v>0.53273400000000004</v>
      </c>
      <c r="C13">
        <v>4.4580700000000002</v>
      </c>
      <c r="D13">
        <v>0</v>
      </c>
      <c r="E13" t="s">
        <v>2570</v>
      </c>
      <c r="F13" s="49">
        <f t="shared" si="3"/>
        <v>12</v>
      </c>
      <c r="G13" s="71" t="s">
        <v>220</v>
      </c>
      <c r="H13">
        <f>MATCH($H$11,B2:B1000,0)</f>
        <v>1</v>
      </c>
      <c r="J13" s="49">
        <f t="shared" si="0"/>
        <v>3.18302</v>
      </c>
      <c r="K13" s="49">
        <f t="shared" si="1"/>
        <v>53.273400000000002</v>
      </c>
      <c r="L13" s="49">
        <f t="shared" si="2"/>
        <v>16.736746863042018</v>
      </c>
    </row>
    <row r="14" spans="1:12">
      <c r="A14" s="49">
        <v>0.31306499999999998</v>
      </c>
      <c r="B14" s="49">
        <v>0.53731099999999998</v>
      </c>
      <c r="C14">
        <v>4.8576499999999996</v>
      </c>
      <c r="D14">
        <v>0</v>
      </c>
      <c r="E14" t="s">
        <v>2571</v>
      </c>
      <c r="F14" s="49">
        <f t="shared" si="3"/>
        <v>13</v>
      </c>
      <c r="G14" s="71" t="s">
        <v>221</v>
      </c>
      <c r="H14">
        <f>MATCH($H$12,B2:B1000,0)</f>
        <v>24</v>
      </c>
      <c r="J14" s="49">
        <f t="shared" si="0"/>
        <v>3.1306499999999997</v>
      </c>
      <c r="K14" s="49">
        <f t="shared" si="1"/>
        <v>53.731099999999998</v>
      </c>
      <c r="L14" s="49">
        <f t="shared" si="2"/>
        <v>17.162921438040023</v>
      </c>
    </row>
    <row r="15" spans="1:12">
      <c r="A15" s="49">
        <v>0.30752699999999999</v>
      </c>
      <c r="B15" s="49">
        <v>0.54265600000000003</v>
      </c>
      <c r="C15">
        <v>5.2788300000000001</v>
      </c>
      <c r="D15">
        <v>0</v>
      </c>
      <c r="E15" t="s">
        <v>2572</v>
      </c>
      <c r="F15" s="49">
        <f t="shared" si="3"/>
        <v>14</v>
      </c>
      <c r="G15">
        <f>LOOKUP($H13,F2:F1000,A2:A1000)</f>
        <v>0.38539899999999999</v>
      </c>
      <c r="H15">
        <f>LOOKUP($H13,F2:F1000,B2:B1000)</f>
        <v>0.457121</v>
      </c>
      <c r="J15" s="49">
        <f t="shared" si="0"/>
        <v>3.0752699999999997</v>
      </c>
      <c r="K15" s="49">
        <f t="shared" si="1"/>
        <v>54.265600000000006</v>
      </c>
      <c r="L15" s="49">
        <f t="shared" si="2"/>
        <v>17.645800206160764</v>
      </c>
    </row>
    <row r="16" spans="1:12">
      <c r="A16" s="49">
        <v>0.30221300000000001</v>
      </c>
      <c r="B16" s="49">
        <v>0.54784100000000002</v>
      </c>
      <c r="C16">
        <v>5.6715999999999998</v>
      </c>
      <c r="D16">
        <v>0</v>
      </c>
      <c r="E16" t="s">
        <v>2573</v>
      </c>
      <c r="F16" s="49">
        <f t="shared" si="3"/>
        <v>15</v>
      </c>
      <c r="G16">
        <f>LOOKUP($H14,F2:F1000,A2:A1000)</f>
        <v>0.27236700000000003</v>
      </c>
      <c r="H16">
        <f>LOOKUP($H14,F2:F1000,B2:B1000)</f>
        <v>0.56963200000000003</v>
      </c>
      <c r="J16" s="49">
        <f t="shared" si="0"/>
        <v>3.0221300000000002</v>
      </c>
      <c r="K16" s="49">
        <f t="shared" si="1"/>
        <v>54.784100000000002</v>
      </c>
      <c r="L16" s="49">
        <f t="shared" si="2"/>
        <v>18.127645071522402</v>
      </c>
    </row>
    <row r="17" spans="1:12">
      <c r="A17" s="49">
        <v>0.29708000000000001</v>
      </c>
      <c r="B17" s="49">
        <v>0.55236600000000002</v>
      </c>
      <c r="C17">
        <v>6.0886899999999997</v>
      </c>
      <c r="D17">
        <v>0</v>
      </c>
      <c r="E17" t="s">
        <v>2574</v>
      </c>
      <c r="F17" s="49">
        <f t="shared" si="3"/>
        <v>16</v>
      </c>
      <c r="J17" s="49">
        <f t="shared" si="0"/>
        <v>2.9708000000000001</v>
      </c>
      <c r="K17" s="49">
        <f t="shared" si="1"/>
        <v>55.236600000000003</v>
      </c>
      <c r="L17" s="49">
        <f t="shared" si="2"/>
        <v>18.593173555944528</v>
      </c>
    </row>
    <row r="18" spans="1:12">
      <c r="A18" s="49">
        <v>0.29220699999999999</v>
      </c>
      <c r="B18" s="49">
        <v>0.55566700000000002</v>
      </c>
      <c r="C18">
        <v>6.4883199999999999</v>
      </c>
      <c r="D18">
        <v>0</v>
      </c>
      <c r="E18" t="s">
        <v>2575</v>
      </c>
      <c r="F18" s="49">
        <f t="shared" si="3"/>
        <v>17</v>
      </c>
      <c r="J18" s="49">
        <f t="shared" si="0"/>
        <v>2.9220699999999997</v>
      </c>
      <c r="K18" s="49">
        <f t="shared" si="1"/>
        <v>55.566700000000004</v>
      </c>
      <c r="L18" s="49">
        <f t="shared" si="2"/>
        <v>19.016211110616791</v>
      </c>
    </row>
    <row r="19" spans="1:12">
      <c r="A19" s="49">
        <v>0.28754099999999999</v>
      </c>
      <c r="B19" s="49">
        <v>0.55815700000000001</v>
      </c>
      <c r="C19">
        <v>6.9051200000000001</v>
      </c>
      <c r="D19">
        <v>0</v>
      </c>
      <c r="E19" t="s">
        <v>2576</v>
      </c>
      <c r="F19" s="49">
        <f t="shared" si="3"/>
        <v>18</v>
      </c>
      <c r="J19" s="49">
        <f t="shared" si="0"/>
        <v>2.87541</v>
      </c>
      <c r="K19" s="49">
        <f t="shared" si="1"/>
        <v>55.8157</v>
      </c>
      <c r="L19" s="49">
        <f t="shared" si="2"/>
        <v>19.411388288974443</v>
      </c>
    </row>
    <row r="20" spans="1:12">
      <c r="A20" s="49">
        <v>0.28401799999999999</v>
      </c>
      <c r="B20" s="49">
        <v>0.56013999999999997</v>
      </c>
      <c r="C20">
        <v>7.3035500000000004</v>
      </c>
      <c r="D20">
        <v>0</v>
      </c>
      <c r="E20" t="s">
        <v>2577</v>
      </c>
      <c r="F20" s="49">
        <f t="shared" si="3"/>
        <v>19</v>
      </c>
      <c r="J20" s="49">
        <f t="shared" si="0"/>
        <v>2.8401800000000001</v>
      </c>
      <c r="K20" s="49">
        <f t="shared" si="1"/>
        <v>56.013999999999996</v>
      </c>
      <c r="L20" s="49">
        <f t="shared" si="2"/>
        <v>19.721989451372799</v>
      </c>
    </row>
    <row r="21" spans="1:12">
      <c r="A21" s="49">
        <v>0.28142099999999998</v>
      </c>
      <c r="B21" s="49">
        <v>0.56271199999999999</v>
      </c>
      <c r="C21">
        <v>7.7056800000000001</v>
      </c>
      <c r="D21">
        <v>0</v>
      </c>
      <c r="E21" t="s">
        <v>2578</v>
      </c>
      <c r="F21" s="49">
        <f t="shared" si="3"/>
        <v>20</v>
      </c>
      <c r="J21" s="49">
        <f t="shared" si="0"/>
        <v>2.8142099999999997</v>
      </c>
      <c r="K21" s="49">
        <f t="shared" si="1"/>
        <v>56.2712</v>
      </c>
      <c r="L21" s="49">
        <f t="shared" si="2"/>
        <v>19.995380586381259</v>
      </c>
    </row>
    <row r="22" spans="1:12">
      <c r="A22" s="49">
        <v>0.27904600000000002</v>
      </c>
      <c r="B22" s="49">
        <v>0.56486000000000003</v>
      </c>
      <c r="C22">
        <v>8.1149799999999992</v>
      </c>
      <c r="D22">
        <v>0</v>
      </c>
      <c r="E22" t="s">
        <v>2579</v>
      </c>
      <c r="F22" s="49">
        <f t="shared" si="3"/>
        <v>21</v>
      </c>
      <c r="J22" s="49">
        <f t="shared" si="0"/>
        <v>2.7904600000000004</v>
      </c>
      <c r="K22" s="49">
        <f t="shared" si="1"/>
        <v>56.486000000000004</v>
      </c>
      <c r="L22" s="49">
        <f t="shared" si="2"/>
        <v>20.242540656379234</v>
      </c>
    </row>
    <row r="23" spans="1:12">
      <c r="A23" s="49">
        <v>0.27677299999999999</v>
      </c>
      <c r="B23" s="49">
        <v>0.56689800000000001</v>
      </c>
      <c r="C23">
        <v>8.5171200000000002</v>
      </c>
      <c r="D23">
        <v>0</v>
      </c>
      <c r="E23" t="s">
        <v>2580</v>
      </c>
      <c r="F23" s="49">
        <f t="shared" si="3"/>
        <v>22</v>
      </c>
      <c r="J23" s="49">
        <f t="shared" si="0"/>
        <v>2.7677299999999998</v>
      </c>
      <c r="K23" s="49">
        <f t="shared" si="1"/>
        <v>56.689799999999998</v>
      </c>
      <c r="L23" s="49">
        <f t="shared" si="2"/>
        <v>20.482416998767945</v>
      </c>
    </row>
    <row r="24" spans="1:12">
      <c r="A24" s="49">
        <v>0.27455200000000002</v>
      </c>
      <c r="B24" s="49">
        <v>0.56837199999999999</v>
      </c>
      <c r="C24">
        <v>8.9221199999999996</v>
      </c>
      <c r="D24">
        <v>0</v>
      </c>
      <c r="E24" t="s">
        <v>2581</v>
      </c>
      <c r="F24" s="49">
        <f t="shared" si="3"/>
        <v>23</v>
      </c>
      <c r="G24" t="s">
        <v>245</v>
      </c>
      <c r="H24">
        <f>COUNT(A2:A2000)</f>
        <v>25</v>
      </c>
      <c r="J24" s="49">
        <f t="shared" si="0"/>
        <v>2.74552</v>
      </c>
      <c r="K24" s="49">
        <f t="shared" si="1"/>
        <v>56.837199999999996</v>
      </c>
      <c r="L24" s="49">
        <f t="shared" si="2"/>
        <v>20.70179783793234</v>
      </c>
    </row>
    <row r="25" spans="1:12">
      <c r="A25" s="49">
        <v>0.27236700000000003</v>
      </c>
      <c r="B25" s="49">
        <v>0.56963200000000003</v>
      </c>
      <c r="C25">
        <v>9.3386399999999998</v>
      </c>
      <c r="D25">
        <v>0</v>
      </c>
      <c r="E25" t="s">
        <v>2582</v>
      </c>
      <c r="F25" s="49">
        <f t="shared" si="3"/>
        <v>24</v>
      </c>
      <c r="J25" s="49">
        <f t="shared" si="0"/>
        <v>2.7236700000000003</v>
      </c>
      <c r="K25" s="49">
        <f t="shared" si="1"/>
        <v>56.963200000000001</v>
      </c>
      <c r="L25" s="49">
        <f t="shared" si="2"/>
        <v>20.914134237995057</v>
      </c>
    </row>
    <row r="26" spans="1:12">
      <c r="A26" s="49">
        <v>0.27039400000000002</v>
      </c>
      <c r="B26" s="49">
        <v>0.56898700000000002</v>
      </c>
      <c r="C26">
        <v>9.7488899999999994</v>
      </c>
      <c r="D26">
        <v>0</v>
      </c>
      <c r="E26" t="s">
        <v>2583</v>
      </c>
      <c r="F26" s="49">
        <f t="shared" si="3"/>
        <v>25</v>
      </c>
      <c r="J26" s="49">
        <f t="shared" si="0"/>
        <v>2.7039400000000002</v>
      </c>
      <c r="K26" s="49">
        <f t="shared" si="1"/>
        <v>56.898700000000005</v>
      </c>
      <c r="L26" s="49">
        <f t="shared" si="2"/>
        <v>21.042885566987433</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45819.896967592591</v>
      </c>
      <c r="B2" t="s">
        <v>2584</v>
      </c>
      <c r="C2" s="49"/>
      <c r="D2" s="49"/>
      <c r="E2" s="49">
        <v>4.9234099999999996</v>
      </c>
      <c r="F2" s="49">
        <v>1.52756</v>
      </c>
      <c r="G2" s="49">
        <v>0.45286900000000002</v>
      </c>
      <c r="H2" s="49">
        <v>0</v>
      </c>
      <c r="I2" s="49">
        <v>14.650700000000001</v>
      </c>
      <c r="J2" s="49">
        <v>88</v>
      </c>
      <c r="K2" s="49">
        <v>88</v>
      </c>
      <c r="L2" s="49">
        <v>100</v>
      </c>
      <c r="M2" s="521" t="s">
        <v>1549</v>
      </c>
      <c r="O2" s="565" t="str">
        <f>IF(FH_info!B2="","",TRIM(MID(SUBSTITUTE(FH_info!B2,"^",REPT(" ",LEN(FH_info!B2))),LEN(FH_info!B2)*2-LEN(FH_info!B2)+1,LEN(FH_info!B2))))</f>
        <v>1fik</v>
      </c>
      <c r="P2" s="565" t="str">
        <f>IF(FH_info!O2="","",TRIM(MID(SUBSTITUTE(FH_info!O2," ",REPT(" ",LEN(FH_info!O2))),LEN(FH_info!O2)*1-LEN(FH_info!O2)+1,LEN(FH_info!O2))))</f>
        <v>1fik</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14.650665999999999</v>
      </c>
      <c r="D2">
        <f>MAX(B2:B257)</f>
        <v>1163.9399410000001</v>
      </c>
      <c r="G2" t="s">
        <v>1590</v>
      </c>
      <c r="H2">
        <v>4.9234140000000002</v>
      </c>
      <c r="I2">
        <v>14.650665999999999</v>
      </c>
      <c r="J2">
        <v>0</v>
      </c>
      <c r="K2">
        <v>88</v>
      </c>
      <c r="L2">
        <v>88</v>
      </c>
      <c r="M2">
        <v>1.5275650000000001</v>
      </c>
      <c r="N2">
        <v>0.45286900000000002</v>
      </c>
      <c r="O2">
        <v>0.20508999999999999</v>
      </c>
    </row>
    <row r="3" spans="1:15">
      <c r="A3">
        <v>0</v>
      </c>
      <c r="B3">
        <v>0</v>
      </c>
      <c r="G3" t="s">
        <v>1591</v>
      </c>
      <c r="H3">
        <v>4.9234140000000002</v>
      </c>
      <c r="I3">
        <v>1163.9399410000001</v>
      </c>
      <c r="J3">
        <v>0</v>
      </c>
      <c r="K3">
        <v>16</v>
      </c>
      <c r="L3">
        <v>16</v>
      </c>
      <c r="M3">
        <v>0.44124999999999998</v>
      </c>
      <c r="N3">
        <v>0.25900499999999999</v>
      </c>
      <c r="O3">
        <v>6.7084000000000005E-2</v>
      </c>
    </row>
    <row r="4" spans="1:15">
      <c r="A4">
        <v>0</v>
      </c>
      <c r="B4">
        <v>0</v>
      </c>
    </row>
    <row r="5" spans="1:15">
      <c r="A5">
        <v>0</v>
      </c>
      <c r="B5">
        <v>5.4693339999999999</v>
      </c>
    </row>
    <row r="6" spans="1:15">
      <c r="A6">
        <v>0</v>
      </c>
      <c r="B6">
        <v>35.563999000000003</v>
      </c>
    </row>
    <row r="7" spans="1:15">
      <c r="A7">
        <v>0</v>
      </c>
      <c r="B7">
        <v>0</v>
      </c>
    </row>
    <row r="8" spans="1:15">
      <c r="A8">
        <v>0</v>
      </c>
      <c r="B8">
        <v>25.318666</v>
      </c>
    </row>
    <row r="9" spans="1:15">
      <c r="A9">
        <v>0</v>
      </c>
      <c r="B9">
        <v>101.915993</v>
      </c>
    </row>
    <row r="10" spans="1:15">
      <c r="A10">
        <v>0</v>
      </c>
      <c r="B10">
        <v>0</v>
      </c>
    </row>
    <row r="11" spans="1:15">
      <c r="A11">
        <v>0</v>
      </c>
      <c r="B11">
        <v>115.251999</v>
      </c>
    </row>
    <row r="12" spans="1:15">
      <c r="A12">
        <v>0</v>
      </c>
      <c r="B12">
        <v>520.050659</v>
      </c>
    </row>
    <row r="13" spans="1:15">
      <c r="A13">
        <v>0</v>
      </c>
      <c r="B13">
        <v>231.69065900000001</v>
      </c>
    </row>
    <row r="14" spans="1:15">
      <c r="A14">
        <v>0</v>
      </c>
      <c r="B14">
        <v>566.325378</v>
      </c>
    </row>
    <row r="15" spans="1:15">
      <c r="A15">
        <v>0</v>
      </c>
      <c r="B15">
        <v>1134.3160399999999</v>
      </c>
    </row>
    <row r="16" spans="1:15">
      <c r="A16">
        <v>0</v>
      </c>
      <c r="B16">
        <v>1136.5786129999999</v>
      </c>
    </row>
    <row r="17" spans="1:2">
      <c r="A17">
        <v>0.66533299999999995</v>
      </c>
      <c r="B17">
        <v>387.07067899999998</v>
      </c>
    </row>
    <row r="18" spans="1:2">
      <c r="A18">
        <v>2.0933329999999999</v>
      </c>
      <c r="B18">
        <v>1163.9399410000001</v>
      </c>
    </row>
    <row r="19" spans="1:2">
      <c r="A19">
        <v>1.472</v>
      </c>
      <c r="B19">
        <v>777.87866199999996</v>
      </c>
    </row>
    <row r="20" spans="1:2">
      <c r="A20">
        <v>1.6493329999999999</v>
      </c>
      <c r="B20">
        <v>979.76135299999999</v>
      </c>
    </row>
    <row r="21" spans="1:2">
      <c r="A21">
        <v>1.276</v>
      </c>
      <c r="B21">
        <v>530.42132600000002</v>
      </c>
    </row>
    <row r="22" spans="1:2">
      <c r="A22">
        <v>1.0840000000000001</v>
      </c>
      <c r="B22">
        <v>533.31066899999996</v>
      </c>
    </row>
    <row r="23" spans="1:2">
      <c r="A23">
        <v>1.249333</v>
      </c>
      <c r="B23">
        <v>694.57336399999997</v>
      </c>
    </row>
    <row r="24" spans="1:2">
      <c r="A24">
        <v>0.23333300000000001</v>
      </c>
      <c r="B24">
        <v>324.08801299999999</v>
      </c>
    </row>
    <row r="25" spans="1:2">
      <c r="A25">
        <v>0.246667</v>
      </c>
      <c r="B25">
        <v>327.84667999999999</v>
      </c>
    </row>
    <row r="26" spans="1:2">
      <c r="A26">
        <v>0.72399999999999998</v>
      </c>
      <c r="B26">
        <v>421.24667399999998</v>
      </c>
    </row>
    <row r="27" spans="1:2">
      <c r="A27">
        <v>1.1040000000000001</v>
      </c>
      <c r="B27">
        <v>341.61331200000001</v>
      </c>
    </row>
    <row r="28" spans="1:2">
      <c r="A28">
        <v>0.74</v>
      </c>
      <c r="B28">
        <v>177.61466999999999</v>
      </c>
    </row>
    <row r="29" spans="1:2">
      <c r="A29">
        <v>1.0413330000000001</v>
      </c>
      <c r="B29">
        <v>276.75598100000002</v>
      </c>
    </row>
    <row r="30" spans="1:2">
      <c r="A30">
        <v>1.2853330000000001</v>
      </c>
      <c r="B30">
        <v>375.35601800000001</v>
      </c>
    </row>
    <row r="31" spans="1:2">
      <c r="A31">
        <v>0.25066699999999997</v>
      </c>
      <c r="B31">
        <v>97.317336999999995</v>
      </c>
    </row>
    <row r="32" spans="1:2">
      <c r="A32">
        <v>1.0893330000000001</v>
      </c>
      <c r="B32">
        <v>264.150665</v>
      </c>
    </row>
    <row r="33" spans="1:2">
      <c r="A33">
        <v>1.4186669999999999</v>
      </c>
      <c r="B33">
        <v>175.98800700000001</v>
      </c>
    </row>
    <row r="34" spans="1:2">
      <c r="A34">
        <v>1.3826670000000001</v>
      </c>
      <c r="B34">
        <v>212.58801299999999</v>
      </c>
    </row>
    <row r="35" spans="1:2">
      <c r="A35">
        <v>1.5413330000000001</v>
      </c>
      <c r="B35">
        <v>133.550659</v>
      </c>
    </row>
    <row r="36" spans="1:2">
      <c r="A36">
        <v>1.8893329999999999</v>
      </c>
      <c r="B36">
        <v>201.90533400000001</v>
      </c>
    </row>
    <row r="37" spans="1:2">
      <c r="A37">
        <v>2.12</v>
      </c>
      <c r="B37">
        <v>134.178665</v>
      </c>
    </row>
    <row r="38" spans="1:2">
      <c r="A38">
        <v>1.9386669999999999</v>
      </c>
      <c r="B38">
        <v>146.42134100000001</v>
      </c>
    </row>
    <row r="39" spans="1:2">
      <c r="A39">
        <v>2.0013329999999998</v>
      </c>
      <c r="B39">
        <v>95.834671</v>
      </c>
    </row>
    <row r="40" spans="1:2">
      <c r="A40">
        <v>1.765333</v>
      </c>
      <c r="B40">
        <v>95.081337000000005</v>
      </c>
    </row>
    <row r="41" spans="1:2">
      <c r="A41">
        <v>2.4159999999999999</v>
      </c>
      <c r="B41">
        <v>96.409332000000006</v>
      </c>
    </row>
    <row r="42" spans="1:2">
      <c r="A42">
        <v>2.689333</v>
      </c>
      <c r="B42">
        <v>82.484001000000006</v>
      </c>
    </row>
    <row r="43" spans="1:2">
      <c r="A43">
        <v>2.2080000000000002</v>
      </c>
      <c r="B43">
        <v>66.462669000000005</v>
      </c>
    </row>
    <row r="44" spans="1:2">
      <c r="A44">
        <v>4.2186669999999999</v>
      </c>
      <c r="B44">
        <v>102.64799499999999</v>
      </c>
    </row>
    <row r="45" spans="1:2">
      <c r="A45">
        <v>2.665333</v>
      </c>
      <c r="B45">
        <v>26.226666999999999</v>
      </c>
    </row>
    <row r="46" spans="1:2">
      <c r="A46">
        <v>5.9266670000000001</v>
      </c>
      <c r="B46">
        <v>61.177334000000002</v>
      </c>
    </row>
    <row r="47" spans="1:2">
      <c r="A47">
        <v>6.62</v>
      </c>
      <c r="B47">
        <v>60.661330999999997</v>
      </c>
    </row>
    <row r="48" spans="1:2">
      <c r="A48">
        <v>7.4973340000000004</v>
      </c>
      <c r="B48">
        <v>56.157333000000001</v>
      </c>
    </row>
    <row r="49" spans="1:2">
      <c r="A49">
        <v>8.5960000000000001</v>
      </c>
      <c r="B49">
        <v>49.954666000000003</v>
      </c>
    </row>
    <row r="50" spans="1:2">
      <c r="A50">
        <v>6.5746669999999998</v>
      </c>
      <c r="B50">
        <v>47.070667</v>
      </c>
    </row>
    <row r="51" spans="1:2">
      <c r="A51">
        <v>9.1839999999999993</v>
      </c>
      <c r="B51">
        <v>38.716000000000001</v>
      </c>
    </row>
    <row r="52" spans="1:2">
      <c r="A52">
        <v>7.741333</v>
      </c>
      <c r="B52">
        <v>41.636001999999998</v>
      </c>
    </row>
    <row r="53" spans="1:2">
      <c r="A53">
        <v>3.8826670000000001</v>
      </c>
      <c r="B53">
        <v>23.953333000000001</v>
      </c>
    </row>
    <row r="54" spans="1:2">
      <c r="A54">
        <v>7.6053329999999999</v>
      </c>
      <c r="B54">
        <v>47.662666000000002</v>
      </c>
    </row>
    <row r="55" spans="1:2">
      <c r="A55">
        <v>6.458666</v>
      </c>
      <c r="B55">
        <v>44.167999000000002</v>
      </c>
    </row>
    <row r="56" spans="1:2">
      <c r="A56">
        <v>3.0253329999999998</v>
      </c>
      <c r="B56">
        <v>26.296001</v>
      </c>
    </row>
    <row r="57" spans="1:2">
      <c r="A57">
        <v>4.9960000000000004</v>
      </c>
      <c r="B57">
        <v>27.136002000000001</v>
      </c>
    </row>
    <row r="58" spans="1:2">
      <c r="A58">
        <v>6.3053330000000001</v>
      </c>
      <c r="B58">
        <v>39.276001000000001</v>
      </c>
    </row>
    <row r="59" spans="1:2">
      <c r="A59">
        <v>2.6560000000000001</v>
      </c>
      <c r="B59">
        <v>17.638666000000001</v>
      </c>
    </row>
    <row r="60" spans="1:2">
      <c r="A60">
        <v>4.3093329999999996</v>
      </c>
      <c r="B60">
        <v>29.469334</v>
      </c>
    </row>
    <row r="61" spans="1:2">
      <c r="A61">
        <v>4.7533339999999997</v>
      </c>
      <c r="B61">
        <v>28.02</v>
      </c>
    </row>
    <row r="62" spans="1:2">
      <c r="A62">
        <v>4.7773329999999996</v>
      </c>
      <c r="B62">
        <v>31.891999999999999</v>
      </c>
    </row>
    <row r="63" spans="1:2">
      <c r="A63">
        <v>4.4720000000000004</v>
      </c>
      <c r="B63">
        <v>15.476000000000001</v>
      </c>
    </row>
    <row r="64" spans="1:2">
      <c r="A64">
        <v>4.3293330000000001</v>
      </c>
      <c r="B64">
        <v>19.226665000000001</v>
      </c>
    </row>
    <row r="65" spans="1:2">
      <c r="A65">
        <v>8.0106669999999998</v>
      </c>
      <c r="B65">
        <v>34.82</v>
      </c>
    </row>
    <row r="66" spans="1:2">
      <c r="A66">
        <v>4.9693329999999998</v>
      </c>
      <c r="B66">
        <v>17.309334</v>
      </c>
    </row>
    <row r="67" spans="1:2">
      <c r="A67">
        <v>5.52</v>
      </c>
      <c r="B67">
        <v>16.685333</v>
      </c>
    </row>
    <row r="68" spans="1:2">
      <c r="A68">
        <v>5.4066669999999997</v>
      </c>
      <c r="B68">
        <v>19.905332999999999</v>
      </c>
    </row>
    <row r="69" spans="1:2">
      <c r="A69">
        <v>8.6226660000000006</v>
      </c>
      <c r="B69">
        <v>20.550667000000001</v>
      </c>
    </row>
    <row r="70" spans="1:2">
      <c r="A70">
        <v>6.2279999999999998</v>
      </c>
      <c r="B70">
        <v>18.535999</v>
      </c>
    </row>
    <row r="71" spans="1:2">
      <c r="A71">
        <v>7.6920000000000002</v>
      </c>
      <c r="B71">
        <v>13.970667000000001</v>
      </c>
    </row>
    <row r="72" spans="1:2">
      <c r="A72">
        <v>7.6</v>
      </c>
      <c r="B72">
        <v>16.465333999999999</v>
      </c>
    </row>
    <row r="73" spans="1:2">
      <c r="A73">
        <v>6.9026670000000001</v>
      </c>
      <c r="B73">
        <v>11.641332999999999</v>
      </c>
    </row>
    <row r="74" spans="1:2">
      <c r="A74">
        <v>9.0373330000000003</v>
      </c>
      <c r="B74">
        <v>16.838667000000001</v>
      </c>
    </row>
    <row r="75" spans="1:2">
      <c r="A75">
        <v>9.7293339999999997</v>
      </c>
      <c r="B75">
        <v>11.641332999999999</v>
      </c>
    </row>
    <row r="76" spans="1:2">
      <c r="A76">
        <v>9.8946670000000001</v>
      </c>
      <c r="B76">
        <v>13.372</v>
      </c>
    </row>
    <row r="77" spans="1:2">
      <c r="A77">
        <v>8.0026659999999996</v>
      </c>
      <c r="B77">
        <v>9.6213339999999992</v>
      </c>
    </row>
    <row r="78" spans="1:2">
      <c r="A78">
        <v>10.817333</v>
      </c>
      <c r="B78">
        <v>11.3</v>
      </c>
    </row>
    <row r="79" spans="1:2">
      <c r="A79">
        <v>10.369332999999999</v>
      </c>
      <c r="B79">
        <v>11.089333999999999</v>
      </c>
    </row>
    <row r="80" spans="1:2">
      <c r="A80">
        <v>8.6053329999999999</v>
      </c>
      <c r="B80">
        <v>9.3546669999999992</v>
      </c>
    </row>
    <row r="81" spans="1:2">
      <c r="A81">
        <v>10.929334000000001</v>
      </c>
      <c r="B81">
        <v>7.8</v>
      </c>
    </row>
    <row r="82" spans="1:2">
      <c r="A82">
        <v>11.948001</v>
      </c>
      <c r="B82">
        <v>8.92</v>
      </c>
    </row>
    <row r="83" spans="1:2">
      <c r="A83">
        <v>12.290666999999999</v>
      </c>
      <c r="B83">
        <v>8.8466670000000001</v>
      </c>
    </row>
    <row r="84" spans="1:2">
      <c r="A84">
        <v>12.535999</v>
      </c>
      <c r="B84">
        <v>7.3706670000000001</v>
      </c>
    </row>
    <row r="85" spans="1:2">
      <c r="A85">
        <v>12.390667000000001</v>
      </c>
      <c r="B85">
        <v>7.0533330000000003</v>
      </c>
    </row>
    <row r="86" spans="1:2">
      <c r="A86">
        <v>12.4</v>
      </c>
      <c r="B86">
        <v>7.8693330000000001</v>
      </c>
    </row>
    <row r="87" spans="1:2">
      <c r="A87">
        <v>2.4373330000000002</v>
      </c>
      <c r="B87">
        <v>0</v>
      </c>
    </row>
    <row r="88" spans="1:2">
      <c r="A88">
        <v>14.221333</v>
      </c>
      <c r="B88">
        <v>6.4013340000000003</v>
      </c>
    </row>
    <row r="89" spans="1:2">
      <c r="A89">
        <v>10.345333</v>
      </c>
      <c r="B89">
        <v>4.8360000000000003</v>
      </c>
    </row>
    <row r="90" spans="1:2">
      <c r="A90">
        <v>14.650665999999999</v>
      </c>
      <c r="B90">
        <v>6.1280000000000001</v>
      </c>
    </row>
    <row r="91" spans="1:2">
      <c r="A91">
        <v>11.930667</v>
      </c>
      <c r="B91">
        <v>4.5106669999999998</v>
      </c>
    </row>
    <row r="92" spans="1:2">
      <c r="A92">
        <v>9.9253330000000002</v>
      </c>
      <c r="B92">
        <v>4.3506669999999996</v>
      </c>
    </row>
    <row r="93" spans="1:2">
      <c r="A93">
        <v>13.774667000000001</v>
      </c>
      <c r="B93">
        <v>4.1920000000000002</v>
      </c>
    </row>
    <row r="94" spans="1:2">
      <c r="A94">
        <v>11.064</v>
      </c>
      <c r="B94">
        <v>3.4119999999999999</v>
      </c>
    </row>
    <row r="95" spans="1:2">
      <c r="A95">
        <v>6.6266670000000003</v>
      </c>
      <c r="B95">
        <v>1.973333</v>
      </c>
    </row>
    <row r="96" spans="1:2">
      <c r="A96">
        <v>13.550667000000001</v>
      </c>
      <c r="B96">
        <v>3.6920000000000002</v>
      </c>
    </row>
    <row r="97" spans="1:2">
      <c r="A97">
        <v>11.289332999999999</v>
      </c>
      <c r="B97">
        <v>2.8573330000000001</v>
      </c>
    </row>
    <row r="98" spans="1:2">
      <c r="A98">
        <v>6.2893330000000001</v>
      </c>
      <c r="B98">
        <v>2.0013329999999998</v>
      </c>
    </row>
    <row r="99" spans="1:2">
      <c r="A99">
        <v>11.694667000000001</v>
      </c>
      <c r="B99">
        <v>2.4239999999999999</v>
      </c>
    </row>
    <row r="100" spans="1:2">
      <c r="A100">
        <v>10.034667000000001</v>
      </c>
      <c r="B100">
        <v>2.250667</v>
      </c>
    </row>
    <row r="101" spans="1:2">
      <c r="A101">
        <v>8.3279999999999994</v>
      </c>
      <c r="B101">
        <v>1.734667</v>
      </c>
    </row>
    <row r="102" spans="1:2">
      <c r="A102">
        <v>8.5093340000000008</v>
      </c>
      <c r="B102">
        <v>1.744</v>
      </c>
    </row>
    <row r="103" spans="1:2">
      <c r="A103">
        <v>8.9253330000000002</v>
      </c>
      <c r="B103">
        <v>1.477333</v>
      </c>
    </row>
    <row r="104" spans="1:2">
      <c r="A104">
        <v>5.8786659999999999</v>
      </c>
      <c r="B104">
        <v>1.982667</v>
      </c>
    </row>
    <row r="105" spans="1:2">
      <c r="A105">
        <v>10.518667000000001</v>
      </c>
      <c r="B105">
        <v>0.65333300000000005</v>
      </c>
    </row>
    <row r="106" spans="1:2">
      <c r="A106">
        <v>8.3506660000000004</v>
      </c>
      <c r="B106">
        <v>1.1053329999999999</v>
      </c>
    </row>
    <row r="107" spans="1:2">
      <c r="A107">
        <v>7.982666</v>
      </c>
      <c r="B107">
        <v>1.074667</v>
      </c>
    </row>
    <row r="108" spans="1:2">
      <c r="A108">
        <v>8.5813330000000008</v>
      </c>
      <c r="B108">
        <v>1.0680000000000001</v>
      </c>
    </row>
    <row r="109" spans="1:2">
      <c r="A109">
        <v>5.1013330000000003</v>
      </c>
      <c r="B109">
        <v>0.66</v>
      </c>
    </row>
    <row r="110" spans="1:2">
      <c r="A110">
        <v>5.1133329999999999</v>
      </c>
      <c r="B110">
        <v>0.72933300000000001</v>
      </c>
    </row>
    <row r="111" spans="1:2">
      <c r="A111">
        <v>7.581334</v>
      </c>
      <c r="B111">
        <v>0.82</v>
      </c>
    </row>
    <row r="112" spans="1:2">
      <c r="A112">
        <v>3.742667</v>
      </c>
      <c r="B112">
        <v>0.42266700000000001</v>
      </c>
    </row>
    <row r="113" spans="1:2">
      <c r="A113">
        <v>4.6306669999999999</v>
      </c>
      <c r="B113">
        <v>0.48799999999999999</v>
      </c>
    </row>
    <row r="114" spans="1:2">
      <c r="A114">
        <v>6.3546670000000001</v>
      </c>
      <c r="B114">
        <v>0.56266700000000003</v>
      </c>
    </row>
    <row r="115" spans="1:2">
      <c r="A115">
        <v>4.6373329999999999</v>
      </c>
      <c r="B115">
        <v>0.42266700000000001</v>
      </c>
    </row>
    <row r="116" spans="1:2">
      <c r="A116">
        <v>2.8573330000000001</v>
      </c>
      <c r="B116">
        <v>0.281333</v>
      </c>
    </row>
    <row r="117" spans="1:2">
      <c r="A117">
        <v>3.9853329999999998</v>
      </c>
      <c r="B117">
        <v>0.252</v>
      </c>
    </row>
    <row r="118" spans="1:2">
      <c r="A118">
        <v>5.3373330000000001</v>
      </c>
      <c r="B118">
        <v>0.39333299999999999</v>
      </c>
    </row>
    <row r="119" spans="1:2">
      <c r="A119">
        <v>1.6053329999999999</v>
      </c>
      <c r="B119">
        <v>0.113333</v>
      </c>
    </row>
    <row r="120" spans="1:2">
      <c r="A120">
        <v>3.8573330000000001</v>
      </c>
      <c r="B120">
        <v>0.25333299999999997</v>
      </c>
    </row>
    <row r="121" spans="1:2">
      <c r="A121">
        <v>1.8626670000000001</v>
      </c>
      <c r="B121">
        <v>0.13333300000000001</v>
      </c>
    </row>
    <row r="122" spans="1:2">
      <c r="A122">
        <v>2.3346659999999999</v>
      </c>
      <c r="B122">
        <v>0.17199999999999999</v>
      </c>
    </row>
    <row r="123" spans="1:2">
      <c r="A123">
        <v>1.6573329999999999</v>
      </c>
      <c r="B123">
        <v>9.6000000000000002E-2</v>
      </c>
    </row>
    <row r="124" spans="1:2">
      <c r="A124">
        <v>0.78800000000000003</v>
      </c>
      <c r="B124">
        <v>5.6000000000000001E-2</v>
      </c>
    </row>
    <row r="125" spans="1:2">
      <c r="A125">
        <v>1.566667</v>
      </c>
      <c r="B125">
        <v>8.7999999999999995E-2</v>
      </c>
    </row>
    <row r="126" spans="1:2">
      <c r="A126">
        <v>0.35866700000000001</v>
      </c>
      <c r="B126">
        <v>0.02</v>
      </c>
    </row>
    <row r="127" spans="1:2">
      <c r="A127">
        <v>1.264</v>
      </c>
      <c r="B127">
        <v>6.2667E-2</v>
      </c>
    </row>
    <row r="128" spans="1:2">
      <c r="A128">
        <v>1.201333</v>
      </c>
      <c r="B128">
        <v>5.7333000000000002E-2</v>
      </c>
    </row>
    <row r="129" spans="1:2">
      <c r="A129">
        <v>0.245333</v>
      </c>
      <c r="B129">
        <v>6.6670000000000002E-3</v>
      </c>
    </row>
    <row r="130" spans="1:2">
      <c r="A130">
        <v>1.014667</v>
      </c>
      <c r="B130">
        <v>4.2666999999999997E-2</v>
      </c>
    </row>
    <row r="131" spans="1:2">
      <c r="A131">
        <v>0</v>
      </c>
      <c r="B131">
        <v>0</v>
      </c>
    </row>
    <row r="132" spans="1:2">
      <c r="A132">
        <v>0.99066699999999996</v>
      </c>
      <c r="B132">
        <v>4.1333000000000002E-2</v>
      </c>
    </row>
    <row r="133" spans="1:2">
      <c r="A133">
        <v>0.63466699999999998</v>
      </c>
      <c r="B133">
        <v>2.9333000000000001E-2</v>
      </c>
    </row>
    <row r="134" spans="1:2">
      <c r="A134">
        <v>7.0666999999999994E-2</v>
      </c>
      <c r="B134">
        <v>4.0000000000000001E-3</v>
      </c>
    </row>
    <row r="135" spans="1:2">
      <c r="A135">
        <v>0.49866700000000003</v>
      </c>
      <c r="B135">
        <v>2.1333000000000001E-2</v>
      </c>
    </row>
    <row r="136" spans="1:2">
      <c r="A136">
        <v>0.16</v>
      </c>
      <c r="B136">
        <v>5.3330000000000001E-3</v>
      </c>
    </row>
    <row r="137" spans="1:2">
      <c r="A137">
        <v>0.22800000000000001</v>
      </c>
      <c r="B137">
        <v>8.0000000000000002E-3</v>
      </c>
    </row>
    <row r="138" spans="1:2">
      <c r="A138">
        <v>0.11600000000000001</v>
      </c>
      <c r="B138">
        <v>6.6670000000000002E-3</v>
      </c>
    </row>
    <row r="139" spans="1:2">
      <c r="A139">
        <v>0.14533299999999999</v>
      </c>
      <c r="B139">
        <v>2.6670000000000001E-3</v>
      </c>
    </row>
    <row r="140" spans="1:2">
      <c r="A140">
        <v>0.109333</v>
      </c>
      <c r="B140">
        <v>4.0000000000000001E-3</v>
      </c>
    </row>
    <row r="141" spans="1:2">
      <c r="A141">
        <v>0</v>
      </c>
      <c r="B141">
        <v>0</v>
      </c>
    </row>
    <row r="142" spans="1:2">
      <c r="A142">
        <v>7.7332999999999999E-2</v>
      </c>
      <c r="B142">
        <v>2.6670000000000001E-3</v>
      </c>
    </row>
    <row r="143" spans="1:2">
      <c r="A143">
        <v>3.7332999999999998E-2</v>
      </c>
      <c r="B143">
        <v>1.333E-3</v>
      </c>
    </row>
    <row r="144" spans="1:2">
      <c r="A144">
        <v>0</v>
      </c>
      <c r="B144">
        <v>0</v>
      </c>
    </row>
    <row r="145" spans="1:2">
      <c r="A145">
        <v>3.7332999999999998E-2</v>
      </c>
      <c r="B145">
        <v>1.333E-3</v>
      </c>
    </row>
    <row r="146" spans="1:2">
      <c r="A146">
        <v>0</v>
      </c>
      <c r="B146">
        <v>0</v>
      </c>
    </row>
    <row r="147" spans="1:2">
      <c r="A147">
        <v>3.8667E-2</v>
      </c>
      <c r="B147">
        <v>1.333E-3</v>
      </c>
    </row>
    <row r="148" spans="1:2">
      <c r="A148">
        <v>0</v>
      </c>
      <c r="B148">
        <v>0</v>
      </c>
    </row>
    <row r="149" spans="1:2">
      <c r="A149">
        <v>3.8667E-2</v>
      </c>
      <c r="B149">
        <v>1.333E-3</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2.6447194727538
2.64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2.6447194727538039</v>
      </c>
      <c r="I4" s="322">
        <f>IF(Measurement!AQ7&lt;&gt;"",NORMSDIST((H6-$B$2)/$B$3)*100,"")</f>
        <v>95.045623829965265</v>
      </c>
      <c r="J4" t="str">
        <f>Measurement!AR7</f>
        <v>건강</v>
      </c>
    </row>
    <row r="5" spans="1:11">
      <c r="B5" s="171">
        <v>-10</v>
      </c>
      <c r="C5" s="171">
        <f>NORMSDIST(($B5-$B$2)/$B$3)*100</f>
        <v>7.1097265868555281E-5</v>
      </c>
      <c r="G5" t="s">
        <v>1539</v>
      </c>
      <c r="H5" s="320">
        <f>IF(Measurement!AQ7&lt;-7,-7,Measurement!AQ7)</f>
        <v>2.6447194727538039</v>
      </c>
      <c r="I5" s="321">
        <f>IF(Measurement!AQ7&lt;&gt;"",0,"")</f>
        <v>0</v>
      </c>
    </row>
    <row r="6" spans="1:11">
      <c r="B6" s="171">
        <f>B5+0.1</f>
        <v>-9.9</v>
      </c>
      <c r="C6" s="171">
        <f t="shared" ref="C6:C57" si="0">NORMSDIST(($B6-$B$2)/$B$3)*100</f>
        <v>9.1781224195367343E-5</v>
      </c>
      <c r="H6" s="320">
        <f>IF(Measurement!AQ7&lt;-7,-7,Measurement!AQ7)</f>
        <v>2.6447194727538039</v>
      </c>
      <c r="I6" s="321">
        <f>IF(Measurement!AQ7&lt;&gt;"",NORMSDIST((H6-$B$2)/$B$3)*100,"")</f>
        <v>95.045623829965265</v>
      </c>
    </row>
    <row r="7" spans="1:11">
      <c r="B7" s="171">
        <f t="shared" ref="B7:B70" si="1">B6+0.1</f>
        <v>-9.8000000000000007</v>
      </c>
      <c r="C7" s="171">
        <f t="shared" si="0"/>
        <v>1.1818368021892541E-4</v>
      </c>
      <c r="D7" s="171"/>
      <c r="H7" s="320">
        <f>IF(Measurement!AQ7&lt;&gt;"",-7,"")</f>
        <v>-7</v>
      </c>
      <c r="I7" s="321">
        <f>IF(Measurement!AQ7&lt;&gt;"",NORMSDIST((H6-$B$2)/$B$3)*100,"")</f>
        <v>95.045623829965265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62.6</v>
      </c>
      <c r="V4" t="s">
        <v>1218</v>
      </c>
    </row>
    <row r="5" spans="1:29">
      <c r="B5" s="171">
        <v>0</v>
      </c>
      <c r="C5" s="171">
        <f>NORMSDIST(($B5-$B$2)/$B$3)*100</f>
        <v>1.2153167836658598</v>
      </c>
      <c r="H5">
        <f>info!W36</f>
        <v>62.598340000000007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62.598340000000007</v>
      </c>
      <c r="I6" s="171">
        <f>NORMSDIST((H6-$B$2)/$B$3)*100</f>
        <v>71.481028908059713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71.481028908059713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1.52756</v>
      </c>
    </row>
    <row r="3" spans="1:11" ht="18">
      <c r="A3" s="71" t="s">
        <v>1065</v>
      </c>
      <c r="B3" s="557">
        <v>0.71290976993199895</v>
      </c>
      <c r="C3" s="523"/>
      <c r="H3" s="561" t="s">
        <v>2223</v>
      </c>
      <c r="I3" s="562">
        <f>IF(I2=0,0,NORMSDIST((I2-$B$2)/$B$3)*100)</f>
        <v>30.06881476825869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1.53</v>
      </c>
    </row>
    <row r="6" spans="1:11">
      <c r="B6" s="23">
        <v>0</v>
      </c>
      <c r="C6" s="23">
        <f>NORMSDIST(($B6-$B$2)/$B$3)*100</f>
        <v>0.38478836223957635</v>
      </c>
      <c r="H6" s="205">
        <f>IF(info!V36&gt;I1,I1,info!V36)</f>
        <v>1.52756</v>
      </c>
      <c r="I6" s="560">
        <v>0</v>
      </c>
    </row>
    <row r="7" spans="1:11">
      <c r="B7" s="23">
        <f>B5+0.05</f>
        <v>0</v>
      </c>
      <c r="C7" s="23">
        <f t="shared" ref="C7:E58" si="0">NORMSDIST(($B7-$B$2)/$B$3)*100</f>
        <v>0.38478836223957635</v>
      </c>
      <c r="H7" s="205">
        <f>IF(info!V36&gt;I1,I1,info!V36)</f>
        <v>1.52756</v>
      </c>
      <c r="I7" s="560">
        <f>NORMSDIST((H7-$B$2)/$B$3)*100</f>
        <v>30.06881476825869</v>
      </c>
    </row>
    <row r="8" spans="1:11">
      <c r="B8" s="23">
        <f t="shared" ref="B8:B71" si="1">B7+0.05</f>
        <v>0.05</v>
      </c>
      <c r="C8" s="23">
        <f t="shared" si="0"/>
        <v>0.47295624138584591</v>
      </c>
      <c r="D8" s="171"/>
      <c r="H8" s="205">
        <v>0</v>
      </c>
      <c r="I8" s="560">
        <f>NORMSDIST((H7-$B$2)/$B$3)*100</f>
        <v>30.06881476825869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1.52756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1.52756</v>
      </c>
      <c r="I6" s="171">
        <f>NORMSDIST((H6-$B$2)/$B$3)*100</f>
        <v>4.9300577291057968E-2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4.9300577291057968E-2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45819.896967592591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1fik</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45819.896967592591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1fik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2025-06-11T12:31:52Z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