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asd^1^1^\"/>
    </mc:Choice>
  </mc:AlternateContent>
  <xr:revisionPtr revIDLastSave="0" documentId="13_ncr:1_{EA0CC86E-103C-4FEE-B4BA-CCDEDF3E389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6" s="1"/>
  <c r="Q8" i="41" l="1"/>
  <c r="L7" i="43"/>
  <c r="Q8" i="45"/>
  <c r="L8" i="40"/>
  <c r="L8" i="44"/>
  <c r="L7" i="30"/>
  <c r="H8" i="33"/>
  <c r="Q8" i="36"/>
  <c r="L7" i="38"/>
  <c r="H8" i="39"/>
  <c r="Q8" i="40"/>
  <c r="L7" i="42"/>
  <c r="H8" i="43"/>
  <c r="Q8" i="44"/>
  <c r="L7" i="46"/>
  <c r="L8" i="33"/>
  <c r="L8" i="39"/>
  <c r="L8" i="43"/>
  <c r="H8" i="30"/>
  <c r="H8" i="38"/>
  <c r="L7" i="33"/>
  <c r="L8" i="36"/>
  <c r="Q2" i="14"/>
  <c r="H8" i="49"/>
  <c r="Q8" i="33"/>
  <c r="L7" i="37"/>
  <c r="Q8" i="39"/>
  <c r="L7" i="41"/>
  <c r="H8" i="42"/>
  <c r="Q8" i="43"/>
  <c r="L7" i="45"/>
  <c r="P2" i="14"/>
  <c r="L8" i="30"/>
  <c r="L8" i="38"/>
  <c r="L8" i="42"/>
  <c r="L8" i="46"/>
  <c r="Q8" i="37"/>
  <c r="L7" i="39"/>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8" i="1" l="1"/>
  <c r="I33" i="48" s="1"/>
  <c r="L15" i="1"/>
  <c r="I40" i="48" s="1"/>
  <c r="L14" i="1"/>
  <c r="I39" i="48" s="1"/>
  <c r="L11" i="1"/>
  <c r="I36" i="48" s="1"/>
  <c r="L10" i="1"/>
  <c r="I35" i="48" s="1"/>
  <c r="L9" i="1"/>
  <c r="I34" i="48" s="1"/>
  <c r="L7" i="1"/>
  <c r="I32"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A7" i="1" l="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3"/>
  <c r="O7" i="39"/>
  <c r="O7" i="46"/>
  <c r="O7" i="42"/>
  <c r="O7" i="38"/>
  <c r="O7" i="30"/>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12" i="1"/>
  <c r="A212" i="17"/>
  <c r="C211" i="17"/>
  <c r="B211" i="17" s="1"/>
  <c r="F209" i="11"/>
  <c r="B209" i="11"/>
  <c r="E209" i="11" s="1"/>
  <c r="A210" i="11"/>
  <c r="Y10" i="1" l="1"/>
  <c r="Y14" i="1"/>
  <c r="L37" i="48"/>
  <c r="L37" i="18"/>
  <c r="L34" i="48"/>
  <c r="L34" i="18"/>
  <c r="C212" i="17"/>
  <c r="B212" i="17" s="1"/>
  <c r="A213" i="17"/>
  <c r="F210" i="11"/>
  <c r="B210" i="11"/>
  <c r="E210" i="11" s="1"/>
  <c r="A211" i="11"/>
  <c r="Y7" i="1" l="1"/>
  <c r="Y16" i="1"/>
  <c r="Y8" i="1"/>
  <c r="L39" i="48"/>
  <c r="L39" i="18"/>
  <c r="L35" i="48"/>
  <c r="L35" i="18"/>
  <c r="C213" i="17"/>
  <c r="B213" i="17" s="1"/>
  <c r="A214" i="17"/>
  <c r="F211" i="11"/>
  <c r="A212" i="11"/>
  <c r="B211" i="11"/>
  <c r="E211" i="11" s="1"/>
  <c r="Y13" i="1" l="1"/>
  <c r="Y11" i="1"/>
  <c r="L41" i="48"/>
  <c r="L41" i="18"/>
  <c r="L33" i="48"/>
  <c r="L33" i="18"/>
  <c r="L32" i="48"/>
  <c r="L32" i="18"/>
  <c r="C214" i="17"/>
  <c r="B214" i="17" s="1"/>
  <c r="A215" i="17"/>
  <c r="F212" i="11"/>
  <c r="A213" i="11"/>
  <c r="B212" i="11"/>
  <c r="E212" i="11" s="1"/>
  <c r="L36" i="48" l="1"/>
  <c r="L36" i="18"/>
  <c r="L38" i="48"/>
  <c r="L38"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J12" i="1"/>
  <c r="D15" i="18" s="1"/>
  <c r="CK12" i="1"/>
  <c r="CK19"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AX18" i="11" s="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<sst xmlns="http://schemas.openxmlformats.org/spreadsheetml/2006/main" count="7312" uniqueCount="2586">
  <si>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</si>
  <si>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</si>
  <si>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</si>
  <si>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</si>
  <si>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</si>
  <si>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</si>
  <si>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</si>
  <si>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</si>
  <si>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</si>
  <si>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</si>
  <si>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</si>
  <si>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</si>
  <si>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</si>
  <si>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</si>
  <si>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</si>
  <si>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</si>
  <si>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</si>
  <si>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</si>
  <si>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</si>
  <si>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</si>
  <si>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</si>
  <si>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</si>
  <si>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</si>
  <si>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</si>
  <si>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</si>
  <si>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</si>
  <si>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</si>
  <si>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</si>
  <si>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</si>
  <si>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</si>
  <si>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</si>
  <si>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</si>
  <si>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</si>
  <si>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</si>
  <si>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</si>
  <si>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</si>
  <si>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</si>
  <si>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</si>
  <si>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</si>
  <si>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</si>
  <si>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</si>
  <si>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</si>
  <si>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</si>
  <si>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</si>
  <si>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</si>
  <si>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</si>
  <si>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</si>
  <si>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</si>
  <si>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</si>
  <si>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</si>
  <si>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</si>
  <si>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</si>
  <si>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</si>
  <si>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</si>
  <si>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</si>
  <si>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</si>
  <si>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</si>
  <si>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</si>
  <si>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</si>
  <si>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</si>
  <si>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</si>
  <si>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</si>
  <si>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</si>
  <si>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</si>
  <si>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</si>
  <si>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</si>
  <si>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</si>
  <si>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</si>
  <si>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</si>
  <si>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</si>
  <si>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</si>
  <si>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</si>
  <si>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</si>
  <si>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</si>
  <si>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</si>
  <si>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</si>
  <si>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</si>
  <si>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</si>
  <si>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</si>
  <si>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</si>
  <si>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</si>
  <si>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</si>
  <si>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</si>
  <si>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</si>
  <si>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</si>
  <si>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</si>
  <si>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</si>
  <si>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</si>
  <si>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</si>
  <si>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</si>
  <si>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</si>
  <si>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</si>
  <si>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</si>
  <si>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</si>
  <si>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</si>
  <si>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</si>
  <si>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</si>
  <si>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</si>
  <si>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</si>
  <si>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</si>
  <si>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</si>
  <si>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</si>
  <si>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</si>
  <si>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</si>
  <si>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</si>
  <si>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</si>
  <si>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</si>
  <si>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</si>
  <si>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</si>
  <si>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</si>
  <si>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</si>
  <si>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</si>
  <si>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</si>
  <si>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</si>
  <si>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</si>
  <si>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</si>
  <si>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</si>
  <si>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</si>
  <si>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</si>
  <si>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</si>
  <si>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</si>
  <si>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</si>
  <si>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</si>
  <si>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</si>
  <si>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</si>
  <si>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</si>
  <si>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</si>
  <si>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</si>
  <si>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</si>
  <si>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</si>
  <si>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</si>
  <si>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</si>
  <si>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</si>
  <si>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</si>
  <si>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</si>
  <si>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</si>
  <si>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</si>
  <si>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</si>
  <si>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</si>
  <si>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</si>
  <si>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</si>
  <si>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</si>
  <si>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</si>
  <si>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</si>
  <si>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</si>
  <si>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</si>
  <si>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</si>
  <si>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</si>
  <si>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</si>
  <si>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</si>
  <si>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</si>
  <si>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</si>
  <si>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</si>
  <si>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</si>
  <si>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</si>
  <si>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</si>
  <si>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</si>
  <si>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</si>
  <si>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</si>
  <si>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</si>
  <si>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</si>
  <si>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</si>
  <si>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</si>
  <si>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</si>
  <si>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</si>
  <si>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</si>
  <si>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</si>
  <si>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</si>
  <si>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</si>
  <si>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</si>
  <si>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</si>
  <si>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</si>
  <si>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</si>
  <si>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</si>
  <si>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</si>
  <si>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</si>
  <si>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</si>
  <si>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</si>
  <si>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</si>
  <si>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</si>
  <si>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</si>
  <si>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</si>
  <si>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</si>
  <si>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</si>
  <si>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</si>
  <si>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</si>
  <si>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</si>
  <si>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</si>
  <si>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</si>
  <si>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</si>
  <si>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</si>
  <si>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</si>
  <si>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</si>
  <si>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</si>
  <si>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</si>
  <si>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</si>
  <si>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</si>
  <si>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</si>
  <si>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</si>
  <si>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</si>
  <si>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</si>
  <si>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</si>
  <si>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</si>
  <si>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</si>
  <si>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</si>
  <si>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</si>
  <si>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</si>
  <si>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</si>
  <si>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</si>
  <si>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</si>
  <si>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</si>
  <si>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</si>
  <si>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</si>
  <si>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</si>
  <si>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</si>
  <si>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</si>
  <si>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</si>
  <si>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</si>
  <si>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</si>
  <si>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</si>
  <si>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</si>
  <si>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</si>
  <si>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</si>
  <si>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</si>
  <si>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</si>
  <si>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</si>
  <si>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</si>
  <si>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</si>
  <si>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</si>
  <si>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</si>
  <si>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</si>
  <si>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</si>
  <si>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</si>
  <si>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</si>
  <si>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</si>
  <si>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</si>
  <si>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</si>
  <si>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</si>
  <si>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</si>
  <si>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</si>
  <si>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</si>
  <si>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</si>
  <si>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</si>
  <si>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</si>
  <si>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</si>
  <si>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</si>
  <si>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</si>
  <si>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</si>
  <si>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</si>
  <si>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</si>
  <si>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</si>
  <si>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</si>
  <si>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</si>
  <si>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</si>
  <si>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</si>
  <si>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</si>
  <si>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</si>
  <si>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</si>
  <si>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</si>
  <si>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</si>
  <si>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</si>
  <si>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</si>
  <si>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</si>
  <si>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</si>
  <si>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</si>
  <si>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</si>
  <si>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</si>
  <si>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</si>
  <si>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</si>
  <si>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</si>
  <si>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</si>
  <si>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</si>
  <si>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</si>
  <si>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</si>
  <si>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</si>
  <si>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</si>
  <si>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</si>
  <si>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</si>
  <si>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</si>
  <si>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</si>
  <si>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</si>
  <si>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</si>
  <si>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</si>
  <si>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</si>
  <si>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</si>
  <si>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</si>
  <si>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</si>
  <si>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</si>
  <si>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</si>
  <si>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</si>
  <si>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</si>
  <si>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</si>
  <si>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</si>
  <si>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</si>
  <si>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</si>
  <si>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</si>
  <si>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</si>
  <si>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</si>
  <si>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</si>
  <si>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</si>
  <si>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</si>
  <si>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</si>
  <si>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</si>
  <si>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</si>
  <si>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</si>
  <si>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</si>
  <si>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</si>
  <si>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</si>
  <si>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</si>
  <si>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</si>
  <si>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</si>
  <si>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</si>
  <si>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</si>
  <si>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</si>
  <si>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</si>
  <si>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</si>
  <si>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</si>
  <si>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</si>
  <si>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</si>
  <si>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</si>
  <si>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</si>
  <si>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</si>
  <si>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</si>
  <si>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</si>
  <si>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</si>
  <si>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</si>
  <si>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</si>
  <si>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</si>
  <si>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</si>
  <si>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</si>
  <si>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</si>
  <si>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</si>
  <si>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</si>
  <si>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</si>
  <si>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</si>
  <si>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</si>
  <si>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</si>
  <si>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</si>
  <si>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</si>
  <si>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</si>
  <si>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</si>
  <si>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</si>
  <si>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</si>
  <si>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</si>
  <si>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</si>
  <si>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</si>
  <si>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</si>
  <si>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</si>
  <si>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</si>
  <si>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</si>
  <si>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</si>
  <si>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</si>
  <si>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</si>
  <si>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</si>
  <si>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</si>
  <si>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</si>
  <si>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</si>
  <si>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</si>
  <si>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</si>
  <si>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</si>
  <si>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</si>
  <si>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</si>
  <si>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</si>
  <si>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</si>
  <si>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</si>
  <si>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</si>
  <si>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</si>
  <si>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</si>
  <si>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</si>
  <si>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</si>
  <si>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</si>
  <si>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</si>
  <si>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</si>
  <si>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</si>
  <si>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</si>
  <si>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</si>
  <si>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</si>
  <si>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</si>
  <si>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</si>
  <si>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</si>
  <si>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</si>
  <si>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</si>
  <si>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</si>
  <si>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</si>
  <si>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</si>
  <si>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</si>
  <si>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</si>
  <si>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</si>
  <si>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</si>
  <si>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</si>
  <si>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</si>
  <si>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</si>
  <si>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</si>
  <si>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</si>
  <si>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</si>
  <si>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</si>
  <si>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</si>
  <si>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</si>
  <si>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</si>
  <si>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</si>
  <si>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</si>
  <si>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</si>
  <si>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</si>
  <si>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</si>
  <si>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</si>
  <si>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</si>
  <si>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</si>
  <si>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</si>
  <si>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</si>
  <si>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</si>
  <si>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</si>
  <si>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</si>
  <si>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</si>
  <si>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</si>
  <si>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</si>
  <si>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</si>
  <si>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</si>
  <si>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</si>
  <si>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</si>
  <si>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</si>
  <si>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</si>
  <si>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</si>
  <si>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</si>
  <si>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</si>
  <si>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</si>
  <si>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</si>
  <si>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</si>
  <si>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</si>
  <si>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</si>
  <si>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</si>
  <si>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</si>
  <si>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</si>
  <si>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</si>
  <si>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</si>
  <si>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</si>
  <si>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</si>
  <si>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</si>
  <si>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</si>
  <si>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</si>
  <si>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</si>
  <si>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</si>
  <si>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</si>
  <si>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</si>
  <si>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</si>
  <si>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</si>
  <si>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</si>
  <si>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</si>
  <si>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</si>
  <si>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</si>
  <si>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</si>
  <si>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</si>
  <si>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</si>
  <si>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</si>
  <si>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</si>
  <si>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</si>
  <si>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</si>
  <si>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</si>
  <si>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</si>
  <si>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</si>
  <si>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</si>
  <si>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</si>
  <si>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</si>
  <si>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</si>
  <si>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</si>
  <si>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</si>
  <si>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</si>
  <si>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</si>
  <si>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</si>
  <si>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</si>
  <si>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</si>
  <si>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</si>
  <si>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</si>
  <si>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</si>
  <si>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</si>
  <si>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</si>
  <si>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</si>
  <si>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</si>
  <si>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</si>
  <si>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</si>
  <si>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</si>
  <si>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</si>
  <si>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</si>
  <si>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</si>
  <si>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</si>
  <si>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</si>
  <si>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</si>
  <si>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</si>
  <si>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</si>
  <si>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</si>
  <si>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</si>
  <si>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</si>
  <si>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</si>
  <si>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</si>
  <si>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</si>
  <si>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</si>
  <si>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</si>
  <si>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</si>
  <si>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</si>
  <si>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</si>
  <si>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</si>
  <si>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</si>
  <si>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</si>
  <si>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</si>
  <si>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</si>
  <si>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</si>
  <si>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</si>
  <si>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</si>
  <si>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</si>
  <si>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</si>
  <si>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</si>
  <si>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</si>
  <si>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</si>
  <si>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</si>
  <si>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</si>
  <si>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</si>
  <si>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</si>
  <si>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</si>
  <si>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</si>
  <si>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</si>
  <si>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</si>
  <si>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</si>
  <si>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</si>
  <si>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</si>
  <si>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</si>
  <si>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</si>
  <si>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</si>
  <si>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</si>
  <si>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</si>
  <si>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</si>
  <si>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</si>
  <si>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</si>
  <si>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</si>
  <si>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</si>
  <si>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</si>
  <si>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</si>
  <si>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</si>
  <si>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</si>
  <si>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</si>
  <si>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</si>
  <si>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</si>
  <si>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</si>
  <si>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</si>
  <si>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</si>
  <si>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</si>
  <si>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</si>
  <si>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</si>
  <si>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</si>
  <si>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</si>
  <si>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</si>
  <si>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</si>
  <si>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</si>
  <si>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</si>
  <si>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</si>
  <si>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</si>
  <si>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</si>
  <si>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</si>
  <si>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</si>
  <si>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</si>
  <si>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</si>
  <si>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</si>
  <si>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</si>
  <si>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</si>
  <si>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</si>
  <si>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</si>
  <si>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</si>
  <si>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</si>
  <si>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</si>
  <si>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</si>
  <si>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</si>
  <si>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</si>
  <si>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</si>
  <si>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</si>
  <si>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</si>
  <si>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</si>
  <si>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</si>
  <si>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</si>
  <si>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</si>
  <si>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</si>
  <si>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</si>
  <si>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</si>
  <si>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</si>
  <si>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</si>
  <si>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</si>
  <si>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</si>
  <si>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</si>
  <si>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</si>
  <si>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</si>
  <si>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</si>
  <si>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</si>
  <si>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</si>
  <si>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</si>
  <si>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</si>
  <si>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</si>
  <si>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</si>
  <si>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</si>
  <si>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</si>
  <si>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</si>
  <si>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</si>
  <si>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</si>
  <si>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</si>
  <si>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</si>
  <si>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</si>
  <si>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</si>
  <si>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</si>
  <si>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</si>
  <si>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</si>
  <si>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</si>
  <si>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</si>
  <si>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</si>
  <si>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</si>
  <si>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</si>
  <si>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</si>
  <si>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</si>
  <si>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</si>
  <si>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</si>
  <si>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</si>
  <si>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</si>
  <si>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</si>
  <si>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</si>
  <si>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</si>
  <si>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</si>
  <si>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</si>
  <si>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</si>
  <si>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</si>
  <si>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</si>
  <si>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</si>
  <si>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</si>
  <si>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</si>
  <si>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</si>
  <si>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</si>
  <si>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</si>
  <si>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</si>
  <si>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</si>
  <si>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</si>
  <si>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</si>
  <si>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</si>
  <si>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</si>
  <si>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</si>
  <si>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</si>
  <si>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</si>
  <si>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</si>
  <si>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</si>
  <si>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</si>
  <si>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</si>
  <si>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</si>
  <si>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</si>
  <si>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</si>
  <si>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</si>
  <si>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</si>
  <si>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</si>
  <si>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</si>
  <si>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</si>
  <si>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</si>
  <si>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</si>
  <si>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</si>
  <si>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</si>
  <si>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</si>
  <si>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</si>
  <si>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</si>
  <si>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</si>
  <si>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</si>
  <si>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</si>
  <si>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</si>
  <si>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</si>
  <si>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</si>
  <si>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</si>
  <si>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</si>
  <si>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</si>
  <si>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</si>
  <si>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</si>
  <si>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</si>
  <si>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</si>
  <si>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</si>
  <si>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</si>
  <si>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</si>
  <si>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</si>
  <si>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</si>
  <si>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</si>
  <si>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</si>
  <si>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</si>
  <si>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</si>
  <si>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</si>
  <si>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</si>
  <si>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</si>
  <si>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</si>
  <si>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</si>
  <si>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</si>
  <si>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</si>
  <si>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</si>
  <si>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</si>
  <si>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</si>
  <si>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</si>
  <si>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</si>
  <si>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</si>
  <si>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</si>
  <si>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</si>
  <si>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</si>
  <si>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</si>
  <si>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</si>
  <si>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</si>
  <si>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</si>
  <si>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</si>
  <si>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</si>
  <si>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</si>
  <si>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</si>
  <si>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</si>
  <si>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</si>
  <si>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</si>
  <si>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</si>
  <si>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</si>
  <si>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</si>
  <si>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</si>
  <si>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</si>
  <si>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</si>
  <si>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</si>
  <si>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</si>
  <si>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</si>
  <si>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</si>
  <si>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</si>
  <si>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</si>
  <si>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</si>
  <si>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</si>
  <si>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</si>
  <si>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</si>
  <si>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</si>
  <si>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</si>
  <si>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</si>
  <si>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</si>
  <si>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</si>
  <si>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</si>
  <si>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</si>
  <si>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</si>
  <si>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</si>
  <si>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</si>
  <si>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</si>
  <si>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</si>
  <si>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</si>
  <si>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</si>
  <si>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</si>
  <si>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</si>
  <si>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</si>
  <si>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</si>
  <si>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</si>
  <si>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</si>
  <si>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</si>
  <si>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</si>
  <si>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</si>
  <si>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</si>
  <si>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</si>
  <si>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</si>
  <si>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</si>
  <si>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</si>
  <si>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</si>
  <si>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</si>
  <si>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</si>
  <si>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</si>
  <si>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</si>
  <si>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</si>
  <si>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</si>
  <si>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</si>
  <si>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</si>
  <si>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</si>
  <si>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</si>
  <si>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</si>
  <si>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</si>
  <si>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</si>
  <si>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</si>
  <si>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</si>
  <si>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</si>
  <si>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</si>
  <si>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</si>
  <si>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</si>
  <si>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</si>
  <si>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</si>
  <si>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</si>
  <si>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</si>
  <si>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</si>
  <si>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</si>
  <si>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</si>
  <si>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</si>
  <si>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</si>
  <si>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</si>
  <si>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</si>
  <si>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</si>
  <si>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</si>
  <si>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</si>
  <si>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</si>
  <si>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</si>
  <si>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</si>
  <si>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</si>
  <si>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</si>
  <si>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</si>
  <si>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</si>
  <si>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</si>
  <si>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</si>
  <si>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</si>
  <si>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</si>
  <si>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</si>
  <si>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</si>
  <si>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</si>
  <si>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</si>
  <si>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</si>
  <si>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</si>
  <si>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</si>
  <si>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</si>
  <si>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</si>
  <si>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</si>
  <si>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</si>
  <si>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</si>
  <si>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</si>
  <si>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</si>
  <si>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</si>
  <si>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</si>
  <si>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</si>
  <si>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</si>
  <si>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</si>
  <si>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</si>
  <si>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</si>
  <si>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</si>
  <si>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</si>
  <si>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</si>
  <si>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</si>
  <si>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</si>
  <si>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</si>
  <si>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</si>
  <si>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</si>
  <si>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</si>
  <si>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</si>
  <si>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</si>
  <si>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</si>
  <si>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</si>
  <si>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</si>
  <si>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</si>
  <si>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</si>
  <si>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</si>
  <si>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</si>
  <si>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</si>
  <si>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</si>
  <si>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</si>
  <si>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</si>
  <si>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</si>
  <si>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</si>
  <si>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</si>
  <si>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</si>
  <si>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</si>
  <si>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</si>
  <si>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</si>
  <si>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</si>
  <si>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</si>
  <si>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</si>
  <si>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</si>
  <si>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</si>
  <si>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</si>
  <si>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</si>
  <si>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</si>
  <si>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</si>
  <si>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</si>
  <si>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</si>
  <si>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</si>
  <si>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</si>
  <si>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</si>
  <si>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</si>
  <si>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</si>
  <si>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</si>
  <si>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</si>
  <si>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</si>
  <si>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</si>
  <si>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</si>
  <si>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</si>
  <si>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</si>
  <si>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</si>
  <si>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</si>
  <si>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</si>
  <si>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</si>
  <si>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</si>
  <si>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</si>
  <si>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</si>
  <si>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</si>
  <si>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</si>
  <si>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</si>
  <si>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</si>
  <si>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</si>
  <si>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</si>
  <si>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</si>
  <si>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</si>
  <si>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</si>
  <si>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</si>
  <si>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</si>
  <si>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</si>
  <si>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</si>
  <si>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</si>
  <si>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</si>
  <si>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</si>
  <si>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</si>
  <si>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</si>
  <si>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</si>
  <si>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</si>
  <si>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</si>
  <si>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</si>
  <si>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</si>
  <si>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</si>
  <si>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</si>
  <si>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</si>
  <si>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</si>
  <si>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</si>
  <si>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</si>
  <si>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</si>
  <si>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</si>
  <si>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</si>
  <si>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</si>
  <si>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</si>
  <si>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</si>
  <si>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</si>
  <si>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</si>
  <si>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</si>
  <si>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</si>
  <si>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</si>
  <si>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</si>
  <si>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</si>
  <si>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</si>
  <si>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</si>
  <si>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</si>
  <si>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</si>
  <si>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</si>
  <si>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</si>
  <si>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</si>
  <si>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</si>
  <si>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</si>
  <si>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</si>
  <si>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</si>
  <si>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</si>
  <si>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</si>
  <si>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</si>
  <si>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</si>
  <si>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</si>
  <si>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</si>
  <si>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</si>
  <si>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</si>
  <si>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</si>
  <si>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</si>
  <si>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</si>
  <si>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</si>
  <si>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</si>
  <si>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</si>
  <si>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</si>
  <si>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</si>
  <si>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</si>
  <si>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</si>
  <si>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</si>
  <si>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</si>
  <si>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</si>
  <si>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</si>
  <si>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</si>
  <si>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</si>
  <si>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</si>
  <si>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</si>
  <si>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</si>
  <si>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</si>
  <si>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</si>
  <si>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</si>
  <si>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</si>
  <si>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</si>
  <si>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</si>
  <si>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</si>
  <si>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</si>
  <si>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</si>
  <si>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</si>
  <si>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</si>
  <si>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</si>
  <si>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</si>
  <si>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</si>
  <si>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</si>
  <si>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</si>
  <si>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</si>
  <si>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</si>
  <si>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</si>
  <si>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</si>
  <si>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</si>
  <si>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</si>
  <si>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</si>
  <si>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</si>
  <si>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</si>
  <si>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</si>
  <si>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</si>
  <si>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</si>
  <si>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</si>
  <si>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</si>
  <si>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</si>
  <si>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</si>
  <si>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</si>
  <si>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</si>
  <si>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</si>
  <si>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</si>
  <si>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</si>
  <si>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</si>
  <si>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</si>
  <si>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</si>
  <si>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</si>
  <si>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</si>
  <si>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</si>
  <si>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</si>
  <si>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</si>
  <si>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</si>
  <si>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</si>
  <si>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</si>
  <si>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</si>
  <si>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</si>
  <si>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</si>
  <si>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</si>
  <si>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</si>
  <si>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</si>
  <si>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</si>
  <si>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</si>
  <si>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</si>
  <si>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</si>
  <si>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</si>
  <si>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</si>
  <si>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</si>
  <si>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</si>
  <si>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</si>
  <si>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</si>
  <si>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</si>
  <si>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</si>
  <si>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</si>
  <si>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</si>
  <si>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</si>
  <si>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</si>
  <si>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</si>
  <si>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</si>
  <si>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</si>
  <si>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</si>
  <si>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</si>
  <si>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</si>
  <si>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</si>
  <si>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</si>
  <si>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</si>
  <si>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</si>
  <si>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</si>
  <si>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</si>
  <si>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</si>
  <si>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</si>
  <si>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</si>
  <si>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</si>
  <si>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</si>
  <si>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</si>
  <si>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</si>
  <si>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</si>
  <si>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</si>
  <si>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</si>
  <si>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</si>
  <si>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</si>
  <si>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</si>
  <si>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</si>
  <si>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</si>
  <si>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</si>
  <si>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</si>
  <si>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</si>
  <si>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</si>
  <si>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</si>
  <si>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</si>
  <si>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</si>
  <si>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</si>
  <si>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</si>
  <si>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</si>
  <si>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</si>
  <si>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</si>
  <si>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</si>
  <si>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</si>
  <si>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</si>
  <si>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</si>
  <si>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</si>
  <si>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</si>
  <si>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</si>
  <si>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</si>
  <si>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</si>
  <si>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</si>
  <si>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</si>
  <si>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</si>
  <si>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</si>
  <si>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</si>
  <si>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</si>
  <si>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</si>
  <si>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</si>
  <si>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</si>
  <si>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</si>
  <si>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</si>
  <si>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</si>
  <si>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</si>
  <si>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</si>
  <si>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</si>
  <si>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</si>
  <si>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</si>
  <si>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</si>
  <si>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</si>
  <si>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</si>
  <si>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</si>
  <si>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</si>
  <si>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</si>
  <si>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</si>
  <si>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</si>
  <si>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</si>
  <si>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</si>
  <si>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</si>
  <si>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</si>
  <si>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</si>
  <si>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</si>
  <si>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</si>
  <si>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</si>
  <si>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</si>
  <si>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</si>
  <si>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</si>
  <si>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</si>
  <si>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</si>
  <si>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</si>
  <si>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</si>
  <si>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</si>
  <si>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</si>
  <si>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</si>
  <si>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</si>
  <si>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</si>
  <si>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</si>
  <si>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</si>
  <si>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</si>
  <si>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</si>
  <si>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</si>
  <si>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</si>
  <si>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</si>
  <si>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</si>
  <si>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</si>
  <si>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</si>
  <si>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</si>
  <si>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</si>
  <si>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</si>
  <si>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</si>
  <si>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</si>
  <si>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</si>
  <si>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</si>
  <si>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</si>
  <si>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</si>
  <si>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</si>
  <si>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</si>
  <si>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</si>
  <si>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</si>
  <si>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</si>
  <si>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</si>
  <si>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</si>
  <si>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</si>
  <si>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</si>
  <si>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</si>
  <si>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</si>
  <si>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</si>
  <si>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</si>
  <si>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</si>
  <si>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</si>
  <si>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</si>
  <si>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</si>
  <si>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</si>
  <si>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</si>
  <si>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</si>
  <si>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</si>
  <si>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</si>
  <si>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</si>
  <si>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</si>
  <si>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</si>
  <si>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</si>
  <si>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</si>
  <si>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</si>
  <si>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</si>
  <si>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</si>
  <si>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</si>
  <si>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</si>
  <si>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</si>
  <si>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</si>
  <si>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</si>
  <si>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</si>
  <si>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</si>
  <si>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</si>
  <si>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</si>
  <si>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</si>
  <si>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</si>
  <si>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</si>
  <si>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</si>
  <si>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</si>
  <si>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</si>
  <si>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</si>
  <si>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</si>
  <si>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</si>
  <si>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</si>
  <si>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</si>
  <si>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</si>
  <si>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</si>
  <si>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</si>
  <si>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</si>
  <si>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</si>
  <si>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</si>
  <si>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</si>
  <si>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</si>
  <si>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</si>
  <si>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</si>
  <si>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</si>
  <si>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</si>
  <si>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</si>
  <si>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</si>
  <si>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</si>
  <si>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</si>
  <si>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</si>
  <si>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</si>
  <si>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</si>
  <si>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</si>
  <si>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</si>
  <si>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</si>
  <si>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</si>
  <si>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</si>
  <si>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</si>
  <si>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</si>
  <si>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</si>
  <si>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</si>
  <si>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</si>
  <si>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</si>
  <si>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</si>
  <si>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</si>
  <si>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</si>
  <si>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</si>
  <si>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</si>
  <si>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</si>
  <si>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</si>
  <si>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</si>
  <si>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</si>
  <si>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</si>
  <si>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</si>
  <si>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</si>
  <si>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</si>
  <si>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</si>
  <si>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</si>
  <si>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</si>
  <si>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</si>
  <si>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</si>
  <si>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</si>
  <si>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</si>
  <si>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</si>
  <si>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</si>
  <si>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</si>
  <si>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</si>
  <si>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</si>
  <si>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</si>
  <si>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</si>
  <si>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</si>
  <si>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</si>
  <si>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</si>
  <si>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</si>
  <si>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</si>
  <si>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</si>
  <si>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</si>
  <si>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</si>
  <si>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</si>
  <si>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</si>
  <si>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</si>
  <si>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</si>
  <si>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</si>
  <si>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</si>
  <si>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</si>
  <si>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</si>
  <si>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</si>
  <si>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</si>
  <si>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</si>
  <si>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</si>
  <si>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</si>
  <si>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</si>
  <si>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</si>
  <si>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</si>
  <si>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</si>
  <si>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</si>
  <si>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</si>
  <si>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</si>
  <si>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</si>
  <si>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</si>
  <si>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</si>
  <si>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</si>
  <si>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</si>
  <si>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</si>
  <si>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</si>
  <si>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</si>
  <si>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</si>
  <si>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</si>
  <si>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</si>
  <si>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</si>
  <si>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</si>
  <si>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</si>
  <si>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</si>
  <si>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</si>
  <si>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</si>
  <si>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</si>
  <si>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</si>
  <si>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</si>
  <si>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</si>
  <si>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</si>
  <si>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</si>
  <si>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</si>
  <si>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</si>
  <si>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</si>
  <si>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</si>
  <si>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</si>
  <si>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</si>
  <si>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</si>
  <si>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</si>
  <si>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</si>
  <si>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</si>
  <si>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</si>
  <si>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</si>
  <si>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</si>
  <si>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</si>
  <si>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</si>
  <si>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</si>
  <si>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</si>
  <si>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</si>
  <si>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</si>
  <si>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</si>
  <si>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</si>
  <si>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</si>
  <si>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</si>
  <si>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</si>
  <si>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</si>
  <si>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</si>
  <si>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</si>
  <si>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</si>
  <si>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</si>
  <si>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</si>
  <si>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</si>
  <si>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</si>
  <si>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</si>
  <si>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</si>
  <si>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</si>
  <si>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</si>
  <si>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</si>
  <si>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</si>
  <si>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</si>
  <si>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</si>
  <si>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</si>
  <si>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</si>
  <si>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</si>
  <si>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</si>
  <si>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</si>
  <si>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</si>
  <si>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</si>
  <si>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</si>
  <si>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</si>
  <si>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</si>
  <si>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</si>
  <si>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</si>
  <si>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</si>
  <si>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</si>
  <si>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</si>
  <si>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</si>
  <si>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</si>
  <si>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</si>
  <si>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</si>
  <si>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</si>
  <si>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</si>
  <si>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</si>
  <si>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</si>
  <si>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</si>
  <si>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</si>
  <si>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</si>
  <si>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</si>
  <si>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</si>
  <si>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</si>
  <si>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</si>
  <si>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</si>
  <si>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</si>
  <si>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</si>
  <si>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</si>
  <si>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</si>
  <si>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</si>
  <si>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</si>
  <si>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</si>
  <si>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</si>
  <si>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</si>
  <si>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</si>
  <si>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</si>
  <si>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</si>
  <si>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</si>
  <si>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</si>
  <si>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</si>
  <si>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</si>
  <si>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</si>
  <si>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</si>
  <si>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</si>
  <si>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</si>
  <si>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</si>
  <si>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</si>
  <si>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</si>
  <si>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</si>
  <si>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</si>
  <si>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</si>
  <si>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</si>
  <si>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</si>
  <si>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</si>
  <si>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</si>
  <si>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</si>
  <si>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</si>
  <si>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</si>
  <si>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</si>
  <si>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</si>
  <si>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</si>
  <si>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</si>
  <si>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</si>
  <si>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</si>
  <si>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</si>
  <si>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</si>
  <si>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</si>
  <si>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</si>
  <si>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</si>
  <si>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</si>
  <si>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</si>
  <si>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</si>
  <si>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</si>
  <si>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</si>
  <si>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</si>
  <si>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</si>
  <si>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</si>
  <si>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</si>
  <si>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</si>
  <si>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</si>
  <si>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</si>
  <si>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</si>
  <si>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</si>
  <si>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</si>
  <si>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</si>
  <si>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</si>
  <si>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</si>
  <si>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</si>
  <si>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</si>
  <si>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</si>
  <si>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</si>
  <si>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</si>
  <si>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</si>
  <si>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</si>
  <si>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</si>
  <si>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</si>
  <si>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</si>
  <si>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</si>
  <si>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</si>
  <si>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</si>
  <si>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</si>
  <si>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</si>
  <si>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</si>
  <si>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</si>
  <si>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</si>
  <si>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</si>
  <si>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</si>
  <si>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</si>
  <si>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</si>
  <si>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</si>
  <si>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</si>
  <si>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</si>
  <si>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</si>
  <si>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</si>
  <si>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</si>
  <si>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</si>
  <si>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</si>
  <si>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</si>
  <si>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</si>
  <si>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</si>
  <si>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</si>
  <si>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</si>
  <si>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</si>
  <si>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</si>
  <si>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</si>
  <si>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</si>
  <si>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</si>
  <si>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</si>
  <si>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</si>
  <si>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</si>
  <si>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</si>
  <si>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</si>
  <si>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</si>
  <si>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</si>
  <si>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</si>
  <si>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</si>
  <si>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</si>
  <si>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</si>
  <si>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</si>
  <si>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</si>
  <si>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</si>
  <si>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</si>
  <si>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</si>
  <si>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</si>
  <si>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</si>
  <si>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</si>
  <si>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</si>
  <si>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</si>
  <si>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</si>
  <si>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</si>
  <si>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</si>
  <si>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</si>
  <si>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</si>
  <si>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</si>
  <si>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</si>
  <si>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</si>
  <si>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</si>
  <si>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</si>
  <si>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</si>
  <si>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</si>
  <si>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</si>
  <si>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</si>
  <si>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</si>
  <si>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</si>
  <si>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</si>
  <si>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</si>
  <si>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</si>
  <si>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</si>
  <si>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</si>
  <si>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</si>
  <si>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</si>
  <si>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</si>
  <si>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</si>
  <si>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</si>
  <si>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</si>
  <si>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</si>
  <si>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</si>
  <si>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</si>
  <si>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</si>
  <si>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</si>
  <si>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</si>
  <si>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</si>
  <si>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</si>
  <si>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</si>
  <si>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</si>
  <si>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</si>
  <si>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</si>
  <si>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</si>
  <si>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</si>
  <si>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</si>
  <si>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</si>
  <si>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</si>
  <si>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</si>
  <si>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</si>
  <si>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</si>
  <si>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</si>
  <si>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</si>
  <si>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</si>
  <si>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</si>
  <si>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</si>
  <si>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</si>
  <si>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</si>
  <si>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</si>
  <si>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</si>
  <si>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</si>
  <si>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</si>
  <si>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</si>
  <si>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</si>
  <si>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</si>
  <si>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</si>
  <si>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</si>
  <si>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</si>
  <si>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</si>
  <si>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</si>
  <si>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</si>
  <si>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</si>
  <si>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</si>
  <si>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</si>
  <si>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</si>
  <si>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</si>
  <si>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</si>
  <si>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</si>
  <si>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</si>
  <si>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</si>
  <si>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</si>
  <si>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</si>
  <si>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</si>
  <si>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</si>
  <si>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</si>
  <si>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</si>
  <si>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</si>
  <si>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</si>
  <si>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</si>
  <si>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</si>
  <si>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</si>
  <si>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</si>
  <si>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</si>
  <si>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</si>
  <si>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</si>
  <si>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</si>
  <si>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</si>
  <si>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</si>
  <si>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</si>
  <si>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</si>
  <si>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</si>
  <si>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</si>
  <si>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</si>
  <si>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</si>
  <si>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</si>
  <si>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</si>
  <si>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</si>
  <si>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</si>
  <si>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</si>
  <si>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</si>
  <si>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</si>
  <si>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</si>
  <si>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</si>
  <si>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</si>
  <si>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</si>
  <si>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</si>
  <si>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</si>
  <si>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</si>
  <si>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</si>
  <si>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</si>
  <si>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</si>
  <si>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</si>
  <si>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</si>
  <si>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</si>
  <si>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</si>
  <si>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</si>
  <si>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</si>
  <si>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</si>
  <si>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</si>
  <si>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</si>
  <si>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</si>
  <si>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</si>
  <si>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</si>
  <si>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</si>
  <si>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</si>
  <si>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</si>
  <si>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</si>
  <si>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</si>
  <si>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</si>
  <si>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</si>
  <si>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</si>
  <si>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</si>
  <si>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</si>
  <si>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</si>
  <si>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</si>
  <si>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</si>
  <si>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</si>
  <si>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</si>
  <si>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</si>
  <si>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</si>
  <si>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</si>
  <si>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</si>
  <si>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</si>
  <si>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</si>
  <si>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</si>
  <si>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</si>
  <si>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</si>
  <si>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</si>
  <si>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</si>
  <si>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</si>
  <si>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</si>
  <si>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</si>
  <si>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</si>
  <si>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</si>
  <si>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</si>
  <si>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</si>
  <si>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</si>
  <si>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</si>
  <si>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</si>
  <si>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</si>
  <si>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</si>
  <si>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</si>
  <si>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</si>
  <si>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</si>
  <si>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</si>
  <si>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</si>
  <si>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</si>
  <si>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</si>
  <si>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</si>
  <si>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</si>
  <si>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</si>
  <si>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</si>
  <si>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</si>
  <si>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</si>
  <si>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</si>
  <si>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</si>
  <si>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</si>
  <si>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</si>
  <si>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</si>
  <si>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</si>
  <si>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</si>
  <si>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</si>
  <si>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</si>
  <si>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</si>
  <si>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</si>
  <si>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</si>
  <si>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</si>
  <si>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</si>
  <si>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</si>
  <si>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</si>
  <si>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</si>
  <si>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</si>
  <si>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</si>
  <si>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</si>
  <si>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</si>
  <si>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</si>
  <si>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</si>
  <si>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</si>
  <si>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</si>
  <si>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</si>
  <si>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</si>
  <si>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</si>
  <si>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</si>
  <si>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</si>
  <si>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</si>
  <si>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</si>
  <si>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</si>
  <si>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</si>
  <si>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</si>
  <si>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</si>
  <si>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</si>
  <si>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</si>
  <si>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</si>
  <si>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</si>
  <si>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</si>
  <si>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</si>
  <si>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</si>
  <si>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</si>
  <si>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</si>
  <si>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</si>
  <si>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</si>
  <si>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</si>
  <si>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</si>
  <si>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</si>
  <si>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</si>
  <si>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</si>
  <si>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</si>
  <si>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</si>
  <si>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</si>
  <si>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</si>
  <si>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</si>
  <si>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</si>
  <si>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</si>
  <si>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</si>
  <si>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</si>
  <si>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</si>
  <si>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</si>
  <si>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</si>
  <si>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</si>
  <si>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</si>
  <si>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</si>
  <si>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</si>
  <si>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</si>
  <si>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</si>
  <si>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</si>
  <si>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</si>
  <si>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</si>
  <si>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</si>
  <si>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</si>
  <si>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</si>
  <si>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</si>
  <si>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</si>
  <si>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</si>
  <si>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</si>
  <si>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</si>
  <si>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</si>
  <si>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</si>
  <si>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</si>
  <si>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</si>
  <si>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</si>
  <si>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</si>
  <si>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</si>
  <si>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</si>
  <si>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</si>
  <si>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</si>
  <si>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</si>
  <si>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</si>
  <si>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</si>
  <si>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</si>
  <si>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</si>
  <si>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</si>
  <si>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</si>
  <si>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</si>
  <si>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</si>
  <si>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</si>
  <si>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</si>
  <si>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</si>
  <si>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</si>
  <si>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</si>
  <si>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</si>
  <si>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</si>
  <si>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</si>
  <si>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</si>
  <si>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</si>
  <si>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</si>
  <si>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</si>
  <si>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</si>
  <si>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</si>
  <si>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</si>
  <si>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</si>
  <si>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</si>
  <si>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</si>
  <si>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</si>
  <si>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</si>
  <si>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</si>
  <si>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</si>
  <si>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</si>
  <si>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</si>
  <si>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</si>
  <si>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</si>
  <si>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</si>
  <si>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</si>
  <si>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</si>
  <si>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</si>
  <si>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</si>
  <si>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</si>
  <si>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</si>
  <si>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</si>
  <si>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</si>
  <si>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</si>
  <si>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</si>
  <si>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</si>
  <si>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</si>
  <si>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</si>
  <si>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</si>
  <si>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</si>
  <si>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</si>
  <si>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</si>
  <si>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</si>
  <si>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</si>
  <si>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</si>
  <si>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</si>
  <si>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</si>
  <si>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</si>
  <si>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</si>
  <si>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</si>
  <si>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</si>
  <si>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</si>
  <si>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</si>
  <si>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</si>
  <si>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</si>
  <si>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</si>
  <si>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</si>
  <si>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</si>
  <si>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</si>
  <si>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</si>
  <si>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</si>
  <si>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</si>
  <si>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</si>
  <si>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</si>
  <si>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</si>
  <si>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</si>
  <si>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</si>
  <si>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</si>
  <si>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</si>
  <si>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</si>
  <si>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</si>
  <si>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</si>
  <si>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</si>
  <si>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</si>
  <si>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</si>
  <si>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</si>
  <si>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</si>
  <si>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</si>
  <si>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</si>
  <si>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</si>
  <si>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</si>
  <si>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</si>
  <si>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</si>
  <si>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</si>
  <si>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</si>
  <si>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</si>
  <si>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</si>
  <si>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</si>
  <si>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</si>
  <si>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</si>
  <si>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</si>
  <si>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</si>
  <si>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</si>
  <si>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</si>
  <si>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</si>
  <si>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</si>
  <si>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</si>
  <si>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</si>
  <si>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</si>
  <si>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</si>
  <si>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</si>
  <si>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</si>
  <si>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</si>
  <si>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</si>
  <si>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</si>
  <si>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</si>
  <si>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</si>
  <si>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</si>
  <si>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</si>
  <si>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</si>
  <si>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</si>
  <si>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</si>
  <si>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</si>
  <si>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</si>
  <si>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</si>
  <si>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</si>
  <si>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</si>
  <si>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</si>
  <si>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</si>
  <si>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</si>
  <si>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</si>
  <si>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</si>
  <si>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</si>
  <si>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</si>
  <si>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</si>
  <si>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</si>
  <si>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</si>
  <si>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</si>
  <si>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</si>
  <si>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</si>
  <si>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</si>
  <si>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</si>
  <si>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</si>
  <si>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</si>
  <si>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</si>
  <si>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</si>
  <si>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</si>
  <si>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</si>
  <si>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</si>
  <si>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</si>
  <si>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</si>
  <si>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</si>
  <si>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</si>
  <si>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</si>
  <si>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</si>
  <si>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</si>
  <si>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</si>
  <si>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</si>
  <si>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</si>
  <si>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</si>
  <si>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</si>
  <si>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</si>
  <si>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</si>
  <si>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</si>
  <si>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</si>
  <si>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</si>
  <si>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</si>
  <si>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</si>
  <si>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</si>
  <si>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</si>
  <si>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</si>
  <si>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</si>
  <si>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</si>
  <si>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</si>
  <si>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</si>
  <si>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</si>
  <si>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</si>
  <si>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</si>
  <si>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</si>
  <si>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</si>
  <si>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</si>
  <si>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</si>
  <si>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</si>
  <si>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</si>
  <si>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</si>
  <si>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</si>
  <si>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</si>
  <si>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</si>
  <si>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</si>
  <si>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</si>
  <si>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</si>
  <si>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</si>
  <si>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</si>
  <si>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</si>
  <si>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</si>
  <si>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</si>
  <si>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</si>
  <si>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</si>
  <si>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</si>
  <si>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</si>
  <si>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</si>
  <si>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</si>
  <si>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</si>
  <si>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</si>
  <si>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</si>
  <si>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</si>
  <si>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</si>
  <si>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</si>
  <si>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</si>
  <si>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</si>
  <si>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</si>
  <si>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</si>
  <si>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</si>
  <si>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</si>
  <si>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</si>
  <si>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</si>
  <si>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</si>
  <si>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</si>
  <si>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</si>
  <si>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</si>
  <si>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</si>
  <si>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</si>
  <si>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</si>
  <si>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</si>
  <si>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</si>
  <si>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</si>
  <si>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</si>
  <si>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</si>
  <si>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</si>
  <si>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</si>
  <si>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</si>
  <si>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</si>
  <si>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</si>
  <si>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</si>
  <si>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</si>
  <si>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</si>
  <si>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</si>
  <si>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</si>
  <si>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</si>
  <si>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</si>
  <si>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</si>
  <si>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</si>
  <si>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</si>
  <si>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</si>
  <si>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</si>
  <si>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</si>
  <si>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</si>
  <si>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</si>
  <si>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</si>
  <si>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</si>
  <si>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</si>
  <si>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</si>
  <si>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</si>
  <si>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</si>
  <si>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</si>
  <si>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</si>
  <si>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</si>
  <si>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</si>
  <si>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</si>
  <si>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</si>
  <si>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</si>
  <si>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</si>
  <si>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</si>
  <si>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</si>
  <si>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</si>
  <si>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</si>
  <si>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</si>
  <si>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</si>
  <si>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</si>
  <si>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</si>
  <si>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</si>
  <si>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</si>
  <si>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</si>
  <si>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</si>
  <si>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</si>
  <si>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</si>
  <si>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</si>
  <si>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</si>
  <si>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</si>
  <si>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</si>
  <si>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</si>
  <si>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</si>
  <si>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</si>
  <si>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</si>
  <si>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</si>
  <si>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</si>
  <si>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</si>
  <si>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</si>
  <si>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</si>
  <si>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</si>
  <si>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</si>
  <si>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</si>
  <si>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</si>
  <si>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</si>
  <si>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</si>
  <si>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</si>
  <si>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</si>
  <si>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</si>
  <si>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</si>
  <si>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</si>
  <si>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</si>
  <si>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</si>
  <si>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</si>
  <si>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</si>
  <si>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</si>
  <si>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</si>
  <si>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</si>
  <si>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</si>
  <si>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</si>
  <si>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</si>
  <si>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</si>
  <si>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</si>
  <si>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</si>
  <si>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</si>
  <si>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</si>
  <si>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</si>
  <si>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</si>
  <si>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</si>
  <si>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</si>
  <si>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</si>
  <si>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</si>
  <si>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</si>
  <si>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</si>
  <si>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</si>
  <si>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</si>
  <si>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</si>
  <si>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</si>
  <si>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</si>
  <si>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</si>
  <si>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</si>
  <si>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</si>
  <si>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</si>
  <si>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</si>
  <si>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</si>
  <si>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</si>
  <si>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</si>
  <si>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</si>
  <si>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</si>
  <si>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</si>
  <si>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</si>
  <si>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</si>
  <si>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</si>
  <si>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</si>
  <si>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</si>
  <si>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</si>
  <si>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</si>
  <si>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</si>
  <si>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</si>
  <si>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</si>
  <si>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</si>
  <si>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</si>
  <si>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</si>
  <si>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</si>
  <si>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</si>
  <si>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</si>
  <si>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</si>
  <si>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</si>
  <si>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</si>
  <si>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</si>
  <si>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</si>
  <si>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</si>
  <si>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</si>
  <si>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</si>
  <si>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</si>
  <si>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</si>
  <si>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</si>
  <si>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</si>
  <si>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</si>
  <si>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</si>
  <si>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</si>
  <si>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</si>
  <si>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</si>
  <si>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</si>
  <si>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</si>
  <si>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</si>
  <si>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</si>
  <si>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</si>
  <si>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</si>
  <si>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</si>
  <si>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</si>
  <si>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</si>
  <si>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</si>
  <si>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</si>
  <si>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</si>
  <si>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</si>
  <si>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</si>
  <si>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</si>
  <si>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</si>
  <si>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</si>
  <si>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</si>
  <si>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</si>
  <si>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</si>
  <si>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</si>
  <si>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</si>
  <si>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</si>
  <si>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</si>
  <si>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</si>
  <si>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</si>
  <si>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</si>
  <si>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</si>
  <si>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</si>
  <si>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</si>
  <si>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</si>
  <si>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</si>
  <si>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</si>
  <si>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</si>
  <si>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</si>
  <si>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</si>
  <si>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</si>
  <si>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</si>
  <si>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</si>
  <si>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</si>
  <si>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</si>
  <si>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</si>
  <si>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</si>
  <si>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</si>
  <si>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</si>
  <si>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</si>
  <si>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</si>
  <si>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</si>
  <si>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</si>
  <si>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</si>
  <si>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</si>
  <si>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</si>
  <si>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</si>
  <si>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</si>
  <si>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</si>
  <si>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</si>
  <si>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</si>
  <si>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</si>
  <si>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</si>
  <si>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</si>
  <si>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</si>
  <si>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</si>
  <si>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</si>
  <si>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</si>
  <si>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</si>
  <si>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</si>
  <si>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</si>
  <si>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</si>
  <si>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</si>
  <si>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</si>
  <si>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</si>
  <si>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</si>
  <si>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</si>
  <si>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</si>
  <si>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</si>
  <si>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</si>
  <si>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</si>
  <si>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</si>
  <si>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</si>
  <si>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</si>
  <si>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</si>
  <si>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</si>
  <si>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</si>
  <si>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</si>
  <si>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</si>
  <si>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</si>
  <si>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</si>
  <si>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</si>
  <si>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</si>
  <si>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</si>
  <si>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</si>
  <si>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</si>
  <si>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</si>
  <si>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</si>
  <si>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</si>
  <si>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</si>
  <si>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</si>
  <si>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</si>
  <si>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</si>
  <si>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</si>
  <si>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</si>
  <si>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</si>
  <si>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</si>
  <si>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</si>
  <si>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</si>
  <si>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</si>
  <si>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</si>
  <si>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</si>
  <si>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</si>
  <si>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</si>
  <si>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</si>
  <si>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</si>
  <si>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</si>
  <si>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</si>
  <si>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</si>
  <si>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</si>
  <si>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</si>
  <si>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</si>
  <si>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</si>
  <si>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</si>
  <si>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</si>
  <si>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</si>
  <si>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</si>
  <si>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</si>
  <si>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</si>
  <si>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</si>
  <si>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</si>
  <si>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</si>
  <si>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</si>
  <si>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</si>
  <si>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</si>
  <si>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</si>
  <si>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</si>
  <si>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</si>
  <si>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</si>
  <si>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</si>
  <si>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</si>
  <si>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</si>
  <si>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</si>
  <si>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</si>
  <si>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</si>
  <si>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</si>
  <si>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</si>
  <si>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</si>
  <si>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</si>
  <si>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</si>
  <si>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</si>
  <si>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</si>
  <si>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</si>
  <si>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</si>
  <si>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</si>
  <si>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</si>
  <si>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</si>
  <si>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</si>
  <si>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</si>
  <si>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</si>
  <si>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</si>
  <si>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</si>
  <si>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</si>
  <si>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</si>
  <si>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</si>
  <si>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</si>
  <si>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</si>
  <si>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</si>
  <si>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</si>
  <si>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</si>
  <si>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</si>
  <si>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</si>
  <si>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</si>
  <si>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</si>
  <si>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</si>
  <si>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</si>
  <si>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</si>
  <si>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</si>
  <si>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</si>
  <si>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</si>
  <si>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</si>
  <si>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</si>
  <si>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</si>
  <si>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</si>
  <si>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</si>
  <si>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</si>
  <si>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</si>
  <si>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</si>
  <si>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</si>
  <si>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</si>
  <si>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</si>
  <si>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</si>
  <si>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</si>
  <si>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</si>
  <si>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</si>
  <si>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</si>
  <si>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</si>
  <si>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</si>
  <si>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</si>
  <si>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</si>
  <si>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</si>
  <si>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</si>
  <si>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</si>
  <si>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</si>
  <si>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</si>
  <si>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</si>
  <si>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</si>
  <si>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</si>
  <si>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</si>
  <si>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</si>
  <si>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</si>
  <si>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</si>
  <si>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</si>
  <si>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</si>
  <si>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</si>
  <si>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</si>
  <si>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</si>
  <si>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</si>
  <si>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</si>
  <si>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</si>
  <si>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</si>
  <si>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</si>
  <si>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</si>
  <si>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</si>
  <si>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</si>
  <si>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</si>
  <si>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</si>
  <si>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</si>
  <si>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</si>
  <si>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</si>
  <si>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</si>
  <si>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</si>
  <si>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</si>
  <si>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</si>
  <si>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</si>
  <si>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</si>
  <si>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</si>
  <si>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</si>
  <si>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</si>
  <si>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</si>
  <si>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</si>
  <si>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</si>
  <si>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</si>
  <si>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</si>
  <si>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</si>
  <si>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</si>
  <si>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</si>
  <si>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</si>
  <si>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</si>
  <si>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</si>
  <si>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</si>
  <si>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</si>
  <si>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</si>
  <si>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</si>
  <si>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</si>
  <si>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</si>
  <si>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</si>
  <si>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</si>
  <si>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</si>
  <si>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</si>
  <si>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</si>
  <si>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</si>
  <si>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</si>
  <si>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</si>
  <si>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</si>
  <si>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</si>
  <si>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</si>
  <si>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</si>
  <si>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</si>
  <si>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</si>
  <si>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</si>
  <si>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</si>
  <si>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</si>
  <si>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</si>
  <si>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</si>
  <si>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</si>
  <si>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</si>
  <si>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</si>
  <si>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</si>
  <si>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</si>
  <si>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</si>
  <si>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</si>
  <si>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</si>
  <si>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</si>
  <si>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</si>
  <si>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</si>
  <si>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</si>
  <si>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</si>
  <si>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</si>
  <si>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</si>
  <si>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</si>
  <si>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</si>
  <si>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</si>
  <si>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</si>
  <si>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</si>
  <si>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</si>
  <si>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</si>
  <si>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</si>
  <si>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</si>
  <si>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</si>
  <si>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</si>
  <si>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</si>
  <si>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</si>
  <si>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</si>
  <si>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</si>
  <si>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</si>
  <si>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</si>
  <si>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</si>
  <si>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</si>
  <si>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</si>
  <si>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</si>
  <si>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</si>
  <si>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</si>
  <si>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</si>
  <si>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</si>
  <si>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</si>
  <si>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</si>
  <si>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</si>
  <si>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</si>
  <si>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</si>
  <si>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</si>
  <si>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</si>
  <si>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</si>
  <si>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</si>
  <si>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</si>
  <si>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</si>
  <si>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</si>
  <si>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</si>
  <si>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</si>
  <si>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</si>
  <si>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</si>
  <si>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</si>
  <si>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</si>
  <si>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</si>
  <si>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</si>
  <si>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</si>
  <si>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</si>
  <si>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</si>
  <si>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</si>
  <si>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</si>
  <si>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</si>
  <si>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</si>
  <si>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</si>
  <si>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</si>
  <si>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</si>
  <si>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</si>
  <si>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</si>
  <si>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</si>
  <si>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</si>
  <si>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</si>
  <si>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</si>
  <si>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</si>
  <si>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</si>
  <si>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</si>
  <si>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</si>
  <si>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</si>
  <si>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</si>
  <si>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</si>
  <si>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</si>
  <si>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</si>
  <si>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</si>
  <si>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</si>
  <si>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</si>
  <si>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</si>
  <si>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</si>
  <si>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</si>
  <si>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</si>
  <si>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</si>
  <si>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</si>
  <si>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</si>
  <si>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</si>
  <si>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</si>
  <si>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</si>
  <si>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</si>
  <si>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</si>
  <si>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</si>
  <si>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</si>
  <si>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</si>
  <si>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</si>
  <si>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</si>
  <si>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</si>
  <si>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</si>
  <si>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</si>
  <si>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</si>
  <si>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</si>
  <si>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</si>
  <si>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</si>
  <si>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</si>
  <si>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</si>
  <si>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</si>
  <si>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</si>
  <si>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</si>
  <si>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</si>
  <si>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</si>
  <si>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</si>
  <si>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</si>
  <si>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</si>
  <si>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</si>
  <si>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</si>
  <si>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</si>
  <si>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</si>
  <si>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</si>
  <si>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</si>
  <si>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</si>
  <si>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</si>
  <si>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</si>
  <si>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</si>
  <si>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</si>
  <si>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</si>
  <si>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</si>
  <si>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</si>
  <si>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</si>
  <si>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</si>
  <si>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</si>
  <si>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</si>
  <si>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</si>
  <si>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</si>
  <si>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</si>
  <si>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</si>
  <si>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</si>
  <si>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</si>
  <si>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</si>
  <si>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</si>
  <si>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</si>
  <si>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</si>
  <si>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</si>
  <si>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</si>
  <si>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</si>
  <si>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</si>
  <si>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[0.392360]</t>
  </si>
  <si>
    <t>0 [0.798065]</t>
  </si>
  <si>
    <t>0 [1.207187]</t>
  </si>
  <si>
    <t>0 [1.614489]</t>
  </si>
  <si>
    <t>0 [2.016702]</t>
  </si>
  <si>
    <t>0 [2.424335]</t>
  </si>
  <si>
    <t>0 [2.829000]</t>
  </si>
  <si>
    <t>0 [3.237299]</t>
  </si>
  <si>
    <t>0 [3.647110]</t>
  </si>
  <si>
    <t>0 [4.057975]</t>
  </si>
  <si>
    <t>0 [4.457391]</t>
  </si>
  <si>
    <t>0 [4.864006]</t>
  </si>
  <si>
    <t>0 [5.269089]</t>
  </si>
  <si>
    <t>0 [5.676034]</t>
  </si>
  <si>
    <t>0 [6.084399]</t>
  </si>
  <si>
    <t>0 [6.489563]</t>
  </si>
  <si>
    <t>0 [6.896853]</t>
  </si>
  <si>
    <t>0 [7.308426]</t>
  </si>
  <si>
    <t>0 [7.705997]</t>
  </si>
  <si>
    <t>0 [8.117382]</t>
  </si>
  <si>
    <t>0 [8.520817]</t>
  </si>
  <si>
    <t>0 [8.943418]</t>
  </si>
  <si>
    <t>0 [9.335885]</t>
  </si>
  <si>
    <t>0 [9.742791]</t>
  </si>
  <si>
    <t>0 [10.148088]</t>
  </si>
  <si>
    <t>vision^asd^1^1^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</si>
</sst>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63.543479999999995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4.68405</c:v>
                </c:pt>
                <c:pt idx="1">
                  <c:v>4.6467499999999999</c:v>
                </c:pt>
                <c:pt idx="2">
                  <c:v>4.6045699999999998</c:v>
                </c:pt>
                <c:pt idx="3">
                  <c:v>4.5506700000000002</c:v>
                </c:pt>
                <c:pt idx="4">
                  <c:v>4.5075799999999999</c:v>
                </c:pt>
                <c:pt idx="5">
                  <c:v>4.4880300000000002</c:v>
                </c:pt>
                <c:pt idx="6">
                  <c:v>4.4780499999999996</c:v>
                </c:pt>
                <c:pt idx="7">
                  <c:v>4.4762899999999997</c:v>
                </c:pt>
                <c:pt idx="8">
                  <c:v>4.4681500000000005</c:v>
                </c:pt>
                <c:pt idx="9">
                  <c:v>4.4576900000000004</c:v>
                </c:pt>
                <c:pt idx="10">
                  <c:v>4.4435799999999999</c:v>
                </c:pt>
                <c:pt idx="11">
                  <c:v>4.4230999999999998</c:v>
                </c:pt>
                <c:pt idx="12">
                  <c:v>4.383</c:v>
                </c:pt>
                <c:pt idx="13">
                  <c:v>4.3415699999999999</c:v>
                </c:pt>
                <c:pt idx="14">
                  <c:v>4.2944300000000002</c:v>
                </c:pt>
                <c:pt idx="15">
                  <c:v>4.24343</c:v>
                </c:pt>
                <c:pt idx="16">
                  <c:v>4.18492</c:v>
                </c:pt>
                <c:pt idx="17">
                  <c:v>4.1380099999999995</c:v>
                </c:pt>
                <c:pt idx="18">
                  <c:v>4.1086499999999999</c:v>
                </c:pt>
                <c:pt idx="19">
                  <c:v>4.0952699999999993</c:v>
                </c:pt>
                <c:pt idx="20">
                  <c:v>4.0811799999999998</c:v>
                </c:pt>
                <c:pt idx="21">
                  <c:v>4.0573300000000003</c:v>
                </c:pt>
                <c:pt idx="22">
                  <c:v>4.0344100000000003</c:v>
                </c:pt>
                <c:pt idx="23">
                  <c:v>4.0286300000000006</c:v>
                </c:pt>
                <c:pt idx="24">
                  <c:v>4.0337699999999996</c:v>
                </c:pt>
                <c:pt idx="25">
                  <c:v>3.9943299999999997</c:v>
                </c:pt>
              </c:numCache>
            </c:numRef>
          </c:xVal>
          <c:yVal>
            <c:numRef>
              <c:f>[0]!FT_PH</c:f>
              <c:numCache>
                <c:formatCode>0.00</c:formatCode>
                <c:ptCount val="26"/>
                <c:pt idx="0">
                  <c:v>48.366900000000001</c:v>
                </c:pt>
                <c:pt idx="1">
                  <c:v>48.816400000000002</c:v>
                </c:pt>
                <c:pt idx="2">
                  <c:v>49.805799999999998</c:v>
                </c:pt>
                <c:pt idx="3">
                  <c:v>51.362099999999998</c:v>
                </c:pt>
                <c:pt idx="4">
                  <c:v>52.696399999999997</c:v>
                </c:pt>
                <c:pt idx="5">
                  <c:v>53.884699999999995</c:v>
                </c:pt>
                <c:pt idx="6">
                  <c:v>54.880099999999999</c:v>
                </c:pt>
                <c:pt idx="7">
                  <c:v>55.519200000000005</c:v>
                </c:pt>
                <c:pt idx="8">
                  <c:v>56.163200000000003</c:v>
                </c:pt>
                <c:pt idx="9">
                  <c:v>56.307200000000002</c:v>
                </c:pt>
                <c:pt idx="10">
                  <c:v>56.073900000000002</c:v>
                </c:pt>
                <c:pt idx="11">
                  <c:v>55.590300000000006</c:v>
                </c:pt>
                <c:pt idx="12">
                  <c:v>54.954899999999995</c:v>
                </c:pt>
                <c:pt idx="13">
                  <c:v>54.413400000000003</c:v>
                </c:pt>
                <c:pt idx="14">
                  <c:v>53.8125</c:v>
                </c:pt>
                <c:pt idx="15">
                  <c:v>52.669999999999995</c:v>
                </c:pt>
                <c:pt idx="16">
                  <c:v>51.307299999999998</c:v>
                </c:pt>
                <c:pt idx="17">
                  <c:v>49.835900000000002</c:v>
                </c:pt>
                <c:pt idx="18">
                  <c:v>47.9</c:v>
                </c:pt>
                <c:pt idx="19">
                  <c:v>46.957000000000001</c:v>
                </c:pt>
                <c:pt idx="20">
                  <c:v>45.884399999999999</c:v>
                </c:pt>
                <c:pt idx="21">
                  <c:v>44.829299999999996</c:v>
                </c:pt>
                <c:pt idx="22">
                  <c:v>43.695499999999996</c:v>
                </c:pt>
                <c:pt idx="23">
                  <c:v>42.836800000000004</c:v>
                </c:pt>
                <c:pt idx="24">
                  <c:v>41.168399999999998</c:v>
                </c:pt>
                <c:pt idx="25">
                  <c:v>37.676700000000004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4.6467499999999999</c:v>
                </c:pt>
                <c:pt idx="1">
                  <c:v>4.0344100000000003</c:v>
                </c:pt>
              </c:numCache>
            </c:numRef>
          </c:xVal>
          <c:yVal>
            <c:numRef>
              <c:f>info!$W$2:$W$3</c:f>
              <c:numCache>
                <c:formatCode>0.00</c:formatCode>
                <c:ptCount val="2"/>
                <c:pt idx="0">
                  <c:v>48.816400000000002</c:v>
                </c:pt>
                <c:pt idx="1">
                  <c:v>43.695499999999996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3.9943299999999997</c:v>
                </c:pt>
                <c:pt idx="1">
                  <c:v>4.4576900000000004</c:v>
                </c:pt>
              </c:numCache>
            </c:numRef>
          </c:xVal>
          <c:yVal>
            <c:numRef>
              <c:f>info!$W$15:$W$16</c:f>
              <c:numCache>
                <c:formatCode>0.00_ </c:formatCode>
                <c:ptCount val="2"/>
                <c:pt idx="0">
                  <c:v>37.676700000000004</c:v>
                </c:pt>
                <c:pt idx="1">
                  <c:v>56.307200000000002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4.3172092307692314</c:v>
                </c:pt>
              </c:numCache>
            </c:numRef>
          </c:xVal>
          <c:yVal>
            <c:numRef>
              <c:f>info!$N$9</c:f>
              <c:numCache>
                <c:formatCode>0.0</c:formatCode>
                <c:ptCount val="1"/>
                <c:pt idx="0">
                  <c:v>50.284934615384614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41.330800000000004</c:v>
                </c:pt>
                <c:pt idx="1">
                  <c:v>23.501300000000001</c:v>
                </c:pt>
                <c:pt idx="2">
                  <c:v>13.3658</c:v>
                </c:pt>
                <c:pt idx="3">
                  <c:v>24.275099999999998</c:v>
                </c:pt>
                <c:pt idx="4">
                  <c:v>78.912400000000005</c:v>
                </c:pt>
                <c:pt idx="5">
                  <c:v>30.875299999999999</c:v>
                </c:pt>
                <c:pt idx="6">
                  <c:v>35.391300000000001</c:v>
                </c:pt>
                <c:pt idx="7">
                  <c:v>53.356099999999998</c:v>
                </c:pt>
                <c:pt idx="8">
                  <c:v>20.578900000000001</c:v>
                </c:pt>
                <c:pt idx="9">
                  <c:v>35.394399999999997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63.543479999999995</c:v>
                </c:pt>
                <c:pt idx="1">
                  <c:v>63.543479999999995</c:v>
                </c:pt>
                <c:pt idx="2">
                  <c:v>0</c:v>
                </c:pt>
              </c:numCache>
            </c:numRef>
          </c:xVal>
          <c:yVal>
            <c:numRef>
              <c:f>'R2'!$I$5:$I$7</c:f>
              <c:numCache>
                <c:formatCode>0.0_ </c:formatCode>
                <c:ptCount val="3"/>
                <c:pt idx="0">
                  <c:v>0</c:v>
                </c:pt>
                <c:pt idx="1">
                  <c:v>72.909117674668352</c:v>
                </c:pt>
                <c:pt idx="2">
                  <c:v>72.909117674668352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71.588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71.588333333333338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2.1476500000000001</c:v>
                </c:pt>
                <c:pt idx="1">
                  <c:v>2.1476500000000001</c:v>
                </c:pt>
                <c:pt idx="2">
                  <c:v>0</c:v>
                </c:pt>
              </c:numCache>
            </c:numRef>
          </c:xVal>
          <c:yVal>
            <c:numRef>
              <c:f>'R3'!$I$6:$I$8</c:f>
              <c:numCache>
                <c:formatCode>0.0_ </c:formatCode>
                <c:ptCount val="3"/>
                <c:pt idx="0">
                  <c:v>0</c:v>
                </c:pt>
                <c:pt idx="1">
                  <c:v>63.584675776159763</c:v>
                </c:pt>
                <c:pt idx="2">
                  <c:v>63.584675776159763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-2.2089789964957154</c:v>
                </c:pt>
                <c:pt idx="1">
                  <c:v>-2.2089789964957154</c:v>
                </c:pt>
                <c:pt idx="2">
                  <c:v>-7</c:v>
                </c:pt>
              </c:numCache>
            </c:numRef>
          </c:xVal>
          <c:yVal>
            <c:numRef>
              <c:f>'R'!$I$5:$I$7</c:f>
              <c:numCache>
                <c:formatCode>0.0_ </c:formatCode>
                <c:ptCount val="3"/>
                <c:pt idx="0">
                  <c:v>0</c:v>
                </c:pt>
                <c:pt idx="1">
                  <c:v>20.19468952817164</c:v>
                </c:pt>
                <c:pt idx="2">
                  <c:v>20.19468952817164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-2.2089789964957154</c:v>
                </c:pt>
              </c:numCache>
            </c:numRef>
          </c:xVal>
          <c:yVal>
            <c:numRef>
              <c:f>'R'!$I$4</c:f>
              <c:numCache>
                <c:formatCode>0.00_ </c:formatCode>
                <c:ptCount val="1"/>
                <c:pt idx="0">
                  <c:v>20.19468952817164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63.543479999999995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4.68405</c:v>
                </c:pt>
                <c:pt idx="1">
                  <c:v>4.6467499999999999</c:v>
                </c:pt>
                <c:pt idx="2">
                  <c:v>4.6045699999999998</c:v>
                </c:pt>
                <c:pt idx="3">
                  <c:v>4.5506700000000002</c:v>
                </c:pt>
                <c:pt idx="4">
                  <c:v>4.5075799999999999</c:v>
                </c:pt>
                <c:pt idx="5">
                  <c:v>4.4880300000000002</c:v>
                </c:pt>
                <c:pt idx="6">
                  <c:v>4.4780499999999996</c:v>
                </c:pt>
                <c:pt idx="7">
                  <c:v>4.4762899999999997</c:v>
                </c:pt>
                <c:pt idx="8">
                  <c:v>4.4681500000000005</c:v>
                </c:pt>
                <c:pt idx="9">
                  <c:v>4.4576900000000004</c:v>
                </c:pt>
                <c:pt idx="10">
                  <c:v>4.4435799999999999</c:v>
                </c:pt>
                <c:pt idx="11">
                  <c:v>4.4230999999999998</c:v>
                </c:pt>
                <c:pt idx="12">
                  <c:v>4.383</c:v>
                </c:pt>
                <c:pt idx="13">
                  <c:v>4.3415699999999999</c:v>
                </c:pt>
                <c:pt idx="14">
                  <c:v>4.2944300000000002</c:v>
                </c:pt>
                <c:pt idx="15">
                  <c:v>4.24343</c:v>
                </c:pt>
                <c:pt idx="16">
                  <c:v>4.18492</c:v>
                </c:pt>
                <c:pt idx="17">
                  <c:v>4.1380099999999995</c:v>
                </c:pt>
                <c:pt idx="18">
                  <c:v>4.1086499999999999</c:v>
                </c:pt>
                <c:pt idx="19">
                  <c:v>4.0952699999999993</c:v>
                </c:pt>
                <c:pt idx="20">
                  <c:v>4.0811799999999998</c:v>
                </c:pt>
                <c:pt idx="21">
                  <c:v>4.0573300000000003</c:v>
                </c:pt>
                <c:pt idx="22">
                  <c:v>4.0344100000000003</c:v>
                </c:pt>
                <c:pt idx="23">
                  <c:v>4.0286300000000006</c:v>
                </c:pt>
                <c:pt idx="24">
                  <c:v>4.0337699999999996</c:v>
                </c:pt>
                <c:pt idx="25">
                  <c:v>3.9943299999999997</c:v>
                </c:pt>
              </c:numCache>
            </c:numRef>
          </c:xVal>
          <c:yVal>
            <c:numRef>
              <c:f>[0]!FT_PH</c:f>
              <c:numCache>
                <c:formatCode>0.00</c:formatCode>
                <c:ptCount val="26"/>
                <c:pt idx="0">
                  <c:v>48.366900000000001</c:v>
                </c:pt>
                <c:pt idx="1">
                  <c:v>48.816400000000002</c:v>
                </c:pt>
                <c:pt idx="2">
                  <c:v>49.805799999999998</c:v>
                </c:pt>
                <c:pt idx="3">
                  <c:v>51.362099999999998</c:v>
                </c:pt>
                <c:pt idx="4">
                  <c:v>52.696399999999997</c:v>
                </c:pt>
                <c:pt idx="5">
                  <c:v>53.884699999999995</c:v>
                </c:pt>
                <c:pt idx="6">
                  <c:v>54.880099999999999</c:v>
                </c:pt>
                <c:pt idx="7">
                  <c:v>55.519200000000005</c:v>
                </c:pt>
                <c:pt idx="8">
                  <c:v>56.163200000000003</c:v>
                </c:pt>
                <c:pt idx="9">
                  <c:v>56.307200000000002</c:v>
                </c:pt>
                <c:pt idx="10">
                  <c:v>56.073900000000002</c:v>
                </c:pt>
                <c:pt idx="11">
                  <c:v>55.590300000000006</c:v>
                </c:pt>
                <c:pt idx="12">
                  <c:v>54.954899999999995</c:v>
                </c:pt>
                <c:pt idx="13">
                  <c:v>54.413400000000003</c:v>
                </c:pt>
                <c:pt idx="14">
                  <c:v>53.8125</c:v>
                </c:pt>
                <c:pt idx="15">
                  <c:v>52.669999999999995</c:v>
                </c:pt>
                <c:pt idx="16">
                  <c:v>51.307299999999998</c:v>
                </c:pt>
                <c:pt idx="17">
                  <c:v>49.835900000000002</c:v>
                </c:pt>
                <c:pt idx="18">
                  <c:v>47.9</c:v>
                </c:pt>
                <c:pt idx="19">
                  <c:v>46.957000000000001</c:v>
                </c:pt>
                <c:pt idx="20">
                  <c:v>45.884399999999999</c:v>
                </c:pt>
                <c:pt idx="21">
                  <c:v>44.829299999999996</c:v>
                </c:pt>
                <c:pt idx="22">
                  <c:v>43.695499999999996</c:v>
                </c:pt>
                <c:pt idx="23">
                  <c:v>42.836800000000004</c:v>
                </c:pt>
                <c:pt idx="24">
                  <c:v>41.168399999999998</c:v>
                </c:pt>
                <c:pt idx="25">
                  <c:v>37.676700000000004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4.6467499999999999</c:v>
                </c:pt>
                <c:pt idx="1">
                  <c:v>4.0344100000000003</c:v>
                </c:pt>
              </c:numCache>
            </c:numRef>
          </c:xVal>
          <c:yVal>
            <c:numRef>
              <c:f>info!$W$2:$W$3</c:f>
              <c:numCache>
                <c:formatCode>0.00</c:formatCode>
                <c:ptCount val="2"/>
                <c:pt idx="0">
                  <c:v>48.816400000000002</c:v>
                </c:pt>
                <c:pt idx="1">
                  <c:v>43.695499999999996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3.9943299999999997</c:v>
                </c:pt>
                <c:pt idx="1">
                  <c:v>4.4576900000000004</c:v>
                </c:pt>
              </c:numCache>
            </c:numRef>
          </c:xVal>
          <c:yVal>
            <c:numRef>
              <c:f>info!$W$15:$W$16</c:f>
              <c:numCache>
                <c:formatCode>0.00_ </c:formatCode>
                <c:ptCount val="2"/>
                <c:pt idx="0">
                  <c:v>37.676700000000004</c:v>
                </c:pt>
                <c:pt idx="1">
                  <c:v>56.307200000000002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4.3172092307692314</c:v>
                </c:pt>
              </c:numCache>
            </c:numRef>
          </c:xVal>
          <c:yVal>
            <c:numRef>
              <c:f>info!$N$9</c:f>
              <c:numCache>
                <c:formatCode>0.0</c:formatCode>
                <c:ptCount val="1"/>
                <c:pt idx="0">
                  <c:v>50.284934615384614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41.330800000000004</c:v>
                </c:pt>
                <c:pt idx="1">
                  <c:v>23.501300000000001</c:v>
                </c:pt>
                <c:pt idx="2">
                  <c:v>13.3658</c:v>
                </c:pt>
                <c:pt idx="3">
                  <c:v>24.275099999999998</c:v>
                </c:pt>
                <c:pt idx="4">
                  <c:v>78.912400000000005</c:v>
                </c:pt>
                <c:pt idx="5">
                  <c:v>30.875299999999999</c:v>
                </c:pt>
                <c:pt idx="6">
                  <c:v>35.391300000000001</c:v>
                </c:pt>
                <c:pt idx="7">
                  <c:v>53.356099999999998</c:v>
                </c:pt>
                <c:pt idx="8">
                  <c:v>20.578900000000001</c:v>
                </c:pt>
                <c:pt idx="9">
                  <c:v>35.394399999999997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63.543479999999995</c:v>
                </c:pt>
                <c:pt idx="1">
                  <c:v>63.543479999999995</c:v>
                </c:pt>
                <c:pt idx="2">
                  <c:v>0</c:v>
                </c:pt>
              </c:numCache>
            </c:numRef>
          </c:xVal>
          <c:yVal>
            <c:numRef>
              <c:f>'R2'!$I$5:$I$7</c:f>
              <c:numCache>
                <c:formatCode>0.0_ </c:formatCode>
                <c:ptCount val="3"/>
                <c:pt idx="0">
                  <c:v>0</c:v>
                </c:pt>
                <c:pt idx="1">
                  <c:v>72.909117674668352</c:v>
                </c:pt>
                <c:pt idx="2">
                  <c:v>72.909117674668352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71.588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71.588333333333338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2.1476500000000001</c:v>
                </c:pt>
                <c:pt idx="1">
                  <c:v>2.1476500000000001</c:v>
                </c:pt>
                <c:pt idx="2">
                  <c:v>0</c:v>
                </c:pt>
              </c:numCache>
            </c:numRef>
          </c:xVal>
          <c:yVal>
            <c:numRef>
              <c:f>'R3'!$I$6:$I$8</c:f>
              <c:numCache>
                <c:formatCode>0.0_ </c:formatCode>
                <c:ptCount val="3"/>
                <c:pt idx="0">
                  <c:v>0</c:v>
                </c:pt>
                <c:pt idx="1">
                  <c:v>63.584675776159763</c:v>
                </c:pt>
                <c:pt idx="2">
                  <c:v>63.584675776159763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-2.2089789964957154</c:v>
                </c:pt>
                <c:pt idx="1">
                  <c:v>-2.2089789964957154</c:v>
                </c:pt>
                <c:pt idx="2">
                  <c:v>-7</c:v>
                </c:pt>
              </c:numCache>
            </c:numRef>
          </c:xVal>
          <c:yVal>
            <c:numRef>
              <c:f>'R'!$I$5:$I$7</c:f>
              <c:numCache>
                <c:formatCode>0.0_ </c:formatCode>
                <c:ptCount val="3"/>
                <c:pt idx="0">
                  <c:v>0</c:v>
                </c:pt>
                <c:pt idx="1">
                  <c:v>20.19468952817164</c:v>
                </c:pt>
                <c:pt idx="2">
                  <c:v>20.19468952817164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-2.2089789964957154</c:v>
                </c:pt>
              </c:numCache>
            </c:numRef>
          </c:xVal>
          <c:yVal>
            <c:numRef>
              <c:f>'R'!$I$4</c:f>
              <c:numCache>
                <c:formatCode>0.00_ </c:formatCode>
                <c:ptCount val="1"/>
                <c:pt idx="0">
                  <c:v>20.19468952817164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0.39235999999999999</c:v>
                </c:pt>
                <c:pt idx="2">
                  <c:v>0.79806500000000002</c:v>
                </c:pt>
                <c:pt idx="3">
                  <c:v>1.20719</c:v>
                </c:pt>
                <c:pt idx="4">
                  <c:v>1.61449</c:v>
                </c:pt>
                <c:pt idx="5">
                  <c:v>2.0167000000000002</c:v>
                </c:pt>
                <c:pt idx="6">
                  <c:v>2.4243299999999999</c:v>
                </c:pt>
                <c:pt idx="7">
                  <c:v>2.8290000000000002</c:v>
                </c:pt>
                <c:pt idx="8">
                  <c:v>3.2372999999999998</c:v>
                </c:pt>
                <c:pt idx="9">
                  <c:v>3.6471100000000001</c:v>
                </c:pt>
                <c:pt idx="10">
                  <c:v>4.0579700000000001</c:v>
                </c:pt>
                <c:pt idx="11">
                  <c:v>4.4573900000000002</c:v>
                </c:pt>
                <c:pt idx="12">
                  <c:v>4.8640100000000004</c:v>
                </c:pt>
                <c:pt idx="13">
                  <c:v>5.2690900000000003</c:v>
                </c:pt>
                <c:pt idx="14">
                  <c:v>5.6760299999999999</c:v>
                </c:pt>
                <c:pt idx="15">
                  <c:v>6.0843999999999996</c:v>
                </c:pt>
                <c:pt idx="16">
                  <c:v>6.48956</c:v>
                </c:pt>
                <c:pt idx="17">
                  <c:v>6.8968499999999997</c:v>
                </c:pt>
                <c:pt idx="18">
                  <c:v>7.3084300000000004</c:v>
                </c:pt>
                <c:pt idx="19">
                  <c:v>7.7060000000000004</c:v>
                </c:pt>
                <c:pt idx="20">
                  <c:v>8.1173800000000007</c:v>
                </c:pt>
                <c:pt idx="21">
                  <c:v>8.5208200000000005</c:v>
                </c:pt>
                <c:pt idx="22">
                  <c:v>8.9434199999999997</c:v>
                </c:pt>
                <c:pt idx="23">
                  <c:v>9.3358899999999991</c:v>
                </c:pt>
                <c:pt idx="24">
                  <c:v>9.7427899999999994</c:v>
                </c:pt>
                <c:pt idx="25">
                  <c:v>10.148099999999999</c:v>
                </c:pt>
              </c:numCache>
            </c:numRef>
          </c:xVal>
          <c:yVal>
            <c:numRef>
              <c:f>FT!$J$2:$J$2000</c:f>
              <c:numCache>
                <c:formatCode>General</c:formatCode>
                <c:ptCount val="1999"/>
                <c:pt idx="0">
                  <c:v>4.68405</c:v>
                </c:pt>
                <c:pt idx="1">
                  <c:v>4.6467499999999999</c:v>
                </c:pt>
                <c:pt idx="2">
                  <c:v>4.6045699999999998</c:v>
                </c:pt>
                <c:pt idx="3">
                  <c:v>4.5506700000000002</c:v>
                </c:pt>
                <c:pt idx="4">
                  <c:v>4.5075799999999999</c:v>
                </c:pt>
                <c:pt idx="5">
                  <c:v>4.4880300000000002</c:v>
                </c:pt>
                <c:pt idx="6">
                  <c:v>4.4780499999999996</c:v>
                </c:pt>
                <c:pt idx="7">
                  <c:v>4.4762899999999997</c:v>
                </c:pt>
                <c:pt idx="8">
                  <c:v>4.4681500000000005</c:v>
                </c:pt>
                <c:pt idx="9">
                  <c:v>4.4576900000000004</c:v>
                </c:pt>
                <c:pt idx="10">
                  <c:v>4.4435799999999999</c:v>
                </c:pt>
                <c:pt idx="11">
                  <c:v>4.4230999999999998</c:v>
                </c:pt>
                <c:pt idx="12">
                  <c:v>4.383</c:v>
                </c:pt>
                <c:pt idx="13">
                  <c:v>4.3415699999999999</c:v>
                </c:pt>
                <c:pt idx="14">
                  <c:v>4.2944300000000002</c:v>
                </c:pt>
                <c:pt idx="15">
                  <c:v>4.24343</c:v>
                </c:pt>
                <c:pt idx="16">
                  <c:v>4.18492</c:v>
                </c:pt>
                <c:pt idx="17">
                  <c:v>4.1380099999999995</c:v>
                </c:pt>
                <c:pt idx="18">
                  <c:v>4.1086499999999999</c:v>
                </c:pt>
                <c:pt idx="19">
                  <c:v>4.0952699999999993</c:v>
                </c:pt>
                <c:pt idx="20">
                  <c:v>4.0811799999999998</c:v>
                </c:pt>
                <c:pt idx="21">
                  <c:v>4.0573300000000003</c:v>
                </c:pt>
                <c:pt idx="22">
                  <c:v>4.0344100000000003</c:v>
                </c:pt>
                <c:pt idx="23">
                  <c:v>4.0286300000000006</c:v>
                </c:pt>
                <c:pt idx="24">
                  <c:v>4.0337699999999996</c:v>
                </c:pt>
                <c:pt idx="25">
                  <c:v>3.9943299999999997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4.68405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4.68405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4.68405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4.68405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4.68405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4.68405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4.68405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4.68405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4.68405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4.68405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4.68405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4.68405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4.68405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4.68405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4.68405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4.68405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4.68405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4.68405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4.68405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4.68405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4.68405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4.68405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4.68405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4.68405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0.39235999999999999</c:v>
                </c:pt>
                <c:pt idx="2">
                  <c:v>0.79806500000000002</c:v>
                </c:pt>
                <c:pt idx="3">
                  <c:v>1.20719</c:v>
                </c:pt>
                <c:pt idx="4">
                  <c:v>1.61449</c:v>
                </c:pt>
                <c:pt idx="5">
                  <c:v>2.0167000000000002</c:v>
                </c:pt>
                <c:pt idx="6">
                  <c:v>2.4243299999999999</c:v>
                </c:pt>
                <c:pt idx="7">
                  <c:v>2.8290000000000002</c:v>
                </c:pt>
                <c:pt idx="8">
                  <c:v>3.2372999999999998</c:v>
                </c:pt>
                <c:pt idx="9">
                  <c:v>3.6471100000000001</c:v>
                </c:pt>
                <c:pt idx="10">
                  <c:v>4.0579700000000001</c:v>
                </c:pt>
                <c:pt idx="11">
                  <c:v>4.4573900000000002</c:v>
                </c:pt>
                <c:pt idx="12">
                  <c:v>4.8640100000000004</c:v>
                </c:pt>
                <c:pt idx="13">
                  <c:v>5.2690900000000003</c:v>
                </c:pt>
                <c:pt idx="14">
                  <c:v>5.6760299999999999</c:v>
                </c:pt>
                <c:pt idx="15">
                  <c:v>6.0843999999999996</c:v>
                </c:pt>
                <c:pt idx="16">
                  <c:v>6.48956</c:v>
                </c:pt>
                <c:pt idx="17">
                  <c:v>6.8968499999999997</c:v>
                </c:pt>
                <c:pt idx="18">
                  <c:v>7.3084300000000004</c:v>
                </c:pt>
                <c:pt idx="19">
                  <c:v>7.7060000000000004</c:v>
                </c:pt>
                <c:pt idx="20">
                  <c:v>8.1173800000000007</c:v>
                </c:pt>
                <c:pt idx="21">
                  <c:v>8.5208200000000005</c:v>
                </c:pt>
                <c:pt idx="22">
                  <c:v>8.9434199999999997</c:v>
                </c:pt>
                <c:pt idx="23">
                  <c:v>9.3358899999999991</c:v>
                </c:pt>
                <c:pt idx="24">
                  <c:v>9.7427899999999994</c:v>
                </c:pt>
                <c:pt idx="25">
                  <c:v>10.148099999999999</c:v>
                </c:pt>
              </c:numCache>
            </c:numRef>
          </c:xVal>
          <c:yVal>
            <c:numRef>
              <c:f>FT!$K$2:$K$2000</c:f>
              <c:numCache>
                <c:formatCode>General</c:formatCode>
                <c:ptCount val="1999"/>
                <c:pt idx="0">
                  <c:v>48.366900000000001</c:v>
                </c:pt>
                <c:pt idx="1">
                  <c:v>48.816400000000002</c:v>
                </c:pt>
                <c:pt idx="2">
                  <c:v>49.805799999999998</c:v>
                </c:pt>
                <c:pt idx="3">
                  <c:v>51.362099999999998</c:v>
                </c:pt>
                <c:pt idx="4">
                  <c:v>52.696399999999997</c:v>
                </c:pt>
                <c:pt idx="5">
                  <c:v>53.884699999999995</c:v>
                </c:pt>
                <c:pt idx="6">
                  <c:v>54.880099999999999</c:v>
                </c:pt>
                <c:pt idx="7">
                  <c:v>55.519200000000005</c:v>
                </c:pt>
                <c:pt idx="8">
                  <c:v>56.163200000000003</c:v>
                </c:pt>
                <c:pt idx="9">
                  <c:v>56.307200000000002</c:v>
                </c:pt>
                <c:pt idx="10">
                  <c:v>56.073900000000002</c:v>
                </c:pt>
                <c:pt idx="11">
                  <c:v>55.590300000000006</c:v>
                </c:pt>
                <c:pt idx="12">
                  <c:v>54.954899999999995</c:v>
                </c:pt>
                <c:pt idx="13">
                  <c:v>54.413400000000003</c:v>
                </c:pt>
                <c:pt idx="14">
                  <c:v>53.8125</c:v>
                </c:pt>
                <c:pt idx="15">
                  <c:v>52.669999999999995</c:v>
                </c:pt>
                <c:pt idx="16">
                  <c:v>51.307299999999998</c:v>
                </c:pt>
                <c:pt idx="17">
                  <c:v>49.835900000000002</c:v>
                </c:pt>
                <c:pt idx="18">
                  <c:v>47.9</c:v>
                </c:pt>
                <c:pt idx="19">
                  <c:v>46.957000000000001</c:v>
                </c:pt>
                <c:pt idx="20">
                  <c:v>45.884399999999999</c:v>
                </c:pt>
                <c:pt idx="21">
                  <c:v>44.829299999999996</c:v>
                </c:pt>
                <c:pt idx="22">
                  <c:v>43.695499999999996</c:v>
                </c:pt>
                <c:pt idx="23">
                  <c:v>42.836800000000004</c:v>
                </c:pt>
                <c:pt idx="24">
                  <c:v>41.168399999999998</c:v>
                </c:pt>
                <c:pt idx="25">
                  <c:v>37.676700000000004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48.366900000000001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48.366900000000001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48.366900000000001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48.366900000000001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48.366900000000001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48.366900000000001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48.366900000000001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48.366900000000001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48.366900000000001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48.366900000000001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48.366900000000001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48.366900000000001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48.366900000000001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48.366900000000001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48.366900000000001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48.366900000000001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48.366900000000001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48.366900000000001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48.366900000000001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48.366900000000001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48.366900000000001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48.366900000000001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48.366900000000001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48.366900000000001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0.39235999999999999</c:v>
                </c:pt>
                <c:pt idx="2">
                  <c:v>0.79806500000000002</c:v>
                </c:pt>
                <c:pt idx="3">
                  <c:v>1.20719</c:v>
                </c:pt>
                <c:pt idx="4">
                  <c:v>1.61449</c:v>
                </c:pt>
                <c:pt idx="5">
                  <c:v>2.0167000000000002</c:v>
                </c:pt>
                <c:pt idx="6">
                  <c:v>2.4243299999999999</c:v>
                </c:pt>
                <c:pt idx="7">
                  <c:v>2.8290000000000002</c:v>
                </c:pt>
                <c:pt idx="8">
                  <c:v>3.2372999999999998</c:v>
                </c:pt>
                <c:pt idx="9">
                  <c:v>3.6471100000000001</c:v>
                </c:pt>
                <c:pt idx="10">
                  <c:v>4.0579700000000001</c:v>
                </c:pt>
                <c:pt idx="11">
                  <c:v>4.4573900000000002</c:v>
                </c:pt>
                <c:pt idx="12">
                  <c:v>4.8640100000000004</c:v>
                </c:pt>
                <c:pt idx="13">
                  <c:v>5.2690900000000003</c:v>
                </c:pt>
                <c:pt idx="14">
                  <c:v>5.6760299999999999</c:v>
                </c:pt>
                <c:pt idx="15">
                  <c:v>6.0843999999999996</c:v>
                </c:pt>
                <c:pt idx="16">
                  <c:v>6.48956</c:v>
                </c:pt>
                <c:pt idx="17">
                  <c:v>6.8968499999999997</c:v>
                </c:pt>
                <c:pt idx="18">
                  <c:v>7.3084300000000004</c:v>
                </c:pt>
                <c:pt idx="19">
                  <c:v>7.7060000000000004</c:v>
                </c:pt>
                <c:pt idx="20">
                  <c:v>8.1173800000000007</c:v>
                </c:pt>
                <c:pt idx="21">
                  <c:v>8.5208200000000005</c:v>
                </c:pt>
                <c:pt idx="22">
                  <c:v>8.9434199999999997</c:v>
                </c:pt>
                <c:pt idx="23">
                  <c:v>9.3358899999999991</c:v>
                </c:pt>
                <c:pt idx="24">
                  <c:v>9.7427899999999994</c:v>
                </c:pt>
                <c:pt idx="25">
                  <c:v>10.148099999999999</c:v>
                </c:pt>
              </c:numCache>
            </c:numRef>
          </c:xVal>
          <c:yVal>
            <c:numRef>
              <c:f>FT!$L$2:$L$2000</c:f>
              <c:numCache>
                <c:formatCode>General</c:formatCode>
                <c:ptCount val="1999"/>
                <c:pt idx="0">
                  <c:v>10.325871841675474</c:v>
                </c:pt>
                <c:pt idx="1">
                  <c:v>10.505493086565879</c:v>
                </c:pt>
                <c:pt idx="2">
                  <c:v>10.816601767374587</c:v>
                </c:pt>
                <c:pt idx="3">
                  <c:v>11.286711627079088</c:v>
                </c:pt>
                <c:pt idx="4">
                  <c:v>11.690618913030939</c:v>
                </c:pt>
                <c:pt idx="5">
                  <c:v>12.006314574546069</c:v>
                </c:pt>
                <c:pt idx="6">
                  <c:v>12.255356684271057</c:v>
                </c:pt>
                <c:pt idx="7">
                  <c:v>12.402949764202054</c:v>
                </c:pt>
                <c:pt idx="8">
                  <c:v>12.569676488031959</c:v>
                </c:pt>
                <c:pt idx="9">
                  <c:v>12.631475046492689</c:v>
                </c:pt>
                <c:pt idx="10">
                  <c:v>12.619081911431774</c:v>
                </c:pt>
                <c:pt idx="11">
                  <c:v>12.568176166037397</c:v>
                </c:pt>
                <c:pt idx="12">
                  <c:v>12.538193018480492</c:v>
                </c:pt>
                <c:pt idx="13">
                  <c:v>12.533115900469186</c:v>
                </c:pt>
                <c:pt idx="14">
                  <c:v>12.530766597662552</c:v>
                </c:pt>
                <c:pt idx="15">
                  <c:v>12.412128867449209</c:v>
                </c:pt>
                <c:pt idx="16">
                  <c:v>12.260043202737448</c:v>
                </c:pt>
                <c:pt idx="17">
                  <c:v>12.043446004238755</c:v>
                </c:pt>
                <c:pt idx="18">
                  <c:v>11.658330595207671</c:v>
                </c:pt>
                <c:pt idx="19">
                  <c:v>11.466154856700538</c:v>
                </c:pt>
                <c:pt idx="20">
                  <c:v>11.242924840364797</c:v>
                </c:pt>
                <c:pt idx="21">
                  <c:v>11.048965699117398</c:v>
                </c:pt>
                <c:pt idx="22">
                  <c:v>10.830703869958679</c:v>
                </c:pt>
                <c:pt idx="23">
                  <c:v>10.633093632326622</c:v>
                </c:pt>
                <c:pt idx="24">
                  <c:v>10.205936382094171</c:v>
                </c:pt>
                <c:pt idx="25">
                  <c:v>9.4325456334353959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1.3015200460217719E-3</c:v>
                </c:pt>
                <c:pt idx="7">
                  <c:v>0</c:v>
                </c:pt>
                <c:pt idx="8">
                  <c:v>0</c:v>
                </c:pt>
                <c:pt idx="9">
                  <c:v>6.073767590052217E-3</c:v>
                </c:pt>
                <c:pt idx="10">
                  <c:v>4.7722420125674847E-3</c:v>
                </c:pt>
                <c:pt idx="11">
                  <c:v>4.1214819895565987E-3</c:v>
                </c:pt>
                <c:pt idx="12">
                  <c:v>0</c:v>
                </c:pt>
                <c:pt idx="13">
                  <c:v>1.4461346136826269E-2</c:v>
                </c:pt>
                <c:pt idx="14">
                  <c:v>1.5256715196035048E-2</c:v>
                </c:pt>
                <c:pt idx="15">
                  <c:v>1.3376736879369857E-2</c:v>
                </c:pt>
                <c:pt idx="16">
                  <c:v>1.4461346136826269E-2</c:v>
                </c:pt>
                <c:pt idx="17">
                  <c:v>7.0860806266041243E-3</c:v>
                </c:pt>
                <c:pt idx="18">
                  <c:v>3.6876438180369945E-3</c:v>
                </c:pt>
                <c:pt idx="19">
                  <c:v>5.1337784317196222E-3</c:v>
                </c:pt>
                <c:pt idx="20">
                  <c:v>3.9045601380653162E-3</c:v>
                </c:pt>
                <c:pt idx="21">
                  <c:v>1.3882865740331003E-2</c:v>
                </c:pt>
                <c:pt idx="22">
                  <c:v>1.0990629701743519E-2</c:v>
                </c:pt>
                <c:pt idx="23">
                  <c:v>7.3752655102221447E-3</c:v>
                </c:pt>
                <c:pt idx="24">
                  <c:v>5.1337784317196222E-3</c:v>
                </c:pt>
                <c:pt idx="25">
                  <c:v>9.03835516417382E-3</c:v>
                </c:pt>
                <c:pt idx="26">
                  <c:v>7.3029692893176396E-3</c:v>
                </c:pt>
                <c:pt idx="27">
                  <c:v>2.386123772015223E-3</c:v>
                </c:pt>
                <c:pt idx="28">
                  <c:v>1.4461346136826268E-3</c:v>
                </c:pt>
                <c:pt idx="29">
                  <c:v>3.54302925037614E-3</c:v>
                </c:pt>
                <c:pt idx="30">
                  <c:v>2.7476546597043987E-3</c:v>
                </c:pt>
                <c:pt idx="31">
                  <c:v>5.6399349499955754E-3</c:v>
                </c:pt>
                <c:pt idx="32">
                  <c:v>6.9414328701655013E-3</c:v>
                </c:pt>
                <c:pt idx="33">
                  <c:v>2.9645765111956813E-3</c:v>
                </c:pt>
                <c:pt idx="34">
                  <c:v>5.2060801840870877E-3</c:v>
                </c:pt>
                <c:pt idx="35">
                  <c:v>3.1091855473935749E-3</c:v>
                </c:pt>
                <c:pt idx="36">
                  <c:v>5.350694751747943E-3</c:v>
                </c:pt>
                <c:pt idx="37">
                  <c:v>5.4230020355783707E-3</c:v>
                </c:pt>
                <c:pt idx="38">
                  <c:v>7.2306730684131345E-3</c:v>
                </c:pt>
                <c:pt idx="39">
                  <c:v>6.2906562527657323E-3</c:v>
                </c:pt>
                <c:pt idx="40">
                  <c:v>4.6276274449066294E-3</c:v>
                </c:pt>
                <c:pt idx="41">
                  <c:v>9.9060204442871051E-3</c:v>
                </c:pt>
                <c:pt idx="42">
                  <c:v>8.0260421276219136E-3</c:v>
                </c:pt>
                <c:pt idx="43">
                  <c:v>4.0491747057261711E-3</c:v>
                </c:pt>
                <c:pt idx="44">
                  <c:v>3.1814928312240026E-3</c:v>
                </c:pt>
                <c:pt idx="45">
                  <c:v>3.2538001150544298E-3</c:v>
                </c:pt>
                <c:pt idx="46">
                  <c:v>6.2906562527657323E-3</c:v>
                </c:pt>
                <c:pt idx="47">
                  <c:v>2.5307328082131166E-3</c:v>
                </c:pt>
                <c:pt idx="48">
                  <c:v>1.0122964421630234E-3</c:v>
                </c:pt>
                <c:pt idx="49">
                  <c:v>5.350694751747943E-3</c:v>
                </c:pt>
                <c:pt idx="50">
                  <c:v>6.5798964510133647E-3</c:v>
                </c:pt>
                <c:pt idx="51">
                  <c:v>7.3752655102221447E-3</c:v>
                </c:pt>
                <c:pt idx="52">
                  <c:v>1.2653664041065582E-2</c:v>
                </c:pt>
                <c:pt idx="53">
                  <c:v>1.4172105938578637E-2</c:v>
                </c:pt>
                <c:pt idx="54">
                  <c:v>1.5256715196035048E-2</c:v>
                </c:pt>
                <c:pt idx="55">
                  <c:v>1.3521329321178867E-2</c:v>
                </c:pt>
                <c:pt idx="56">
                  <c:v>1.8510542968404285E-2</c:v>
                </c:pt>
                <c:pt idx="57">
                  <c:v>2.6319641118683072E-2</c:v>
                </c:pt>
                <c:pt idx="58">
                  <c:v>2.646423356049208E-2</c:v>
                </c:pt>
                <c:pt idx="59">
                  <c:v>2.7476546597043988E-2</c:v>
                </c:pt>
                <c:pt idx="60">
                  <c:v>1.7208989733604747E-2</c:v>
                </c:pt>
                <c:pt idx="61">
                  <c:v>4.5408609168953007E-2</c:v>
                </c:pt>
                <c:pt idx="62">
                  <c:v>5.582075847420126E-2</c:v>
                </c:pt>
                <c:pt idx="63">
                  <c:v>5.8351402779006994E-2</c:v>
                </c:pt>
                <c:pt idx="64">
                  <c:v>4.4396296132401106E-2</c:v>
                </c:pt>
                <c:pt idx="65">
                  <c:v>5.2494689795557131E-2</c:v>
                </c:pt>
                <c:pt idx="66">
                  <c:v>6.7028055580139842E-2</c:v>
                </c:pt>
                <c:pt idx="67">
                  <c:v>5.8929993804761494E-2</c:v>
                </c:pt>
                <c:pt idx="68">
                  <c:v>5.3217762633861403E-2</c:v>
                </c:pt>
                <c:pt idx="69">
                  <c:v>0.10325415966014692</c:v>
                </c:pt>
                <c:pt idx="70">
                  <c:v>9.1106513850783263E-2</c:v>
                </c:pt>
                <c:pt idx="71">
                  <c:v>8.7418687494468544E-2</c:v>
                </c:pt>
                <c:pt idx="72">
                  <c:v>9.1467718382157712E-2</c:v>
                </c:pt>
                <c:pt idx="73">
                  <c:v>0.17411441277989204</c:v>
                </c:pt>
                <c:pt idx="74">
                  <c:v>7.8597663510045143E-2</c:v>
                </c:pt>
                <c:pt idx="75">
                  <c:v>0.12993517125409329</c:v>
                </c:pt>
                <c:pt idx="76">
                  <c:v>0.12067992742720597</c:v>
                </c:pt>
                <c:pt idx="77">
                  <c:v>0.24352874148154707</c:v>
                </c:pt>
                <c:pt idx="78">
                  <c:v>0.10491691742632092</c:v>
                </c:pt>
                <c:pt idx="79">
                  <c:v>0.19963879546862556</c:v>
                </c:pt>
                <c:pt idx="80">
                  <c:v>0.16926995751836446</c:v>
                </c:pt>
                <c:pt idx="81">
                  <c:v>0.36666740419506155</c:v>
                </c:pt>
                <c:pt idx="82">
                  <c:v>0.16811332861315162</c:v>
                </c:pt>
                <c:pt idx="83">
                  <c:v>0.23767202849809721</c:v>
                </c:pt>
                <c:pt idx="84">
                  <c:v>0.39255299141516953</c:v>
                </c:pt>
                <c:pt idx="85">
                  <c:v>0</c:v>
                </c:pt>
                <c:pt idx="86">
                  <c:v>0.50918388795468628</c:v>
                </c:pt>
                <c:pt idx="87">
                  <c:v>0.51200382777236919</c:v>
                </c:pt>
                <c:pt idx="88">
                  <c:v>0.26608881316930705</c:v>
                </c:pt>
                <c:pt idx="89">
                  <c:v>0.28640698291884242</c:v>
                </c:pt>
                <c:pt idx="90">
                  <c:v>0.51265432781662101</c:v>
                </c:pt>
                <c:pt idx="91">
                  <c:v>0.33485264182671037</c:v>
                </c:pt>
                <c:pt idx="92">
                  <c:v>0.50809916806797062</c:v>
                </c:pt>
                <c:pt idx="93">
                  <c:v>0.26232852464819895</c:v>
                </c:pt>
                <c:pt idx="94">
                  <c:v>0.61800269935392516</c:v>
                </c:pt>
                <c:pt idx="95">
                  <c:v>0.27418687494468541</c:v>
                </c:pt>
                <c:pt idx="96">
                  <c:v>0.38929938490131871</c:v>
                </c:pt>
                <c:pt idx="97">
                  <c:v>0.54577119656606776</c:v>
                </c:pt>
                <c:pt idx="98">
                  <c:v>0.38908255155323485</c:v>
                </c:pt>
                <c:pt idx="99">
                  <c:v>0.5359373617134261</c:v>
                </c:pt>
                <c:pt idx="100">
                  <c:v>0.29421574918134352</c:v>
                </c:pt>
                <c:pt idx="101">
                  <c:v>0.3655826843083459</c:v>
                </c:pt>
                <c:pt idx="102">
                  <c:v>0.43499701301000093</c:v>
                </c:pt>
                <c:pt idx="103">
                  <c:v>0.8592187361713427</c:v>
                </c:pt>
                <c:pt idx="104">
                  <c:v>0.26579951765642978</c:v>
                </c:pt>
                <c:pt idx="105">
                  <c:v>0.5037608416674042</c:v>
                </c:pt>
                <c:pt idx="106">
                  <c:v>0.56565293388795479</c:v>
                </c:pt>
                <c:pt idx="107">
                  <c:v>0.45423046287282065</c:v>
                </c:pt>
                <c:pt idx="108">
                  <c:v>0.48828712717939649</c:v>
                </c:pt>
                <c:pt idx="109">
                  <c:v>0.4412154836711214</c:v>
                </c:pt>
                <c:pt idx="110">
                  <c:v>0.6112100628374193</c:v>
                </c:pt>
                <c:pt idx="111">
                  <c:v>0.48857642269227369</c:v>
                </c:pt>
                <c:pt idx="112">
                  <c:v>0.40571289494645546</c:v>
                </c:pt>
                <c:pt idx="113">
                  <c:v>0.64042171873617137</c:v>
                </c:pt>
                <c:pt idx="114">
                  <c:v>0.39848216656341273</c:v>
                </c:pt>
                <c:pt idx="115">
                  <c:v>0.45849688025488988</c:v>
                </c:pt>
                <c:pt idx="116">
                  <c:v>0.66760885919107893</c:v>
                </c:pt>
                <c:pt idx="117">
                  <c:v>0.30101281086821846</c:v>
                </c:pt>
                <c:pt idx="118">
                  <c:v>0.64649526506770516</c:v>
                </c:pt>
                <c:pt idx="119">
                  <c:v>0.46247344897778569</c:v>
                </c:pt>
                <c:pt idx="120">
                  <c:v>0.45220594742897607</c:v>
                </c:pt>
                <c:pt idx="121">
                  <c:v>0.66001416054518103</c:v>
                </c:pt>
                <c:pt idx="122">
                  <c:v>0.29710815116381983</c:v>
                </c:pt>
                <c:pt idx="123">
                  <c:v>0.73167426320913354</c:v>
                </c:pt>
                <c:pt idx="124">
                  <c:v>0.31872787414815473</c:v>
                </c:pt>
                <c:pt idx="125">
                  <c:v>0.16854699530931944</c:v>
                </c:pt>
                <c:pt idx="126">
                  <c:v>0.99587906009381377</c:v>
                </c:pt>
                <c:pt idx="127">
                  <c:v>0</c:v>
                </c:pt>
                <c:pt idx="128">
                  <c:v>1</c:v>
                </c:pt>
                <c:pt idx="129">
                  <c:v>0</c:v>
                </c:pt>
                <c:pt idx="130">
                  <c:v>0.74555270377909555</c:v>
                </c:pt>
                <c:pt idx="131">
                  <c:v>0.30195260642534744</c:v>
                </c:pt>
                <c:pt idx="132">
                  <c:v>0.28626205858925569</c:v>
                </c:pt>
                <c:pt idx="133">
                  <c:v>0.5731757235153554</c:v>
                </c:pt>
                <c:pt idx="134">
                  <c:v>0.21757069209664576</c:v>
                </c:pt>
                <c:pt idx="135">
                  <c:v>0.38691311177980353</c:v>
                </c:pt>
                <c:pt idx="136">
                  <c:v>0.32516317815735907</c:v>
                </c:pt>
                <c:pt idx="137">
                  <c:v>0.39486680237189137</c:v>
                </c:pt>
                <c:pt idx="138">
                  <c:v>0.34034759713248963</c:v>
                </c:pt>
                <c:pt idx="139">
                  <c:v>0.15343503849898221</c:v>
                </c:pt>
                <c:pt idx="140">
                  <c:v>0.26406429772546247</c:v>
                </c:pt>
                <c:pt idx="141">
                  <c:v>0.33029692893176388</c:v>
                </c:pt>
                <c:pt idx="142">
                  <c:v>0.20368782635631474</c:v>
                </c:pt>
                <c:pt idx="143">
                  <c:v>0.31142523674661476</c:v>
                </c:pt>
                <c:pt idx="144">
                  <c:v>0.17707927692716172</c:v>
                </c:pt>
                <c:pt idx="145">
                  <c:v>0.10180768209576069</c:v>
                </c:pt>
                <c:pt idx="146">
                  <c:v>0.27585018585715554</c:v>
                </c:pt>
                <c:pt idx="147">
                  <c:v>0.10752002389592</c:v>
                </c:pt>
                <c:pt idx="148">
                  <c:v>0.13933478626427118</c:v>
                </c:pt>
                <c:pt idx="149">
                  <c:v>0.10491691742632092</c:v>
                </c:pt>
                <c:pt idx="150">
                  <c:v>0.10130155323479954</c:v>
                </c:pt>
                <c:pt idx="151">
                  <c:v>0.15806266041242589</c:v>
                </c:pt>
                <c:pt idx="152">
                  <c:v>5.3145411098327287E-2</c:v>
                </c:pt>
                <c:pt idx="153">
                  <c:v>9.739689353040093E-2</c:v>
                </c:pt>
                <c:pt idx="154">
                  <c:v>0.1634132445349146</c:v>
                </c:pt>
                <c:pt idx="155">
                  <c:v>4.5480905389857516E-2</c:v>
                </c:pt>
                <c:pt idx="156">
                  <c:v>0.10065105319054785</c:v>
                </c:pt>
                <c:pt idx="157">
                  <c:v>0.11865541198336135</c:v>
                </c:pt>
                <c:pt idx="158">
                  <c:v>4.0925579697318352E-2</c:v>
                </c:pt>
                <c:pt idx="159">
                  <c:v>8.6262058589255688E-2</c:v>
                </c:pt>
                <c:pt idx="160">
                  <c:v>2.4078126382865744E-2</c:v>
                </c:pt>
                <c:pt idx="161">
                  <c:v>6.001471369147713E-2</c:v>
                </c:pt>
                <c:pt idx="162">
                  <c:v>5.5893220638994601E-2</c:v>
                </c:pt>
                <c:pt idx="163">
                  <c:v>2.4295070360208868E-2</c:v>
                </c:pt>
                <c:pt idx="164">
                  <c:v>3.5285644747322778E-2</c:v>
                </c:pt>
                <c:pt idx="165">
                  <c:v>7.8814496858129052E-3</c:v>
                </c:pt>
                <c:pt idx="166">
                  <c:v>2.899498849455704E-2</c:v>
                </c:pt>
                <c:pt idx="167">
                  <c:v>6.073767590052217E-3</c:v>
                </c:pt>
                <c:pt idx="168">
                  <c:v>1.2870608018408709E-2</c:v>
                </c:pt>
                <c:pt idx="169">
                  <c:v>1.3232144437560848E-2</c:v>
                </c:pt>
                <c:pt idx="170">
                  <c:v>0</c:v>
                </c:pt>
                <c:pt idx="171">
                  <c:v>1.6269028232586955E-2</c:v>
                </c:pt>
                <c:pt idx="172">
                  <c:v>1.8221302770156652E-2</c:v>
                </c:pt>
                <c:pt idx="173">
                  <c:v>3.0368837950261085E-3</c:v>
                </c:pt>
                <c:pt idx="174">
                  <c:v>1.0267556863439244E-2</c:v>
                </c:pt>
                <c:pt idx="175">
                  <c:v>0</c:v>
                </c:pt>
                <c:pt idx="176">
                  <c:v>5.1337784317196222E-3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0.66960701614025997</c:v>
                </c:pt>
                <c:pt idx="6">
                  <c:v>1</c:v>
                </c:pt>
                <c:pt idx="7">
                  <c:v>0</c:v>
                </c:pt>
                <c:pt idx="8">
                  <c:v>0</c:v>
                </c:pt>
                <c:pt idx="9">
                  <c:v>0.36552483910691091</c:v>
                </c:pt>
                <c:pt idx="10">
                  <c:v>0.78485398797404016</c:v>
                </c:pt>
                <c:pt idx="11">
                  <c:v>0.69829383292164438</c:v>
                </c:pt>
                <c:pt idx="12">
                  <c:v>0.25178717786100235</c:v>
                </c:pt>
                <c:pt idx="13">
                  <c:v>0.1371827158294403</c:v>
                </c:pt>
                <c:pt idx="14">
                  <c:v>0.5591429734643405</c:v>
                </c:pt>
                <c:pt idx="15">
                  <c:v>0.44213177166269801</c:v>
                </c:pt>
                <c:pt idx="16">
                  <c:v>0.67205454956433641</c:v>
                </c:pt>
                <c:pt idx="17">
                  <c:v>0.22880101872886663</c:v>
                </c:pt>
                <c:pt idx="18">
                  <c:v>0.42062431032472947</c:v>
                </c:pt>
                <c:pt idx="19">
                  <c:v>0.33356450517406927</c:v>
                </c:pt>
                <c:pt idx="20">
                  <c:v>0.36670776925711285</c:v>
                </c:pt>
                <c:pt idx="21">
                  <c:v>0.29879970699718122</c:v>
                </c:pt>
                <c:pt idx="22">
                  <c:v>0.4141587853155515</c:v>
                </c:pt>
                <c:pt idx="23">
                  <c:v>0.38148459754419545</c:v>
                </c:pt>
                <c:pt idx="24">
                  <c:v>0.22953527329509169</c:v>
                </c:pt>
                <c:pt idx="25">
                  <c:v>0.24591316473547839</c:v>
                </c:pt>
                <c:pt idx="26">
                  <c:v>0.35605095179653645</c:v>
                </c:pt>
                <c:pt idx="27">
                  <c:v>0.37018529368567754</c:v>
                </c:pt>
                <c:pt idx="28">
                  <c:v>0.34134549095002659</c:v>
                </c:pt>
                <c:pt idx="29">
                  <c:v>0.27459997371543715</c:v>
                </c:pt>
                <c:pt idx="30">
                  <c:v>0.21655328776957572</c:v>
                </c:pt>
                <c:pt idx="31">
                  <c:v>0.23770383389042532</c:v>
                </c:pt>
                <c:pt idx="32">
                  <c:v>0.28822443783746921</c:v>
                </c:pt>
                <c:pt idx="33">
                  <c:v>0.13662183234234165</c:v>
                </c:pt>
                <c:pt idx="34">
                  <c:v>0.26421846856113673</c:v>
                </c:pt>
                <c:pt idx="35">
                  <c:v>0.14626908293041702</c:v>
                </c:pt>
                <c:pt idx="36">
                  <c:v>0.26492214934078501</c:v>
                </c:pt>
                <c:pt idx="37">
                  <c:v>0.1224364925346365</c:v>
                </c:pt>
                <c:pt idx="38">
                  <c:v>0.2285358716800312</c:v>
                </c:pt>
                <c:pt idx="39">
                  <c:v>0.16302428251420786</c:v>
                </c:pt>
                <c:pt idx="40">
                  <c:v>0.21589043184962547</c:v>
                </c:pt>
                <c:pt idx="41">
                  <c:v>0.15982214840617423</c:v>
                </c:pt>
                <c:pt idx="42">
                  <c:v>0.10235674667512216</c:v>
                </c:pt>
                <c:pt idx="43">
                  <c:v>9.6023814693925652E-2</c:v>
                </c:pt>
                <c:pt idx="44">
                  <c:v>0.18648976122972685</c:v>
                </c:pt>
                <c:pt idx="45">
                  <c:v>0.1353776844061565</c:v>
                </c:pt>
                <c:pt idx="46">
                  <c:v>0.17510885446036598</c:v>
                </c:pt>
                <c:pt idx="47">
                  <c:v>8.711081867207536E-2</c:v>
                </c:pt>
                <c:pt idx="48">
                  <c:v>0.12395597618137415</c:v>
                </c:pt>
                <c:pt idx="49">
                  <c:v>0.11989720654512763</c:v>
                </c:pt>
                <c:pt idx="50">
                  <c:v>0.15792532541033041</c:v>
                </c:pt>
                <c:pt idx="51">
                  <c:v>3.9792372237341639E-2</c:v>
                </c:pt>
                <c:pt idx="52">
                  <c:v>0.18550055607780899</c:v>
                </c:pt>
                <c:pt idx="53">
                  <c:v>0.10923015361428108</c:v>
                </c:pt>
                <c:pt idx="54">
                  <c:v>0.10835312515978295</c:v>
                </c:pt>
                <c:pt idx="55">
                  <c:v>6.8744328266135829E-2</c:v>
                </c:pt>
                <c:pt idx="56">
                  <c:v>0.10297881674250198</c:v>
                </c:pt>
                <c:pt idx="57">
                  <c:v>0.13484738250706019</c:v>
                </c:pt>
                <c:pt idx="58">
                  <c:v>9.8328550825452443E-2</c:v>
                </c:pt>
                <c:pt idx="59">
                  <c:v>9.6462325020461967E-2</c:v>
                </c:pt>
                <c:pt idx="60">
                  <c:v>9.426977338778042E-2</c:v>
                </c:pt>
                <c:pt idx="61">
                  <c:v>9.144493962172541E-2</c:v>
                </c:pt>
                <c:pt idx="62">
                  <c:v>8.8497740496533583E-2</c:v>
                </c:pt>
                <c:pt idx="63">
                  <c:v>0.11925472794861158</c:v>
                </c:pt>
                <c:pt idx="64">
                  <c:v>8.65295422586915E-2</c:v>
                </c:pt>
                <c:pt idx="65">
                  <c:v>5.6119273560589794E-2</c:v>
                </c:pt>
                <c:pt idx="66">
                  <c:v>8.6131817784725631E-2</c:v>
                </c:pt>
                <c:pt idx="67">
                  <c:v>8.4653119990558412E-2</c:v>
                </c:pt>
                <c:pt idx="68">
                  <c:v>0.11072924433473351</c:v>
                </c:pt>
                <c:pt idx="69">
                  <c:v>5.3620773423651374E-2</c:v>
                </c:pt>
                <c:pt idx="70">
                  <c:v>0.10643591703907941</c:v>
                </c:pt>
                <c:pt idx="71">
                  <c:v>7.6586547430927382E-2</c:v>
                </c:pt>
                <c:pt idx="72">
                  <c:v>5.0622584181320984E-2</c:v>
                </c:pt>
                <c:pt idx="73">
                  <c:v>9.9174982089097238E-2</c:v>
                </c:pt>
                <c:pt idx="74">
                  <c:v>7.2252418679851826E-2</c:v>
                </c:pt>
                <c:pt idx="75">
                  <c:v>6.9070661895252419E-2</c:v>
                </c:pt>
                <c:pt idx="76">
                  <c:v>7.0396397139429454E-2</c:v>
                </c:pt>
                <c:pt idx="77">
                  <c:v>6.7041269275703641E-2</c:v>
                </c:pt>
                <c:pt idx="78">
                  <c:v>6.4400003051917662E-2</c:v>
                </c:pt>
                <c:pt idx="79">
                  <c:v>6.4552965601907833E-2</c:v>
                </c:pt>
                <c:pt idx="80">
                  <c:v>8.5071229589383984E-2</c:v>
                </c:pt>
                <c:pt idx="81">
                  <c:v>4.0169695983596786E-2</c:v>
                </c:pt>
                <c:pt idx="82">
                  <c:v>7.9207412927002646E-2</c:v>
                </c:pt>
                <c:pt idx="83">
                  <c:v>1.6653234952364732E-2</c:v>
                </c:pt>
                <c:pt idx="84">
                  <c:v>9.4371753622057533E-2</c:v>
                </c:pt>
                <c:pt idx="85">
                  <c:v>0</c:v>
                </c:pt>
                <c:pt idx="86">
                  <c:v>8.9894858784134418E-2</c:v>
                </c:pt>
                <c:pt idx="87">
                  <c:v>8.3092834888399275E-2</c:v>
                </c:pt>
                <c:pt idx="88">
                  <c:v>1.4368899548548669E-2</c:v>
                </c:pt>
                <c:pt idx="89">
                  <c:v>6.4858906304739186E-2</c:v>
                </c:pt>
                <c:pt idx="90">
                  <c:v>4.4228473421268816E-2</c:v>
                </c:pt>
                <c:pt idx="91">
                  <c:v>4.3127091571931224E-2</c:v>
                </c:pt>
                <c:pt idx="92">
                  <c:v>4.2382648343989068E-2</c:v>
                </c:pt>
                <c:pt idx="93">
                  <c:v>3.9578215305644794E-2</c:v>
                </c:pt>
                <c:pt idx="94">
                  <c:v>3.9374254837090554E-2</c:v>
                </c:pt>
                <c:pt idx="95">
                  <c:v>2.5015551751684493E-2</c:v>
                </c:pt>
                <c:pt idx="96">
                  <c:v>4.7675377254703638E-2</c:v>
                </c:pt>
                <c:pt idx="97">
                  <c:v>4.6217072386821642E-2</c:v>
                </c:pt>
                <c:pt idx="98">
                  <c:v>2.2374285527898514E-2</c:v>
                </c:pt>
                <c:pt idx="99">
                  <c:v>3.2572223139929912E-2</c:v>
                </c:pt>
                <c:pt idx="100">
                  <c:v>4.0485825348145245E-2</c:v>
                </c:pt>
                <c:pt idx="101">
                  <c:v>1.9161931552445759E-2</c:v>
                </c:pt>
                <c:pt idx="102">
                  <c:v>4.7022709996470478E-2</c:v>
                </c:pt>
                <c:pt idx="103">
                  <c:v>1.7662833030567811E-2</c:v>
                </c:pt>
                <c:pt idx="104">
                  <c:v>2.4454660463160336E-2</c:v>
                </c:pt>
                <c:pt idx="105">
                  <c:v>1.6969379919764212E-2</c:v>
                </c:pt>
                <c:pt idx="106">
                  <c:v>3.152183920915639E-2</c:v>
                </c:pt>
                <c:pt idx="107">
                  <c:v>1.6204528162685809E-2</c:v>
                </c:pt>
                <c:pt idx="108">
                  <c:v>2.9186513688201767E-2</c:v>
                </c:pt>
                <c:pt idx="109">
                  <c:v>1.9355695557857391E-2</c:v>
                </c:pt>
                <c:pt idx="110">
                  <c:v>2.4984954560831156E-2</c:v>
                </c:pt>
                <c:pt idx="111">
                  <c:v>1.3216535383498028E-2</c:v>
                </c:pt>
                <c:pt idx="112">
                  <c:v>1.6581851908940952E-2</c:v>
                </c:pt>
                <c:pt idx="113">
                  <c:v>1.6265714742966977E-2</c:v>
                </c:pt>
                <c:pt idx="114">
                  <c:v>2.0752813845458223E-2</c:v>
                </c:pt>
                <c:pt idx="115">
                  <c:v>9.6472505880753553E-3</c:v>
                </c:pt>
                <c:pt idx="116">
                  <c:v>1.4868596455366149E-2</c:v>
                </c:pt>
                <c:pt idx="117">
                  <c:v>1.5653841138729769E-2</c:v>
                </c:pt>
                <c:pt idx="118">
                  <c:v>9.3311134221013853E-3</c:v>
                </c:pt>
                <c:pt idx="119">
                  <c:v>1.0065367988326445E-2</c:v>
                </c:pt>
                <c:pt idx="120">
                  <c:v>1.4766616221089029E-2</c:v>
                </c:pt>
                <c:pt idx="121">
                  <c:v>9.1985437983964358E-3</c:v>
                </c:pt>
                <c:pt idx="122">
                  <c:v>4.8236291947504331E-3</c:v>
                </c:pt>
                <c:pt idx="123">
                  <c:v>1.4623850134241468E-2</c:v>
                </c:pt>
                <c:pt idx="124">
                  <c:v>1.9580017746994808E-3</c:v>
                </c:pt>
                <c:pt idx="125">
                  <c:v>7.1691511788476645E-3</c:v>
                </c:pt>
                <c:pt idx="126">
                  <c:v>1.0871005597975287E-2</c:v>
                </c:pt>
                <c:pt idx="127">
                  <c:v>0</c:v>
                </c:pt>
                <c:pt idx="128">
                  <c:v>1.3185938192644688E-2</c:v>
                </c:pt>
                <c:pt idx="129">
                  <c:v>0</c:v>
                </c:pt>
                <c:pt idx="130">
                  <c:v>7.3833081105445144E-3</c:v>
                </c:pt>
                <c:pt idx="131">
                  <c:v>4.9460023553127728E-3</c:v>
                </c:pt>
                <c:pt idx="132">
                  <c:v>1.0911775847694703E-3</c:v>
                </c:pt>
                <c:pt idx="133">
                  <c:v>7.1283575248517143E-3</c:v>
                </c:pt>
                <c:pt idx="134">
                  <c:v>2.1823629709644518E-3</c:v>
                </c:pt>
                <c:pt idx="135">
                  <c:v>3.3041299451617516E-3</c:v>
                </c:pt>
                <c:pt idx="136">
                  <c:v>4.7114524973307032E-3</c:v>
                </c:pt>
                <c:pt idx="137">
                  <c:v>2.5494824526514715E-3</c:v>
                </c:pt>
                <c:pt idx="138">
                  <c:v>2.1211685892577711E-3</c:v>
                </c:pt>
                <c:pt idx="139">
                  <c:v>2.7738436489164421E-3</c:v>
                </c:pt>
                <c:pt idx="140">
                  <c:v>2.4577064829424716E-3</c:v>
                </c:pt>
                <c:pt idx="141">
                  <c:v>1.162568429618761E-3</c:v>
                </c:pt>
                <c:pt idx="142">
                  <c:v>2.2537460143882315E-3</c:v>
                </c:pt>
                <c:pt idx="143">
                  <c:v>1.6826582627214608E-3</c:v>
                </c:pt>
                <c:pt idx="144">
                  <c:v>1.4685013310246108E-3</c:v>
                </c:pt>
                <c:pt idx="145">
                  <c:v>7.9544114650623057E-4</c:v>
                </c:pt>
                <c:pt idx="146">
                  <c:v>1.4990985218779509E-3</c:v>
                </c:pt>
                <c:pt idx="147">
                  <c:v>8.1583407279145037E-4</c:v>
                </c:pt>
                <c:pt idx="148">
                  <c:v>1.2441479361851508E-3</c:v>
                </c:pt>
                <c:pt idx="149">
                  <c:v>5.2009763452821065E-4</c:v>
                </c:pt>
                <c:pt idx="150">
                  <c:v>9.4841149792191087E-4</c:v>
                </c:pt>
                <c:pt idx="151">
                  <c:v>4.895004436748702E-4</c:v>
                </c:pt>
                <c:pt idx="152">
                  <c:v>4.9969690681748004E-4</c:v>
                </c:pt>
                <c:pt idx="153">
                  <c:v>3.6712728311253035E-4</c:v>
                </c:pt>
                <c:pt idx="154">
                  <c:v>8.2603053593406021E-4</c:v>
                </c:pt>
                <c:pt idx="155">
                  <c:v>3.3653009225919001E-4</c:v>
                </c:pt>
                <c:pt idx="156">
                  <c:v>6.1187360423721005E-4</c:v>
                </c:pt>
                <c:pt idx="157">
                  <c:v>4.0792093710848059E-4</c:v>
                </c:pt>
                <c:pt idx="158">
                  <c:v>2.1415693169685014E-4</c:v>
                </c:pt>
                <c:pt idx="159">
                  <c:v>3.1613716597397032E-4</c:v>
                </c:pt>
                <c:pt idx="160">
                  <c:v>3.0594070283136043E-4</c:v>
                </c:pt>
                <c:pt idx="161">
                  <c:v>9.178377113451029E-5</c:v>
                </c:pt>
                <c:pt idx="162">
                  <c:v>1.3256962370494972E-4</c:v>
                </c:pt>
                <c:pt idx="163">
                  <c:v>1.0198023427712015E-4</c:v>
                </c:pt>
                <c:pt idx="164">
                  <c:v>1.0198023427712015E-4</c:v>
                </c:pt>
                <c:pt idx="165">
                  <c:v>4.0793653995950216E-5</c:v>
                </c:pt>
                <c:pt idx="166">
                  <c:v>7.1383043423779781E-5</c:v>
                </c:pt>
                <c:pt idx="167">
                  <c:v>4.0793653995950216E-5</c:v>
                </c:pt>
                <c:pt idx="168">
                  <c:v>1.0196463142609855E-5</c:v>
                </c:pt>
                <c:pt idx="169">
                  <c:v>5.0990117138560073E-5</c:v>
                </c:pt>
                <c:pt idx="170">
                  <c:v>5.0990117138560073E-5</c:v>
                </c:pt>
                <c:pt idx="171">
                  <c:v>0</c:v>
                </c:pt>
                <c:pt idx="172">
                  <c:v>6.1186580281169924E-5</c:v>
                </c:pt>
                <c:pt idx="173">
                  <c:v>1.0196463142609855E-5</c:v>
                </c:pt>
                <c:pt idx="174">
                  <c:v>3.0597190853340359E-5</c:v>
                </c:pt>
                <c:pt idx="175">
                  <c:v>0</c:v>
                </c:pt>
                <c:pt idx="176">
                  <c:v>2.0392926285219711E-5</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(67.6 , 63.6)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67.608601951854226</c:v>
                </c:pt>
              </c:numCache>
            </c:numRef>
          </c:xVal>
          <c:yVal>
            <c:numRef>
              <c:f>info!$W$20:$W$21</c:f>
              <c:numCache>
                <c:formatCode>General</c:formatCode>
                <c:ptCount val="2"/>
                <c:pt idx="0">
                  <c:v>50</c:v>
                </c:pt>
                <c:pt idx="1">
                  <c:v>63.584675776159763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62.856199999999994</c:v>
                      </c:pt>
                    </c:numCache>
                  </c:numRef>
                </c:xVal>
                <c:yVal>
                  <c:numRef>
                    <c:extLst>
                      <c:ext uri="{02D57815-91ED-43cb-92C2-25804820EDAC}">
                        <c15:formulaRef>
                          <c15:sqref>info!$W$18</c15:sqref>
                        </c15:formulaRef>
                      </c:ext>
                    </c:extLst>
                    <c:numCache>
                      <c:formatCode>General</c:formatCode>
                      <c:ptCount val="1"/>
                      <c:pt idx="0">
                        <c:v>53.9651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(67.6 , 63.6)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67.608601951854226</c:v>
                </c:pt>
              </c:numCache>
            </c:numRef>
          </c:xVal>
          <c:yVal>
            <c:numRef>
              <c:f>info!$W$20:$W$21</c:f>
              <c:numCache>
                <c:formatCode>General</c:formatCode>
                <c:ptCount val="2"/>
                <c:pt idx="0">
                  <c:v>50</c:v>
                </c:pt>
                <c:pt idx="1">
                  <c:v>63.584675776159763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41.330800000000004</c:v>
                </c:pt>
                <c:pt idx="1">
                  <c:v>23.501300000000001</c:v>
                </c:pt>
                <c:pt idx="2">
                  <c:v>13.3658</c:v>
                </c:pt>
                <c:pt idx="3">
                  <c:v>24.275099999999998</c:v>
                </c:pt>
                <c:pt idx="4">
                  <c:v>78.912400000000005</c:v>
                </c:pt>
                <c:pt idx="5">
                  <c:v>30.875299999999999</c:v>
                </c:pt>
                <c:pt idx="6">
                  <c:v>35.391300000000001</c:v>
                </c:pt>
                <c:pt idx="7">
                  <c:v>53.356099999999998</c:v>
                </c:pt>
                <c:pt idx="8">
                  <c:v>20.578900000000001</c:v>
                </c:pt>
                <c:pt idx="9">
                  <c:v>35.394399999999997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0.48076726091263761</c:v>
                </c:pt>
                <c:pt idx="1">
                  <c:v>0.24814586200375005</c:v>
                </c:pt>
                <c:pt idx="2">
                  <c:v>0.27108687708361229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1.3015200460217719E-3</c:v>
                </c:pt>
                <c:pt idx="7">
                  <c:v>0</c:v>
                </c:pt>
                <c:pt idx="8">
                  <c:v>0</c:v>
                </c:pt>
                <c:pt idx="9">
                  <c:v>6.073767590052217E-3</c:v>
                </c:pt>
                <c:pt idx="10">
                  <c:v>4.7722420125674847E-3</c:v>
                </c:pt>
                <c:pt idx="11">
                  <c:v>4.1214819895565987E-3</c:v>
                </c:pt>
                <c:pt idx="12">
                  <c:v>0</c:v>
                </c:pt>
                <c:pt idx="13">
                  <c:v>1.4461346136826269E-2</c:v>
                </c:pt>
                <c:pt idx="14">
                  <c:v>1.5256715196035048E-2</c:v>
                </c:pt>
                <c:pt idx="15">
                  <c:v>1.3376736879369857E-2</c:v>
                </c:pt>
                <c:pt idx="16">
                  <c:v>1.4461346136826269E-2</c:v>
                </c:pt>
                <c:pt idx="17">
                  <c:v>7.0860806266041243E-3</c:v>
                </c:pt>
                <c:pt idx="18">
                  <c:v>3.6876438180369945E-3</c:v>
                </c:pt>
                <c:pt idx="19">
                  <c:v>5.1337784317196222E-3</c:v>
                </c:pt>
                <c:pt idx="20">
                  <c:v>3.9045601380653162E-3</c:v>
                </c:pt>
                <c:pt idx="21">
                  <c:v>1.3882865740331003E-2</c:v>
                </c:pt>
                <c:pt idx="22">
                  <c:v>1.0990629701743519E-2</c:v>
                </c:pt>
                <c:pt idx="23">
                  <c:v>7.3752655102221447E-3</c:v>
                </c:pt>
                <c:pt idx="24">
                  <c:v>5.1337784317196222E-3</c:v>
                </c:pt>
                <c:pt idx="25">
                  <c:v>9.03835516417382E-3</c:v>
                </c:pt>
                <c:pt idx="26">
                  <c:v>7.3029692893176396E-3</c:v>
                </c:pt>
                <c:pt idx="27">
                  <c:v>2.386123772015223E-3</c:v>
                </c:pt>
                <c:pt idx="28">
                  <c:v>1.4461346136826268E-3</c:v>
                </c:pt>
                <c:pt idx="29">
                  <c:v>3.54302925037614E-3</c:v>
                </c:pt>
                <c:pt idx="30">
                  <c:v>2.7476546597043987E-3</c:v>
                </c:pt>
                <c:pt idx="31">
                  <c:v>5.6399349499955754E-3</c:v>
                </c:pt>
                <c:pt idx="32">
                  <c:v>6.9414328701655013E-3</c:v>
                </c:pt>
                <c:pt idx="33">
                  <c:v>2.9645765111956813E-3</c:v>
                </c:pt>
                <c:pt idx="34">
                  <c:v>5.2060801840870877E-3</c:v>
                </c:pt>
                <c:pt idx="35">
                  <c:v>3.1091855473935749E-3</c:v>
                </c:pt>
                <c:pt idx="36">
                  <c:v>5.350694751747943E-3</c:v>
                </c:pt>
                <c:pt idx="37">
                  <c:v>5.4230020355783707E-3</c:v>
                </c:pt>
                <c:pt idx="38">
                  <c:v>7.2306730684131345E-3</c:v>
                </c:pt>
                <c:pt idx="39">
                  <c:v>6.2906562527657323E-3</c:v>
                </c:pt>
                <c:pt idx="40">
                  <c:v>4.6276274449066294E-3</c:v>
                </c:pt>
                <c:pt idx="41">
                  <c:v>9.9060204442871051E-3</c:v>
                </c:pt>
                <c:pt idx="42">
                  <c:v>8.0260421276219136E-3</c:v>
                </c:pt>
                <c:pt idx="43">
                  <c:v>4.0491747057261711E-3</c:v>
                </c:pt>
                <c:pt idx="44">
                  <c:v>3.1814928312240026E-3</c:v>
                </c:pt>
                <c:pt idx="45">
                  <c:v>3.2538001150544298E-3</c:v>
                </c:pt>
                <c:pt idx="46">
                  <c:v>6.2906562527657323E-3</c:v>
                </c:pt>
                <c:pt idx="47">
                  <c:v>2.5307328082131166E-3</c:v>
                </c:pt>
                <c:pt idx="48">
                  <c:v>1.0122964421630234E-3</c:v>
                </c:pt>
                <c:pt idx="49">
                  <c:v>5.350694751747943E-3</c:v>
                </c:pt>
                <c:pt idx="50">
                  <c:v>6.5798964510133647E-3</c:v>
                </c:pt>
                <c:pt idx="51">
                  <c:v>7.3752655102221447E-3</c:v>
                </c:pt>
                <c:pt idx="52">
                  <c:v>1.2653664041065582E-2</c:v>
                </c:pt>
                <c:pt idx="53">
                  <c:v>1.4172105938578637E-2</c:v>
                </c:pt>
                <c:pt idx="54">
                  <c:v>1.5256715196035048E-2</c:v>
                </c:pt>
                <c:pt idx="55">
                  <c:v>1.3521329321178867E-2</c:v>
                </c:pt>
                <c:pt idx="56">
                  <c:v>1.8510542968404285E-2</c:v>
                </c:pt>
                <c:pt idx="57">
                  <c:v>2.6319641118683072E-2</c:v>
                </c:pt>
                <c:pt idx="58">
                  <c:v>2.646423356049208E-2</c:v>
                </c:pt>
                <c:pt idx="59">
                  <c:v>2.7476546597043988E-2</c:v>
                </c:pt>
                <c:pt idx="60">
                  <c:v>1.7208989733604747E-2</c:v>
                </c:pt>
                <c:pt idx="61">
                  <c:v>4.5408609168953007E-2</c:v>
                </c:pt>
                <c:pt idx="62">
                  <c:v>5.582075847420126E-2</c:v>
                </c:pt>
                <c:pt idx="63">
                  <c:v>5.8351402779006994E-2</c:v>
                </c:pt>
                <c:pt idx="64">
                  <c:v>4.4396296132401106E-2</c:v>
                </c:pt>
                <c:pt idx="65">
                  <c:v>5.2494689795557131E-2</c:v>
                </c:pt>
                <c:pt idx="66">
                  <c:v>6.7028055580139842E-2</c:v>
                </c:pt>
                <c:pt idx="67">
                  <c:v>5.8929993804761494E-2</c:v>
                </c:pt>
                <c:pt idx="68">
                  <c:v>5.3217762633861403E-2</c:v>
                </c:pt>
                <c:pt idx="69">
                  <c:v>0.10325415966014692</c:v>
                </c:pt>
                <c:pt idx="70">
                  <c:v>9.1106513850783263E-2</c:v>
                </c:pt>
                <c:pt idx="71">
                  <c:v>8.7418687494468544E-2</c:v>
                </c:pt>
                <c:pt idx="72">
                  <c:v>9.1467718382157712E-2</c:v>
                </c:pt>
                <c:pt idx="73">
                  <c:v>0.17411441277989204</c:v>
                </c:pt>
                <c:pt idx="74">
                  <c:v>7.8597663510045143E-2</c:v>
                </c:pt>
                <c:pt idx="75">
                  <c:v>0.12993517125409329</c:v>
                </c:pt>
                <c:pt idx="76">
                  <c:v>0.12067992742720597</c:v>
                </c:pt>
                <c:pt idx="77">
                  <c:v>0.24352874148154707</c:v>
                </c:pt>
                <c:pt idx="78">
                  <c:v>0.10491691742632092</c:v>
                </c:pt>
                <c:pt idx="79">
                  <c:v>0.19963879546862556</c:v>
                </c:pt>
                <c:pt idx="80">
                  <c:v>0.16926995751836446</c:v>
                </c:pt>
                <c:pt idx="81">
                  <c:v>0.36666740419506155</c:v>
                </c:pt>
                <c:pt idx="82">
                  <c:v>0.16811332861315162</c:v>
                </c:pt>
                <c:pt idx="83">
                  <c:v>0.23767202849809721</c:v>
                </c:pt>
                <c:pt idx="84">
                  <c:v>0.39255299141516953</c:v>
                </c:pt>
                <c:pt idx="85">
                  <c:v>0</c:v>
                </c:pt>
                <c:pt idx="86">
                  <c:v>0.50918388795468628</c:v>
                </c:pt>
                <c:pt idx="87">
                  <c:v>0.51200382777236919</c:v>
                </c:pt>
                <c:pt idx="88">
                  <c:v>0.26608881316930705</c:v>
                </c:pt>
                <c:pt idx="89">
                  <c:v>0.28640698291884242</c:v>
                </c:pt>
                <c:pt idx="90">
                  <c:v>0.51265432781662101</c:v>
                </c:pt>
                <c:pt idx="91">
                  <c:v>0.33485264182671037</c:v>
                </c:pt>
                <c:pt idx="92">
                  <c:v>0.50809916806797062</c:v>
                </c:pt>
                <c:pt idx="93">
                  <c:v>0.26232852464819895</c:v>
                </c:pt>
                <c:pt idx="94">
                  <c:v>0.61800269935392516</c:v>
                </c:pt>
                <c:pt idx="95">
                  <c:v>0.27418687494468541</c:v>
                </c:pt>
                <c:pt idx="96">
                  <c:v>0.38929938490131871</c:v>
                </c:pt>
                <c:pt idx="97">
                  <c:v>0.54577119656606776</c:v>
                </c:pt>
                <c:pt idx="98">
                  <c:v>0.38908255155323485</c:v>
                </c:pt>
                <c:pt idx="99">
                  <c:v>0.5359373617134261</c:v>
                </c:pt>
                <c:pt idx="100">
                  <c:v>0.29421574918134352</c:v>
                </c:pt>
                <c:pt idx="101">
                  <c:v>0.3655826843083459</c:v>
                </c:pt>
                <c:pt idx="102">
                  <c:v>0.43499701301000093</c:v>
                </c:pt>
                <c:pt idx="103">
                  <c:v>0.8592187361713427</c:v>
                </c:pt>
                <c:pt idx="104">
                  <c:v>0.26579951765642978</c:v>
                </c:pt>
                <c:pt idx="105">
                  <c:v>0.5037608416674042</c:v>
                </c:pt>
                <c:pt idx="106">
                  <c:v>0.56565293388795479</c:v>
                </c:pt>
                <c:pt idx="107">
                  <c:v>0.45423046287282065</c:v>
                </c:pt>
                <c:pt idx="108">
                  <c:v>0.48828712717939649</c:v>
                </c:pt>
                <c:pt idx="109">
                  <c:v>0.4412154836711214</c:v>
                </c:pt>
                <c:pt idx="110">
                  <c:v>0.6112100628374193</c:v>
                </c:pt>
                <c:pt idx="111">
                  <c:v>0.48857642269227369</c:v>
                </c:pt>
                <c:pt idx="112">
                  <c:v>0.40571289494645546</c:v>
                </c:pt>
                <c:pt idx="113">
                  <c:v>0.64042171873617137</c:v>
                </c:pt>
                <c:pt idx="114">
                  <c:v>0.39848216656341273</c:v>
                </c:pt>
                <c:pt idx="115">
                  <c:v>0.45849688025488988</c:v>
                </c:pt>
                <c:pt idx="116">
                  <c:v>0.66760885919107893</c:v>
                </c:pt>
                <c:pt idx="117">
                  <c:v>0.30101281086821846</c:v>
                </c:pt>
                <c:pt idx="118">
                  <c:v>0.64649526506770516</c:v>
                </c:pt>
                <c:pt idx="119">
                  <c:v>0.46247344897778569</c:v>
                </c:pt>
                <c:pt idx="120">
                  <c:v>0.45220594742897607</c:v>
                </c:pt>
                <c:pt idx="121">
                  <c:v>0.66001416054518103</c:v>
                </c:pt>
                <c:pt idx="122">
                  <c:v>0.29710815116381983</c:v>
                </c:pt>
                <c:pt idx="123">
                  <c:v>0.73167426320913354</c:v>
                </c:pt>
                <c:pt idx="124">
                  <c:v>0.31872787414815473</c:v>
                </c:pt>
                <c:pt idx="125">
                  <c:v>0.16854699530931944</c:v>
                </c:pt>
                <c:pt idx="126">
                  <c:v>0.99587906009381377</c:v>
                </c:pt>
                <c:pt idx="127">
                  <c:v>0</c:v>
                </c:pt>
                <c:pt idx="128">
                  <c:v>1</c:v>
                </c:pt>
                <c:pt idx="129">
                  <c:v>0</c:v>
                </c:pt>
                <c:pt idx="130">
                  <c:v>0.74555270377909555</c:v>
                </c:pt>
                <c:pt idx="131">
                  <c:v>0.30195260642534744</c:v>
                </c:pt>
                <c:pt idx="132">
                  <c:v>0.28626205858925569</c:v>
                </c:pt>
                <c:pt idx="133">
                  <c:v>0.5731757235153554</c:v>
                </c:pt>
                <c:pt idx="134">
                  <c:v>0.21757069209664576</c:v>
                </c:pt>
                <c:pt idx="135">
                  <c:v>0.38691311177980353</c:v>
                </c:pt>
                <c:pt idx="136">
                  <c:v>0.32516317815735907</c:v>
                </c:pt>
                <c:pt idx="137">
                  <c:v>0.39486680237189137</c:v>
                </c:pt>
                <c:pt idx="138">
                  <c:v>0.34034759713248963</c:v>
                </c:pt>
                <c:pt idx="139">
                  <c:v>0.15343503849898221</c:v>
                </c:pt>
                <c:pt idx="140">
                  <c:v>0.26406429772546247</c:v>
                </c:pt>
                <c:pt idx="141">
                  <c:v>0.33029692893176388</c:v>
                </c:pt>
                <c:pt idx="142">
                  <c:v>0.20368782635631474</c:v>
                </c:pt>
                <c:pt idx="143">
                  <c:v>0.31142523674661476</c:v>
                </c:pt>
                <c:pt idx="144">
                  <c:v>0.17707927692716172</c:v>
                </c:pt>
                <c:pt idx="145">
                  <c:v>0.10180768209576069</c:v>
                </c:pt>
                <c:pt idx="146">
                  <c:v>0.27585018585715554</c:v>
                </c:pt>
                <c:pt idx="147">
                  <c:v>0.10752002389592</c:v>
                </c:pt>
                <c:pt idx="148">
                  <c:v>0.13933478626427118</c:v>
                </c:pt>
                <c:pt idx="149">
                  <c:v>0.10491691742632092</c:v>
                </c:pt>
                <c:pt idx="150">
                  <c:v>0.10130155323479954</c:v>
                </c:pt>
                <c:pt idx="151">
                  <c:v>0.15806266041242589</c:v>
                </c:pt>
                <c:pt idx="152">
                  <c:v>5.3145411098327287E-2</c:v>
                </c:pt>
                <c:pt idx="153">
                  <c:v>9.739689353040093E-2</c:v>
                </c:pt>
                <c:pt idx="154">
                  <c:v>0.1634132445349146</c:v>
                </c:pt>
                <c:pt idx="155">
                  <c:v>4.5480905389857516E-2</c:v>
                </c:pt>
                <c:pt idx="156">
                  <c:v>0.10065105319054785</c:v>
                </c:pt>
                <c:pt idx="157">
                  <c:v>0.11865541198336135</c:v>
                </c:pt>
                <c:pt idx="158">
                  <c:v>4.0925579697318352E-2</c:v>
                </c:pt>
                <c:pt idx="159">
                  <c:v>8.6262058589255688E-2</c:v>
                </c:pt>
                <c:pt idx="160">
                  <c:v>2.4078126382865744E-2</c:v>
                </c:pt>
                <c:pt idx="161">
                  <c:v>6.001471369147713E-2</c:v>
                </c:pt>
                <c:pt idx="162">
                  <c:v>5.5893220638994601E-2</c:v>
                </c:pt>
                <c:pt idx="163">
                  <c:v>2.4295070360208868E-2</c:v>
                </c:pt>
                <c:pt idx="164">
                  <c:v>3.5285644747322778E-2</c:v>
                </c:pt>
                <c:pt idx="165">
                  <c:v>7.8814496858129052E-3</c:v>
                </c:pt>
                <c:pt idx="166">
                  <c:v>2.899498849455704E-2</c:v>
                </c:pt>
                <c:pt idx="167">
                  <c:v>6.073767590052217E-3</c:v>
                </c:pt>
                <c:pt idx="168">
                  <c:v>1.2870608018408709E-2</c:v>
                </c:pt>
                <c:pt idx="169">
                  <c:v>1.3232144437560848E-2</c:v>
                </c:pt>
                <c:pt idx="170">
                  <c:v>0</c:v>
                </c:pt>
                <c:pt idx="171">
                  <c:v>1.6269028232586955E-2</c:v>
                </c:pt>
                <c:pt idx="172">
                  <c:v>1.8221302770156652E-2</c:v>
                </c:pt>
                <c:pt idx="173">
                  <c:v>3.0368837950261085E-3</c:v>
                </c:pt>
                <c:pt idx="174">
                  <c:v>1.0267556863439244E-2</c:v>
                </c:pt>
                <c:pt idx="175">
                  <c:v>0</c:v>
                </c:pt>
                <c:pt idx="176">
                  <c:v>5.1337784317196222E-3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4.68405</c:v>
                </c:pt>
                <c:pt idx="1">
                  <c:v>4.6467499999999999</c:v>
                </c:pt>
                <c:pt idx="2">
                  <c:v>4.6045699999999998</c:v>
                </c:pt>
                <c:pt idx="3">
                  <c:v>4.5506700000000002</c:v>
                </c:pt>
                <c:pt idx="4">
                  <c:v>4.5075799999999999</c:v>
                </c:pt>
                <c:pt idx="5">
                  <c:v>4.4880300000000002</c:v>
                </c:pt>
                <c:pt idx="6">
                  <c:v>4.4780499999999996</c:v>
                </c:pt>
                <c:pt idx="7">
                  <c:v>4.4762899999999997</c:v>
                </c:pt>
                <c:pt idx="8">
                  <c:v>4.4681500000000005</c:v>
                </c:pt>
                <c:pt idx="9">
                  <c:v>4.4576900000000004</c:v>
                </c:pt>
                <c:pt idx="10">
                  <c:v>4.4435799999999999</c:v>
                </c:pt>
                <c:pt idx="11">
                  <c:v>4.4230999999999998</c:v>
                </c:pt>
                <c:pt idx="12">
                  <c:v>4.383</c:v>
                </c:pt>
                <c:pt idx="13">
                  <c:v>4.3415699999999999</c:v>
                </c:pt>
                <c:pt idx="14">
                  <c:v>4.2944300000000002</c:v>
                </c:pt>
                <c:pt idx="15">
                  <c:v>4.24343</c:v>
                </c:pt>
                <c:pt idx="16">
                  <c:v>4.18492</c:v>
                </c:pt>
                <c:pt idx="17">
                  <c:v>4.1380099999999995</c:v>
                </c:pt>
                <c:pt idx="18">
                  <c:v>4.1086499999999999</c:v>
                </c:pt>
                <c:pt idx="19">
                  <c:v>4.0952699999999993</c:v>
                </c:pt>
                <c:pt idx="20">
                  <c:v>4.0811799999999998</c:v>
                </c:pt>
                <c:pt idx="21">
                  <c:v>4.0573300000000003</c:v>
                </c:pt>
                <c:pt idx="22">
                  <c:v>4.0344100000000003</c:v>
                </c:pt>
                <c:pt idx="23">
                  <c:v>4.0286300000000006</c:v>
                </c:pt>
                <c:pt idx="24">
                  <c:v>4.0337699999999996</c:v>
                </c:pt>
                <c:pt idx="25">
                  <c:v>3.9943299999999997</c:v>
                </c:pt>
              </c:numCache>
              <c:extLst xmlns:c15="http://schemas.microsoft.com/office/drawing/2012/chart"/>
            </c:numRef>
          </c:xVal>
          <c:yVal>
            <c:numRef>
              <c:f>[0]!FT_PH</c:f>
              <c:numCache>
                <c:formatCode>0.00</c:formatCode>
                <c:ptCount val="26"/>
                <c:pt idx="0">
                  <c:v>48.366900000000001</c:v>
                </c:pt>
                <c:pt idx="1">
                  <c:v>48.816400000000002</c:v>
                </c:pt>
                <c:pt idx="2">
                  <c:v>49.805799999999998</c:v>
                </c:pt>
                <c:pt idx="3">
                  <c:v>51.362099999999998</c:v>
                </c:pt>
                <c:pt idx="4">
                  <c:v>52.696399999999997</c:v>
                </c:pt>
                <c:pt idx="5">
                  <c:v>53.884699999999995</c:v>
                </c:pt>
                <c:pt idx="6">
                  <c:v>54.880099999999999</c:v>
                </c:pt>
                <c:pt idx="7">
                  <c:v>55.519200000000005</c:v>
                </c:pt>
                <c:pt idx="8">
                  <c:v>56.163200000000003</c:v>
                </c:pt>
                <c:pt idx="9">
                  <c:v>56.307200000000002</c:v>
                </c:pt>
                <c:pt idx="10">
                  <c:v>56.073900000000002</c:v>
                </c:pt>
                <c:pt idx="11">
                  <c:v>55.590300000000006</c:v>
                </c:pt>
                <c:pt idx="12">
                  <c:v>54.954899999999995</c:v>
                </c:pt>
                <c:pt idx="13">
                  <c:v>54.413400000000003</c:v>
                </c:pt>
                <c:pt idx="14">
                  <c:v>53.8125</c:v>
                </c:pt>
                <c:pt idx="15">
                  <c:v>52.669999999999995</c:v>
                </c:pt>
                <c:pt idx="16">
                  <c:v>51.307299999999998</c:v>
                </c:pt>
                <c:pt idx="17">
                  <c:v>49.835900000000002</c:v>
                </c:pt>
                <c:pt idx="18">
                  <c:v>47.9</c:v>
                </c:pt>
                <c:pt idx="19">
                  <c:v>46.957000000000001</c:v>
                </c:pt>
                <c:pt idx="20">
                  <c:v>45.884399999999999</c:v>
                </c:pt>
                <c:pt idx="21">
                  <c:v>44.829299999999996</c:v>
                </c:pt>
                <c:pt idx="22">
                  <c:v>43.695499999999996</c:v>
                </c:pt>
                <c:pt idx="23">
                  <c:v>42.836800000000004</c:v>
                </c:pt>
                <c:pt idx="24">
                  <c:v>41.168399999999998</c:v>
                </c:pt>
                <c:pt idx="25">
                  <c:v>37.676700000000004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4.68405</c:v>
                </c:pt>
              </c:numCache>
            </c:numRef>
          </c:xVal>
          <c:yVal>
            <c:numRef>
              <c:f>[0]!FT_PH01</c:f>
              <c:numCache>
                <c:formatCode>0.00</c:formatCode>
                <c:ptCount val="1"/>
                <c:pt idx="0">
                  <c:v>48.366900000000001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4.68405</c:v>
                </c:pt>
              </c:numCache>
            </c:numRef>
          </c:xVal>
          <c:yVal>
            <c:numRef>
              <c:f>[0]!FT_PH02</c:f>
              <c:numCache>
                <c:formatCode>0.00</c:formatCode>
                <c:ptCount val="1"/>
                <c:pt idx="0">
                  <c:v>48.366900000000001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4.68405</c:v>
                </c:pt>
              </c:numCache>
            </c:numRef>
          </c:xVal>
          <c:yVal>
            <c:numRef>
              <c:f>[0]!FT_PH03</c:f>
              <c:numCache>
                <c:formatCode>0.00</c:formatCode>
                <c:ptCount val="1"/>
                <c:pt idx="0">
                  <c:v>48.366900000000001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4.68405</c:v>
                </c:pt>
              </c:numCache>
            </c:numRef>
          </c:xVal>
          <c:yVal>
            <c:numRef>
              <c:f>[0]!FT_PH04</c:f>
              <c:numCache>
                <c:formatCode>0.00</c:formatCode>
                <c:ptCount val="1"/>
                <c:pt idx="0">
                  <c:v>48.366900000000001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4.68405</c:v>
                </c:pt>
              </c:numCache>
            </c:numRef>
          </c:xVal>
          <c:yVal>
            <c:numRef>
              <c:f>[0]!FT_PH05</c:f>
              <c:numCache>
                <c:formatCode>0.00</c:formatCode>
                <c:ptCount val="1"/>
                <c:pt idx="0">
                  <c:v>48.366900000000001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4.68405</c:v>
                </c:pt>
              </c:numCache>
            </c:numRef>
          </c:xVal>
          <c:yVal>
            <c:numRef>
              <c:f>[0]!FT_PH06</c:f>
              <c:numCache>
                <c:formatCode>0.00</c:formatCode>
                <c:ptCount val="1"/>
                <c:pt idx="0">
                  <c:v>48.366900000000001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4.68405</c:v>
                </c:pt>
              </c:numCache>
            </c:numRef>
          </c:xVal>
          <c:yVal>
            <c:numRef>
              <c:f>[0]!FT_PH07</c:f>
              <c:numCache>
                <c:formatCode>0.00</c:formatCode>
                <c:ptCount val="1"/>
                <c:pt idx="0">
                  <c:v>48.366900000000001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4.68405</c:v>
                </c:pt>
              </c:numCache>
            </c:numRef>
          </c:xVal>
          <c:yVal>
            <c:numRef>
              <c:f>[0]!FT_PH08</c:f>
              <c:numCache>
                <c:formatCode>0.00</c:formatCode>
                <c:ptCount val="1"/>
                <c:pt idx="0">
                  <c:v>48.366900000000001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4.68405</c:v>
                </c:pt>
              </c:numCache>
            </c:numRef>
          </c:xVal>
          <c:yVal>
            <c:numRef>
              <c:f>[0]!FT_PH09</c:f>
              <c:numCache>
                <c:formatCode>0.00</c:formatCode>
                <c:ptCount val="1"/>
                <c:pt idx="0">
                  <c:v>48.366900000000001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4.68405</c:v>
                </c:pt>
              </c:numCache>
            </c:numRef>
          </c:xVal>
          <c:yVal>
            <c:numRef>
              <c:f>[0]!FT_PH10</c:f>
              <c:numCache>
                <c:formatCode>0.00</c:formatCode>
                <c:ptCount val="1"/>
                <c:pt idx="0">
                  <c:v>48.366900000000001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4.68405</c:v>
                </c:pt>
              </c:numCache>
            </c:numRef>
          </c:xVal>
          <c:yVal>
            <c:numRef>
              <c:f>[0]!FT_PH11</c:f>
              <c:numCache>
                <c:formatCode>0.00</c:formatCode>
                <c:ptCount val="1"/>
                <c:pt idx="0">
                  <c:v>48.366900000000001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4.68405</c:v>
                </c:pt>
              </c:numCache>
            </c:numRef>
          </c:xVal>
          <c:yVal>
            <c:numRef>
              <c:f>[0]!FT_PH12</c:f>
              <c:numCache>
                <c:formatCode>0.00</c:formatCode>
                <c:ptCount val="1"/>
                <c:pt idx="0">
                  <c:v>48.366900000000001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4.68405</c:v>
                </c:pt>
              </c:numCache>
            </c:numRef>
          </c:xVal>
          <c:yVal>
            <c:numRef>
              <c:f>[0]!FT_PH13</c:f>
              <c:numCache>
                <c:formatCode>0.00</c:formatCode>
                <c:ptCount val="1"/>
                <c:pt idx="0">
                  <c:v>48.366900000000001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4.68405</c:v>
                </c:pt>
              </c:numCache>
            </c:numRef>
          </c:xVal>
          <c:yVal>
            <c:numRef>
              <c:f>[0]!FT_PH14</c:f>
              <c:numCache>
                <c:formatCode>0.00</c:formatCode>
                <c:ptCount val="1"/>
                <c:pt idx="0">
                  <c:v>48.366900000000001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4.68405</c:v>
                </c:pt>
              </c:numCache>
            </c:numRef>
          </c:xVal>
          <c:yVal>
            <c:numRef>
              <c:f>[0]!FT_PH15</c:f>
              <c:numCache>
                <c:formatCode>0.00</c:formatCode>
                <c:ptCount val="1"/>
                <c:pt idx="0">
                  <c:v>48.366900000000001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4.68405</c:v>
                </c:pt>
              </c:numCache>
            </c:numRef>
          </c:xVal>
          <c:yVal>
            <c:numRef>
              <c:f>[0]!FT_PH16</c:f>
              <c:numCache>
                <c:formatCode>0.00</c:formatCode>
                <c:ptCount val="1"/>
                <c:pt idx="0">
                  <c:v>48.366900000000001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4.68405</c:v>
                </c:pt>
              </c:numCache>
            </c:numRef>
          </c:xVal>
          <c:yVal>
            <c:numRef>
              <c:f>[0]!FT_PH17</c:f>
              <c:numCache>
                <c:formatCode>0.00</c:formatCode>
                <c:ptCount val="1"/>
                <c:pt idx="0">
                  <c:v>48.366900000000001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4.68405</c:v>
                </c:pt>
              </c:numCache>
            </c:numRef>
          </c:xVal>
          <c:yVal>
            <c:numRef>
              <c:f>[0]!FT_PH18</c:f>
              <c:numCache>
                <c:formatCode>0.00</c:formatCode>
                <c:ptCount val="1"/>
                <c:pt idx="0">
                  <c:v>48.366900000000001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4.68405</c:v>
                </c:pt>
              </c:numCache>
            </c:numRef>
          </c:xVal>
          <c:yVal>
            <c:numRef>
              <c:f>[0]!FT_PH19</c:f>
              <c:numCache>
                <c:formatCode>0.00</c:formatCode>
                <c:ptCount val="1"/>
                <c:pt idx="0">
                  <c:v>48.366900000000001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4.68405</c:v>
                </c:pt>
              </c:numCache>
            </c:numRef>
          </c:xVal>
          <c:yVal>
            <c:numRef>
              <c:f>[0]!FT_PH20</c:f>
              <c:numCache>
                <c:formatCode>0.00</c:formatCode>
                <c:ptCount val="1"/>
                <c:pt idx="0">
                  <c:v>48.366900000000001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4.68405</c:v>
                </c:pt>
              </c:numCache>
            </c:numRef>
          </c:xVal>
          <c:yVal>
            <c:numRef>
              <c:f>[0]!FT_PH21</c:f>
              <c:numCache>
                <c:formatCode>0.00</c:formatCode>
                <c:ptCount val="1"/>
                <c:pt idx="0">
                  <c:v>48.366900000000001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4.68405</c:v>
                </c:pt>
              </c:numCache>
            </c:numRef>
          </c:xVal>
          <c:yVal>
            <c:numRef>
              <c:f>[0]!FT_PH22</c:f>
              <c:numCache>
                <c:formatCode>0.00</c:formatCode>
                <c:ptCount val="1"/>
                <c:pt idx="0">
                  <c:v>48.366900000000001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4.68405</c:v>
                </c:pt>
              </c:numCache>
            </c:numRef>
          </c:xVal>
          <c:yVal>
            <c:numRef>
              <c:f>[0]!FT_PH23</c:f>
              <c:numCache>
                <c:formatCode>0.00</c:formatCode>
                <c:ptCount val="1"/>
                <c:pt idx="0">
                  <c:v>48.366900000000001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4.68405</c:v>
                </c:pt>
              </c:numCache>
            </c:numRef>
          </c:xVal>
          <c:yVal>
            <c:numRef>
              <c:f>[0]!FT_PH24</c:f>
              <c:numCache>
                <c:formatCode>0.00</c:formatCode>
                <c:ptCount val="1"/>
                <c:pt idx="0">
                  <c:v>48.366900000000001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4.68405</c:v>
                </c:pt>
              </c:numCache>
            </c:numRef>
          </c:xVal>
          <c:yVal>
            <c:numRef>
              <c:f>info!$H$2</c:f>
              <c:numCache>
                <c:formatCode>0.00</c:formatCode>
                <c:ptCount val="1"/>
                <c:pt idx="0">
                  <c:v>48.366900000000001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0.16703230007593739</c:v>
                </c:pt>
                <c:pt idx="1">
                  <c:v>0.45042726807914935</c:v>
                </c:pt>
                <c:pt idx="2">
                  <c:v>0.38254043184491326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0.39235999999999999</c:v>
                </c:pt>
                <c:pt idx="2">
                  <c:v>0.79806500000000002</c:v>
                </c:pt>
                <c:pt idx="3">
                  <c:v>1.20719</c:v>
                </c:pt>
                <c:pt idx="4">
                  <c:v>1.61449</c:v>
                </c:pt>
                <c:pt idx="5">
                  <c:v>2.0167000000000002</c:v>
                </c:pt>
                <c:pt idx="6">
                  <c:v>2.4243299999999999</c:v>
                </c:pt>
                <c:pt idx="7">
                  <c:v>2.8290000000000002</c:v>
                </c:pt>
                <c:pt idx="8">
                  <c:v>3.2372999999999998</c:v>
                </c:pt>
                <c:pt idx="9">
                  <c:v>3.6471100000000001</c:v>
                </c:pt>
                <c:pt idx="10">
                  <c:v>4.0579700000000001</c:v>
                </c:pt>
                <c:pt idx="11">
                  <c:v>4.4573900000000002</c:v>
                </c:pt>
                <c:pt idx="12">
                  <c:v>4.8640100000000004</c:v>
                </c:pt>
                <c:pt idx="13">
                  <c:v>5.2690900000000003</c:v>
                </c:pt>
                <c:pt idx="14">
                  <c:v>5.6760299999999999</c:v>
                </c:pt>
                <c:pt idx="15">
                  <c:v>6.0843999999999996</c:v>
                </c:pt>
                <c:pt idx="16">
                  <c:v>6.48956</c:v>
                </c:pt>
                <c:pt idx="17">
                  <c:v>6.8968499999999997</c:v>
                </c:pt>
                <c:pt idx="18">
                  <c:v>7.3084300000000004</c:v>
                </c:pt>
                <c:pt idx="19">
                  <c:v>7.7060000000000004</c:v>
                </c:pt>
                <c:pt idx="20">
                  <c:v>8.1173800000000007</c:v>
                </c:pt>
                <c:pt idx="21">
                  <c:v>8.5208200000000005</c:v>
                </c:pt>
                <c:pt idx="22">
                  <c:v>8.9434199999999997</c:v>
                </c:pt>
                <c:pt idx="23">
                  <c:v>9.3358899999999991</c:v>
                </c:pt>
                <c:pt idx="24">
                  <c:v>9.7427899999999994</c:v>
                </c:pt>
                <c:pt idx="25">
                  <c:v>10.148099999999999</c:v>
                </c:pt>
              </c:numCache>
            </c:numRef>
          </c:xVal>
          <c:yVal>
            <c:numRef>
              <c:f>[0]!FT_E</c:f>
              <c:numCache>
                <c:formatCode>0.00</c:formatCode>
                <c:ptCount val="26"/>
                <c:pt idx="0">
                  <c:v>4.68405</c:v>
                </c:pt>
                <c:pt idx="1">
                  <c:v>4.6467499999999999</c:v>
                </c:pt>
                <c:pt idx="2">
                  <c:v>4.6045699999999998</c:v>
                </c:pt>
                <c:pt idx="3">
                  <c:v>4.5506700000000002</c:v>
                </c:pt>
                <c:pt idx="4">
                  <c:v>4.5075799999999999</c:v>
                </c:pt>
                <c:pt idx="5">
                  <c:v>4.4880300000000002</c:v>
                </c:pt>
                <c:pt idx="6">
                  <c:v>4.4780499999999996</c:v>
                </c:pt>
                <c:pt idx="7">
                  <c:v>4.4762899999999997</c:v>
                </c:pt>
                <c:pt idx="8">
                  <c:v>4.4681500000000005</c:v>
                </c:pt>
                <c:pt idx="9">
                  <c:v>4.4576900000000004</c:v>
                </c:pt>
                <c:pt idx="10">
                  <c:v>4.4435799999999999</c:v>
                </c:pt>
                <c:pt idx="11">
                  <c:v>4.4230999999999998</c:v>
                </c:pt>
                <c:pt idx="12">
                  <c:v>4.383</c:v>
                </c:pt>
                <c:pt idx="13">
                  <c:v>4.3415699999999999</c:v>
                </c:pt>
                <c:pt idx="14">
                  <c:v>4.2944300000000002</c:v>
                </c:pt>
                <c:pt idx="15">
                  <c:v>4.24343</c:v>
                </c:pt>
                <c:pt idx="16">
                  <c:v>4.18492</c:v>
                </c:pt>
                <c:pt idx="17">
                  <c:v>4.1380099999999995</c:v>
                </c:pt>
                <c:pt idx="18">
                  <c:v>4.1086499999999999</c:v>
                </c:pt>
                <c:pt idx="19">
                  <c:v>4.0952699999999993</c:v>
                </c:pt>
                <c:pt idx="20">
                  <c:v>4.0811799999999998</c:v>
                </c:pt>
                <c:pt idx="21">
                  <c:v>4.0573300000000003</c:v>
                </c:pt>
                <c:pt idx="22">
                  <c:v>4.0344100000000003</c:v>
                </c:pt>
                <c:pt idx="23">
                  <c:v>4.0286300000000006</c:v>
                </c:pt>
                <c:pt idx="24">
                  <c:v>4.0337699999999996</c:v>
                </c:pt>
                <c:pt idx="25">
                  <c:v>3.9943299999999997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4.68405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4.68405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4.68405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4.68405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4.68405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4.68405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4.68405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4.68405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4.68405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4.68405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4.68405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4.68405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4.68405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4.68405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4.68405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4.68405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4.68405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4.68405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4.68405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4.68405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4.68405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4.68405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4.68405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4.68405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0.39235999999999999</c:v>
                </c:pt>
                <c:pt idx="2">
                  <c:v>0.79806500000000002</c:v>
                </c:pt>
                <c:pt idx="3">
                  <c:v>1.20719</c:v>
                </c:pt>
                <c:pt idx="4">
                  <c:v>1.61449</c:v>
                </c:pt>
                <c:pt idx="5">
                  <c:v>2.0167000000000002</c:v>
                </c:pt>
                <c:pt idx="6">
                  <c:v>2.4243299999999999</c:v>
                </c:pt>
                <c:pt idx="7">
                  <c:v>2.8290000000000002</c:v>
                </c:pt>
                <c:pt idx="8">
                  <c:v>3.2372999999999998</c:v>
                </c:pt>
                <c:pt idx="9">
                  <c:v>3.6471100000000001</c:v>
                </c:pt>
                <c:pt idx="10">
                  <c:v>4.0579700000000001</c:v>
                </c:pt>
                <c:pt idx="11">
                  <c:v>4.4573900000000002</c:v>
                </c:pt>
                <c:pt idx="12">
                  <c:v>4.8640100000000004</c:v>
                </c:pt>
                <c:pt idx="13">
                  <c:v>5.2690900000000003</c:v>
                </c:pt>
                <c:pt idx="14">
                  <c:v>5.6760299999999999</c:v>
                </c:pt>
                <c:pt idx="15">
                  <c:v>6.0843999999999996</c:v>
                </c:pt>
                <c:pt idx="16">
                  <c:v>6.48956</c:v>
                </c:pt>
                <c:pt idx="17">
                  <c:v>6.8968499999999997</c:v>
                </c:pt>
                <c:pt idx="18">
                  <c:v>7.3084300000000004</c:v>
                </c:pt>
                <c:pt idx="19">
                  <c:v>7.7060000000000004</c:v>
                </c:pt>
                <c:pt idx="20">
                  <c:v>8.1173800000000007</c:v>
                </c:pt>
                <c:pt idx="21">
                  <c:v>8.5208200000000005</c:v>
                </c:pt>
                <c:pt idx="22">
                  <c:v>8.9434199999999997</c:v>
                </c:pt>
                <c:pt idx="23">
                  <c:v>9.3358899999999991</c:v>
                </c:pt>
                <c:pt idx="24">
                  <c:v>9.7427899999999994</c:v>
                </c:pt>
                <c:pt idx="25">
                  <c:v>10.148099999999999</c:v>
                </c:pt>
              </c:numCache>
            </c:numRef>
          </c:xVal>
          <c:yVal>
            <c:numRef>
              <c:f>[0]!FT_PH</c:f>
              <c:numCache>
                <c:formatCode>0.00</c:formatCode>
                <c:ptCount val="26"/>
                <c:pt idx="0">
                  <c:v>48.366900000000001</c:v>
                </c:pt>
                <c:pt idx="1">
                  <c:v>48.816400000000002</c:v>
                </c:pt>
                <c:pt idx="2">
                  <c:v>49.805799999999998</c:v>
                </c:pt>
                <c:pt idx="3">
                  <c:v>51.362099999999998</c:v>
                </c:pt>
                <c:pt idx="4">
                  <c:v>52.696399999999997</c:v>
                </c:pt>
                <c:pt idx="5">
                  <c:v>53.884699999999995</c:v>
                </c:pt>
                <c:pt idx="6">
                  <c:v>54.880099999999999</c:v>
                </c:pt>
                <c:pt idx="7">
                  <c:v>55.519200000000005</c:v>
                </c:pt>
                <c:pt idx="8">
                  <c:v>56.163200000000003</c:v>
                </c:pt>
                <c:pt idx="9">
                  <c:v>56.307200000000002</c:v>
                </c:pt>
                <c:pt idx="10">
                  <c:v>56.073900000000002</c:v>
                </c:pt>
                <c:pt idx="11">
                  <c:v>55.590300000000006</c:v>
                </c:pt>
                <c:pt idx="12">
                  <c:v>54.954899999999995</c:v>
                </c:pt>
                <c:pt idx="13">
                  <c:v>54.413400000000003</c:v>
                </c:pt>
                <c:pt idx="14">
                  <c:v>53.8125</c:v>
                </c:pt>
                <c:pt idx="15">
                  <c:v>52.669999999999995</c:v>
                </c:pt>
                <c:pt idx="16">
                  <c:v>51.307299999999998</c:v>
                </c:pt>
                <c:pt idx="17">
                  <c:v>49.835900000000002</c:v>
                </c:pt>
                <c:pt idx="18">
                  <c:v>47.9</c:v>
                </c:pt>
                <c:pt idx="19">
                  <c:v>46.957000000000001</c:v>
                </c:pt>
                <c:pt idx="20">
                  <c:v>45.884399999999999</c:v>
                </c:pt>
                <c:pt idx="21">
                  <c:v>44.829299999999996</c:v>
                </c:pt>
                <c:pt idx="22">
                  <c:v>43.695499999999996</c:v>
                </c:pt>
                <c:pt idx="23">
                  <c:v>42.836800000000004</c:v>
                </c:pt>
                <c:pt idx="24">
                  <c:v>41.168399999999998</c:v>
                </c:pt>
                <c:pt idx="25">
                  <c:v>37.676700000000004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48.366900000000001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48.366900000000001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48.366900000000001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48.366900000000001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48.366900000000001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48.366900000000001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48.366900000000001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48.366900000000001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48.366900000000001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48.366900000000001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48.366900000000001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48.366900000000001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48.366900000000001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48.366900000000001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48.366900000000001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48.366900000000001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48.366900000000001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48.366900000000001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48.366900000000001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48.366900000000001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48.366900000000001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48.366900000000001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48.366900000000001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48.366900000000001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20.19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-2.2089789964957154</c:v>
                </c:pt>
                <c:pt idx="1">
                  <c:v>-2.2089789964957154</c:v>
                </c:pt>
                <c:pt idx="2">
                  <c:v>-7</c:v>
                </c:pt>
              </c:numCache>
            </c:numRef>
          </c:xVal>
          <c:yVal>
            <c:numRef>
              <c:f>'R'!$I$5:$I$7</c:f>
              <c:numCache>
                <c:formatCode>0.0_ </c:formatCode>
                <c:ptCount val="3"/>
                <c:pt idx="0">
                  <c:v>0</c:v>
                </c:pt>
                <c:pt idx="1">
                  <c:v>20.19468952817164</c:v>
                </c:pt>
                <c:pt idx="2">
                  <c:v>20.19468952817164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-2.2089789964957154</c:v>
                </c:pt>
                <c:pt idx="1">
                  <c:v>-2.2089789964957154</c:v>
                </c:pt>
                <c:pt idx="2">
                  <c:v>-7</c:v>
                </c:pt>
              </c:numCache>
            </c:numRef>
          </c:xVal>
          <c:yVal>
            <c:numRef>
              <c:f>'R'!$I$5:$I$7</c:f>
              <c:numCache>
                <c:formatCode>0.0_ </c:formatCode>
                <c:ptCount val="3"/>
                <c:pt idx="0">
                  <c:v>0</c:v>
                </c:pt>
                <c:pt idx="1">
                  <c:v>20.19468952817164</c:v>
                </c:pt>
                <c:pt idx="2">
                  <c:v>20.19468952817164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-2.2089789964957154</c:v>
                </c:pt>
              </c:numCache>
            </c:numRef>
          </c:xVal>
          <c:yVal>
            <c:numRef>
              <c:f>'R'!$I$4</c:f>
              <c:numCache>
                <c:formatCode>0.00_ </c:formatCode>
                <c:ptCount val="1"/>
                <c:pt idx="0">
                  <c:v>20.19468952817164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63.54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63.543479999999995</c:v>
                </c:pt>
                <c:pt idx="1">
                  <c:v>63.543479999999995</c:v>
                </c:pt>
                <c:pt idx="2">
                  <c:v>0</c:v>
                </c:pt>
              </c:numCache>
            </c:numRef>
          </c:xVal>
          <c:yVal>
            <c:numRef>
              <c:f>'R2'!$I$5:$I$7</c:f>
              <c:numCache>
                <c:formatCode>0.0_ </c:formatCode>
                <c:ptCount val="3"/>
                <c:pt idx="0">
                  <c:v>0</c:v>
                </c:pt>
                <c:pt idx="1">
                  <c:v>72.909117674668352</c:v>
                </c:pt>
                <c:pt idx="2">
                  <c:v>72.909117674668352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2.1476500000000001</c:v>
                </c:pt>
                <c:pt idx="1">
                  <c:v>2.1476500000000001</c:v>
                </c:pt>
                <c:pt idx="2">
                  <c:v>0</c:v>
                </c:pt>
              </c:numCache>
            </c:numRef>
          </c:xVal>
          <c:yVal>
            <c:numRef>
              <c:f>'R3'!$I$6:$I$8</c:f>
              <c:numCache>
                <c:formatCode>0.0_ </c:formatCode>
                <c:ptCount val="3"/>
                <c:pt idx="0">
                  <c:v>0</c:v>
                </c:pt>
                <c:pt idx="1">
                  <c:v>63.584675776159763</c:v>
                </c:pt>
                <c:pt idx="2">
                  <c:v>63.584675776159763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2.1476500000000001</c:v>
                </c:pt>
                <c:pt idx="1">
                  <c:v>2.1476500000000001</c:v>
                </c:pt>
                <c:pt idx="2">
                  <c:v>0</c:v>
                </c:pt>
              </c:numCache>
            </c:numRef>
          </c:xVal>
          <c:yVal>
            <c:numRef>
              <c:f>'R4'!$I$5:$I$7</c:f>
              <c:numCache>
                <c:formatCode>0.0_ </c:formatCode>
                <c:ptCount val="3"/>
                <c:pt idx="0">
                  <c:v>0</c:v>
                </c:pt>
                <c:pt idx="1">
                  <c:v>7.6096273685090948E-2</c:v>
                </c:pt>
                <c:pt idx="2">
                  <c:v>7.6096273685090948E-2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0.55614970415825582</c:v>
                </c:pt>
                <c:pt idx="1">
                  <c:v>0.28705417144982903</c:v>
                </c:pt>
                <c:pt idx="2">
                  <c:v>0.15679612439191506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0.20653660019020872</c:v>
                </c:pt>
                <c:pt idx="1">
                  <c:v>0.55695644818240186</c:v>
                </c:pt>
                <c:pt idx="2">
                  <c:v>0.23650695162738944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(67.6 , 63.6)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67.608601951854226</c:v>
                      </c:pt>
                    </c:numCache>
                  </c:numRef>
                </c:xVal>
                <c:yVal>
                  <c:numRef>
                    <c:extLst>
                      <c:ext uri="{02D57815-91ED-43cb-92C2-25804820EDAC}">
                        <c15:formulaRef>
                          <c15:sqref>info!$W$20:$W$21</c15:sqref>
                        </c15:formulaRef>
                      </c:ext>
                    </c:extLst>
                    <c:numCache>
                      <c:formatCode>General</c:formatCode>
                      <c:ptCount val="2"/>
                      <c:pt idx="0">
                        <c:v>50</c:v>
                      </c:pt>
                      <c:pt idx="1">
                        <c:v>63.584675776159763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62.856199999999994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53.9651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asd%5e1%5e1%5e\2025-05-13%2018_28_4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asd%5e1%5e1%5e\2025-05-13%2018_28_4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7E8C3FB-EB5D-31D0-449E-0FBB4B38122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6BB29F6-36DD-5307-D204-61990B2F778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45790.770046296297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asd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45790.770046296297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asd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-2.2089789964957154</v>
      </c>
      <c r="I20" s="862"/>
      <c r="J20" s="311" t="str">
        <f>lang!B174</f>
        <v>정보량</v>
      </c>
      <c r="K20" s="236">
        <f ca="1">info!N9</f>
        <v>50.284934615384614</v>
      </c>
      <c r="L20" s="312" t="str">
        <f>lang!B175</f>
        <v>에너지</v>
      </c>
      <c r="M20" s="863">
        <f ca="1">info!M9</f>
        <v>4.3172092307692314</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35.111499999999999</v>
      </c>
      <c r="N32" s="816"/>
      <c r="O32" s="817">
        <f>Measurement!N7</f>
        <v>41.330800000000004</v>
      </c>
      <c r="P32" s="818"/>
      <c r="Q32" s="819">
        <f>Measurement!T7</f>
        <v>48.258899999999997</v>
      </c>
      <c r="R32" s="820"/>
    </row>
    <row r="33" spans="3:18" ht="12.75" customHeight="1">
      <c r="C33" s="77"/>
      <c r="I33" s="502">
        <f>Measurement!L8</f>
        <v>3</v>
      </c>
      <c r="J33" s="139" t="str">
        <f>lang!B15</f>
        <v>스트레스</v>
      </c>
      <c r="K33" s="90" t="s">
        <v>226</v>
      </c>
      <c r="L33" s="504" t="str">
        <f>Measurement!Y8</f>
        <v>보통</v>
      </c>
      <c r="M33" s="792">
        <f>Measurement!R8</f>
        <v>19.5396</v>
      </c>
      <c r="N33" s="793"/>
      <c r="O33" s="806">
        <f>Measurement!N8</f>
        <v>23.501300000000001</v>
      </c>
      <c r="P33" s="807"/>
      <c r="Q33" s="792">
        <f>Measurement!T8</f>
        <v>43.003300000000003</v>
      </c>
      <c r="R33" s="808"/>
    </row>
    <row r="34" spans="3:18" ht="12.75" customHeight="1">
      <c r="C34" s="77"/>
      <c r="I34" s="502">
        <f>Measurement!L9</f>
        <v>1</v>
      </c>
      <c r="J34" s="139" t="str">
        <f>lang!B16</f>
        <v>불안</v>
      </c>
      <c r="K34" s="90" t="s">
        <v>227</v>
      </c>
      <c r="L34" s="504" t="str">
        <f>Measurement!Y9</f>
        <v>매우 낮음</v>
      </c>
      <c r="M34" s="792">
        <f>Measurement!R9</f>
        <v>3.7194400000000001</v>
      </c>
      <c r="N34" s="793"/>
      <c r="O34" s="806">
        <f>Measurement!N9</f>
        <v>13.3658</v>
      </c>
      <c r="P34" s="807"/>
      <c r="Q34" s="792">
        <f>Measurement!T9</f>
        <v>32.331699999999998</v>
      </c>
      <c r="R34" s="808"/>
    </row>
    <row r="35" spans="3:18" ht="12.75" customHeight="1">
      <c r="C35" s="77"/>
      <c r="I35" s="502">
        <f>Measurement!L10</f>
        <v>2</v>
      </c>
      <c r="J35" s="139" t="str">
        <f>lang!B17</f>
        <v>의심</v>
      </c>
      <c r="K35" s="90" t="s">
        <v>225</v>
      </c>
      <c r="L35" s="504" t="str">
        <f>Measurement!Y10</f>
        <v>낮음</v>
      </c>
      <c r="M35" s="792">
        <f>Measurement!R10</f>
        <v>3.8841600000000001</v>
      </c>
      <c r="N35" s="793"/>
      <c r="O35" s="806">
        <f>Measurement!N10</f>
        <v>24.275099999999998</v>
      </c>
      <c r="P35" s="807"/>
      <c r="Q35" s="792">
        <f>Measurement!T10</f>
        <v>30.8826</v>
      </c>
      <c r="R35" s="808"/>
    </row>
    <row r="36" spans="3:18" ht="12.75" customHeight="1">
      <c r="C36" s="77"/>
      <c r="I36" s="502">
        <f>Measurement!L11</f>
        <v>4</v>
      </c>
      <c r="J36" s="139" t="str">
        <f>lang!B18</f>
        <v>밸런스</v>
      </c>
      <c r="K36" s="90" t="s">
        <v>2171</v>
      </c>
      <c r="L36" s="504" t="str">
        <f>Measurement!Y11</f>
        <v>높음</v>
      </c>
      <c r="M36" s="792">
        <f>Measurement!R11</f>
        <v>65.811099999999996</v>
      </c>
      <c r="N36" s="793"/>
      <c r="O36" s="806">
        <f>Measurement!N11</f>
        <v>78.912400000000005</v>
      </c>
      <c r="P36" s="807"/>
      <c r="Q36" s="792">
        <f>Measurement!T11</f>
        <v>89.948300000000003</v>
      </c>
      <c r="R36" s="808"/>
    </row>
    <row r="37" spans="3:18" ht="12.75" customHeight="1">
      <c r="C37" s="77"/>
      <c r="I37" s="502">
        <f>Measurement!L12</f>
        <v>1</v>
      </c>
      <c r="J37" s="139" t="str">
        <f>lang!B19</f>
        <v>카리스마</v>
      </c>
      <c r="K37" s="90" t="s">
        <v>229</v>
      </c>
      <c r="L37" s="504" t="str">
        <f>Measurement!Y12</f>
        <v>매우 낮음</v>
      </c>
      <c r="M37" s="792">
        <f>Measurement!R12</f>
        <v>18.722899999999999</v>
      </c>
      <c r="N37" s="793"/>
      <c r="O37" s="806">
        <f>Measurement!N12</f>
        <v>30.875299999999999</v>
      </c>
      <c r="P37" s="807"/>
      <c r="Q37" s="792">
        <f>Measurement!T12</f>
        <v>34.910499999999999</v>
      </c>
      <c r="R37" s="808"/>
    </row>
    <row r="38" spans="3:18" ht="12.75" customHeight="1">
      <c r="C38" s="77"/>
      <c r="I38" s="502">
        <f>Measurement!L13</f>
        <v>4</v>
      </c>
      <c r="J38" s="139" t="str">
        <f>lang!B20</f>
        <v>에너지</v>
      </c>
      <c r="K38" s="90" t="s">
        <v>2170</v>
      </c>
      <c r="L38" s="504" t="str">
        <f>Measurement!Y13</f>
        <v>높음</v>
      </c>
      <c r="M38" s="792">
        <f>Measurement!R13</f>
        <v>27.371300000000002</v>
      </c>
      <c r="N38" s="793"/>
      <c r="O38" s="806">
        <f>Measurement!N13</f>
        <v>35.391300000000001</v>
      </c>
      <c r="P38" s="807"/>
      <c r="Q38" s="792">
        <f>Measurement!T13</f>
        <v>37.759900000000002</v>
      </c>
      <c r="R38" s="808"/>
    </row>
    <row r="39" spans="3:18" ht="12.75" customHeight="1">
      <c r="C39" s="77"/>
      <c r="I39" s="502">
        <f>Measurement!L14</f>
        <v>2</v>
      </c>
      <c r="J39" s="139" t="str">
        <f>lang!B21</f>
        <v>자기조절</v>
      </c>
      <c r="K39" s="90" t="s">
        <v>230</v>
      </c>
      <c r="L39" s="504" t="str">
        <f>Measurement!Y14</f>
        <v>낮음</v>
      </c>
      <c r="M39" s="792">
        <f>Measurement!R14</f>
        <v>47.226300000000002</v>
      </c>
      <c r="N39" s="793"/>
      <c r="O39" s="806">
        <f>Measurement!N14</f>
        <v>53.356099999999998</v>
      </c>
      <c r="P39" s="807"/>
      <c r="Q39" s="792">
        <f>Measurement!T14</f>
        <v>62.357599999999998</v>
      </c>
      <c r="R39" s="808"/>
    </row>
    <row r="40" spans="3:18" ht="12.75" customHeight="1">
      <c r="C40" s="77"/>
      <c r="I40" s="502">
        <f>Measurement!L15</f>
        <v>3</v>
      </c>
      <c r="J40" s="139" t="str">
        <f>lang!B22</f>
        <v>억제</v>
      </c>
      <c r="K40" s="91" t="s">
        <v>248</v>
      </c>
      <c r="L40" s="504" t="str">
        <f>Measurement!Y15</f>
        <v>보통</v>
      </c>
      <c r="M40" s="792">
        <f>Measurement!R15</f>
        <v>14.9016</v>
      </c>
      <c r="N40" s="793"/>
      <c r="O40" s="806">
        <f>Measurement!N15</f>
        <v>20.578900000000001</v>
      </c>
      <c r="P40" s="807"/>
      <c r="Q40" s="792">
        <f>Measurement!T15</f>
        <v>28.0181</v>
      </c>
      <c r="R40" s="808"/>
    </row>
    <row r="41" spans="3:18" ht="12.75" customHeight="1" thickBot="1">
      <c r="C41" s="77"/>
      <c r="I41" s="502">
        <f>Measurement!L16</f>
        <v>3</v>
      </c>
      <c r="J41" s="140" t="str">
        <f>lang!B23</f>
        <v>신경성</v>
      </c>
      <c r="K41" s="92" t="s">
        <v>231</v>
      </c>
      <c r="L41" s="504" t="str">
        <f>Measurement!Y16</f>
        <v>보통</v>
      </c>
      <c r="M41" s="794">
        <f>Measurement!R16</f>
        <v>0.70426599999999995</v>
      </c>
      <c r="N41" s="795"/>
      <c r="O41" s="796">
        <f>Measurement!N16</f>
        <v>35.394399999999997</v>
      </c>
      <c r="P41" s="797"/>
      <c r="Q41" s="794">
        <f>Measurement!T16</f>
        <v>35.394399999999997</v>
      </c>
      <c r="R41" s="798"/>
    </row>
    <row r="42" spans="3:18" ht="29.25" customHeight="1" thickBot="1">
      <c r="C42" s="77"/>
      <c r="I42" s="84"/>
      <c r="J42" s="780" t="str">
        <f>lang!B215</f>
        <v>감정변이도</v>
      </c>
      <c r="K42" s="781"/>
      <c r="L42" s="319" t="str">
        <f>info!V43</f>
        <v>보통</v>
      </c>
      <c r="M42" s="782">
        <f>info!W43</f>
        <v>18.223099999999999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2.1476500000000001</v>
      </c>
      <c r="E44" s="249" t="s">
        <v>1072</v>
      </c>
      <c r="G44" s="289"/>
      <c r="H44" s="289"/>
      <c r="I44" s="290"/>
      <c r="J44" s="802">
        <f>info!$W$36</f>
        <v>63.543479999999995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45790.770046296297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asd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-2.2089789964957154</v>
      </c>
      <c r="I20" s="862"/>
      <c r="J20" s="311" t="str">
        <f>lang!B174</f>
        <v>정보량</v>
      </c>
      <c r="K20" s="236">
        <f ca="1">info!N9</f>
        <v>50.284934615384614</v>
      </c>
      <c r="L20" s="312" t="str">
        <f>lang!B175</f>
        <v>에너지</v>
      </c>
      <c r="M20" s="863">
        <f ca="1">info!M9</f>
        <v>4.3172092307692314</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35.111499999999999</v>
      </c>
      <c r="N32" s="816"/>
      <c r="O32" s="817">
        <f>Measurement!N7</f>
        <v>41.330800000000004</v>
      </c>
      <c r="P32" s="818"/>
      <c r="Q32" s="819">
        <f>Measurement!T7</f>
        <v>48.258899999999997</v>
      </c>
      <c r="R32" s="820"/>
    </row>
    <row r="33" spans="3:18" ht="12.75" customHeight="1">
      <c r="C33" s="77"/>
      <c r="I33" s="502">
        <f>Measurement!L8</f>
        <v>3</v>
      </c>
      <c r="J33" s="139" t="str">
        <f>lang!B15</f>
        <v>스트레스</v>
      </c>
      <c r="K33" s="90" t="s">
        <v>226</v>
      </c>
      <c r="L33" s="504" t="str">
        <f>Measurement!Y8</f>
        <v>보통</v>
      </c>
      <c r="M33" s="792">
        <f>Measurement!R8</f>
        <v>19.5396</v>
      </c>
      <c r="N33" s="793"/>
      <c r="O33" s="806">
        <f>Measurement!N8</f>
        <v>23.501300000000001</v>
      </c>
      <c r="P33" s="807"/>
      <c r="Q33" s="792">
        <f>Measurement!T8</f>
        <v>43.003300000000003</v>
      </c>
      <c r="R33" s="808"/>
    </row>
    <row r="34" spans="3:18" ht="12.75" customHeight="1">
      <c r="C34" s="77"/>
      <c r="I34" s="502">
        <f>Measurement!L9</f>
        <v>1</v>
      </c>
      <c r="J34" s="139" t="str">
        <f>lang!B16</f>
        <v>불안</v>
      </c>
      <c r="K34" s="90" t="s">
        <v>227</v>
      </c>
      <c r="L34" s="504" t="str">
        <f>Measurement!Y9</f>
        <v>매우 낮음</v>
      </c>
      <c r="M34" s="792">
        <f>Measurement!R9</f>
        <v>3.7194400000000001</v>
      </c>
      <c r="N34" s="793"/>
      <c r="O34" s="806">
        <f>Measurement!N9</f>
        <v>13.3658</v>
      </c>
      <c r="P34" s="807"/>
      <c r="Q34" s="792">
        <f>Measurement!T9</f>
        <v>32.331699999999998</v>
      </c>
      <c r="R34" s="808"/>
    </row>
    <row r="35" spans="3:18" ht="12.75" customHeight="1">
      <c r="C35" s="77"/>
      <c r="I35" s="502">
        <f>Measurement!L10</f>
        <v>2</v>
      </c>
      <c r="J35" s="139" t="str">
        <f>lang!B17</f>
        <v>의심</v>
      </c>
      <c r="K35" s="90" t="s">
        <v>225</v>
      </c>
      <c r="L35" s="504" t="str">
        <f>Measurement!Y10</f>
        <v>낮음</v>
      </c>
      <c r="M35" s="792">
        <f>Measurement!R10</f>
        <v>3.8841600000000001</v>
      </c>
      <c r="N35" s="793"/>
      <c r="O35" s="806">
        <f>Measurement!N10</f>
        <v>24.275099999999998</v>
      </c>
      <c r="P35" s="807"/>
      <c r="Q35" s="792">
        <f>Measurement!T10</f>
        <v>30.8826</v>
      </c>
      <c r="R35" s="808"/>
    </row>
    <row r="36" spans="3:18" ht="12.75" customHeight="1">
      <c r="C36" s="77"/>
      <c r="I36" s="502">
        <f>Measurement!L11</f>
        <v>4</v>
      </c>
      <c r="J36" s="139" t="str">
        <f>lang!B18</f>
        <v>밸런스</v>
      </c>
      <c r="K36" s="90" t="s">
        <v>2171</v>
      </c>
      <c r="L36" s="504" t="str">
        <f>Measurement!Y11</f>
        <v>높음</v>
      </c>
      <c r="M36" s="792">
        <f>Measurement!R11</f>
        <v>65.811099999999996</v>
      </c>
      <c r="N36" s="793"/>
      <c r="O36" s="806">
        <f>Measurement!N11</f>
        <v>78.912400000000005</v>
      </c>
      <c r="P36" s="807"/>
      <c r="Q36" s="792">
        <f>Measurement!T11</f>
        <v>89.948300000000003</v>
      </c>
      <c r="R36" s="808"/>
    </row>
    <row r="37" spans="3:18" ht="12.75" customHeight="1">
      <c r="C37" s="77"/>
      <c r="I37" s="502">
        <f>Measurement!L12</f>
        <v>1</v>
      </c>
      <c r="J37" s="139" t="str">
        <f>lang!B19</f>
        <v>카리스마</v>
      </c>
      <c r="K37" s="90" t="s">
        <v>229</v>
      </c>
      <c r="L37" s="504" t="str">
        <f>Measurement!Y12</f>
        <v>매우 낮음</v>
      </c>
      <c r="M37" s="792">
        <f>Measurement!R12</f>
        <v>18.722899999999999</v>
      </c>
      <c r="N37" s="793"/>
      <c r="O37" s="806">
        <f>Measurement!N12</f>
        <v>30.875299999999999</v>
      </c>
      <c r="P37" s="807"/>
      <c r="Q37" s="792">
        <f>Measurement!T12</f>
        <v>34.910499999999999</v>
      </c>
      <c r="R37" s="808"/>
    </row>
    <row r="38" spans="3:18" ht="12.75" customHeight="1">
      <c r="C38" s="77"/>
      <c r="I38" s="502">
        <f>Measurement!L13</f>
        <v>4</v>
      </c>
      <c r="J38" s="139" t="str">
        <f>lang!B20</f>
        <v>에너지</v>
      </c>
      <c r="K38" s="90" t="s">
        <v>2170</v>
      </c>
      <c r="L38" s="504" t="str">
        <f>Measurement!Y13</f>
        <v>높음</v>
      </c>
      <c r="M38" s="792">
        <f>Measurement!R13</f>
        <v>27.371300000000002</v>
      </c>
      <c r="N38" s="793"/>
      <c r="O38" s="806">
        <f>Measurement!N13</f>
        <v>35.391300000000001</v>
      </c>
      <c r="P38" s="807"/>
      <c r="Q38" s="792">
        <f>Measurement!T13</f>
        <v>37.759900000000002</v>
      </c>
      <c r="R38" s="808"/>
    </row>
    <row r="39" spans="3:18" ht="12.75" customHeight="1">
      <c r="C39" s="77"/>
      <c r="I39" s="502">
        <f>Measurement!L14</f>
        <v>2</v>
      </c>
      <c r="J39" s="139" t="str">
        <f>lang!B21</f>
        <v>자기조절</v>
      </c>
      <c r="K39" s="90" t="s">
        <v>230</v>
      </c>
      <c r="L39" s="504" t="str">
        <f>Measurement!Y14</f>
        <v>낮음</v>
      </c>
      <c r="M39" s="792">
        <f>Measurement!R14</f>
        <v>47.226300000000002</v>
      </c>
      <c r="N39" s="793"/>
      <c r="O39" s="806">
        <f>Measurement!N14</f>
        <v>53.356099999999998</v>
      </c>
      <c r="P39" s="807"/>
      <c r="Q39" s="792">
        <f>Measurement!T14</f>
        <v>62.357599999999998</v>
      </c>
      <c r="R39" s="808"/>
    </row>
    <row r="40" spans="3:18" ht="12.75" customHeight="1">
      <c r="C40" s="77"/>
      <c r="I40" s="502">
        <f>Measurement!L15</f>
        <v>3</v>
      </c>
      <c r="J40" s="139" t="str">
        <f>lang!B22</f>
        <v>억제</v>
      </c>
      <c r="K40" s="91" t="s">
        <v>248</v>
      </c>
      <c r="L40" s="504" t="str">
        <f>Measurement!Y15</f>
        <v>보통</v>
      </c>
      <c r="M40" s="792">
        <f>Measurement!R15</f>
        <v>14.9016</v>
      </c>
      <c r="N40" s="793"/>
      <c r="O40" s="806">
        <f>Measurement!N15</f>
        <v>20.578900000000001</v>
      </c>
      <c r="P40" s="807"/>
      <c r="Q40" s="792">
        <f>Measurement!T15</f>
        <v>28.0181</v>
      </c>
      <c r="R40" s="808"/>
    </row>
    <row r="41" spans="3:18" ht="12.75" customHeight="1" thickBot="1">
      <c r="C41" s="77"/>
      <c r="I41" s="502">
        <f>Measurement!L16</f>
        <v>3</v>
      </c>
      <c r="J41" s="140" t="str">
        <f>lang!B23</f>
        <v>신경성</v>
      </c>
      <c r="K41" s="92" t="s">
        <v>231</v>
      </c>
      <c r="L41" s="504" t="str">
        <f>Measurement!Y16</f>
        <v>보통</v>
      </c>
      <c r="M41" s="794">
        <f>Measurement!R16</f>
        <v>0.70426599999999995</v>
      </c>
      <c r="N41" s="795"/>
      <c r="O41" s="796">
        <f>Measurement!N16</f>
        <v>35.394399999999997</v>
      </c>
      <c r="P41" s="797"/>
      <c r="Q41" s="794">
        <f>Measurement!T16</f>
        <v>35.394399999999997</v>
      </c>
      <c r="R41" s="798"/>
    </row>
    <row r="42" spans="3:18" ht="29.25" customHeight="1" thickBot="1">
      <c r="C42" s="77"/>
      <c r="I42" s="84"/>
      <c r="J42" s="780" t="str">
        <f>lang!B215</f>
        <v>감정변이도</v>
      </c>
      <c r="K42" s="781"/>
      <c r="L42" s="319" t="str">
        <f>info!V43</f>
        <v>보통</v>
      </c>
      <c r="M42" s="782">
        <f>info!W43</f>
        <v>18.223099999999999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2.1476500000000001</v>
      </c>
      <c r="E44" s="249" t="s">
        <v>1195</v>
      </c>
      <c r="G44" s="289"/>
      <c r="H44" s="289"/>
      <c r="I44" s="290"/>
      <c r="J44" s="802">
        <f>info!$W$36</f>
        <v>63.543479999999995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45790.770046296297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asd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(-0.07,-0.03)</v>
      </c>
      <c r="S18" s="966"/>
      <c r="T18" s="967"/>
    </row>
    <row r="19" spans="2:22" ht="16.5" customHeight="1">
      <c r="C19" s="136" t="str">
        <f>lang!B328</f>
        <v>최소값</v>
      </c>
      <c r="D19" s="105">
        <f ca="1">info!M7</f>
        <v>37.676700000000004</v>
      </c>
      <c r="E19" s="94" t="str">
        <f>lang!B330</f>
        <v>평균값</v>
      </c>
      <c r="F19" s="971">
        <f ca="1">info!N9</f>
        <v>50.284934615384614</v>
      </c>
      <c r="G19" s="972"/>
      <c r="H19" s="912" t="str">
        <f>lang!B329</f>
        <v>최대값</v>
      </c>
      <c r="I19" s="913"/>
      <c r="J19" s="105">
        <f ca="1">info!M8</f>
        <v>56.307200000000002</v>
      </c>
      <c r="K19" s="137" t="str">
        <f>lang!B328</f>
        <v>최소값</v>
      </c>
      <c r="L19" s="105">
        <f ca="1">info!M5</f>
        <v>3.9943299999999997</v>
      </c>
      <c r="M19" s="94" t="str">
        <f>lang!B330</f>
        <v>평균값</v>
      </c>
      <c r="N19" s="971">
        <f ca="1">info!M9</f>
        <v>4.3172092307692314</v>
      </c>
      <c r="O19" s="972">
        <f>info!T9</f>
        <v>1</v>
      </c>
      <c r="P19" s="94" t="str">
        <f>lang!B329</f>
        <v>최대값</v>
      </c>
      <c r="Q19" s="105">
        <f ca="1">info!M6</f>
        <v>4.68405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11.635179883499303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2.1476470000000001</v>
      </c>
      <c r="N47" s="986"/>
      <c r="O47" s="451"/>
      <c r="P47" s="491" t="s">
        <v>1101</v>
      </c>
      <c r="Q47" s="987">
        <f>hist!M3</f>
        <v>0.66687399999999997</v>
      </c>
      <c r="R47" s="986"/>
      <c r="S47" s="451"/>
      <c r="T47" s="452"/>
    </row>
    <row r="48" spans="3:20" ht="18" customHeight="1">
      <c r="C48" s="931"/>
      <c r="D48" s="910"/>
      <c r="E48" s="910"/>
      <c r="F48" s="355"/>
      <c r="G48" s="355"/>
      <c r="H48" s="356"/>
      <c r="I48" s="356"/>
      <c r="J48" s="951"/>
      <c r="K48" s="951"/>
      <c r="L48" s="936"/>
      <c r="M48" s="988">
        <f>hist!N2</f>
        <v>0.44611800000000001</v>
      </c>
      <c r="N48" s="989"/>
      <c r="O48" s="451"/>
      <c r="P48" s="491" t="s">
        <v>1102</v>
      </c>
      <c r="Q48" s="986">
        <f>hist!N3</f>
        <v>0.52057699999999996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0.199022</v>
      </c>
      <c r="N49" s="991"/>
      <c r="O49" s="453"/>
      <c r="P49" s="454" t="s">
        <v>1588</v>
      </c>
      <c r="Q49" s="992">
        <f>hist!O3</f>
        <v>0.27100099999999999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vision^asd^1^1^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67.608601951854226</v>
      </c>
      <c r="CK4" s="422">
        <f>info!W21</f>
        <v>63.584675776159763</v>
      </c>
      <c r="CL4">
        <f>100-M!B19*100</f>
        <v>53.9651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45790.770046296297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18.223099999999999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7</v>
      </c>
      <c r="BY6" s="220">
        <f t="shared" si="0"/>
        <v>2</v>
      </c>
      <c r="BZ6" s="220">
        <f t="shared" si="0"/>
        <v>1</v>
      </c>
      <c r="CA6" s="220">
        <f t="shared" si="0"/>
        <v>10</v>
      </c>
      <c r="CB6" s="220">
        <f t="shared" si="0"/>
        <v>9</v>
      </c>
      <c r="CC6" s="220">
        <f t="shared" si="0"/>
        <v>5</v>
      </c>
      <c r="CD6" s="220">
        <f t="shared" si="0"/>
        <v>6</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41.330800000000004</v>
      </c>
      <c r="O7" s="48">
        <f>M!C5*1</f>
        <v>2.9563000000000001</v>
      </c>
      <c r="P7" s="48">
        <f>M!D5*1</f>
        <v>7.1527700000000003</v>
      </c>
      <c r="Q7" s="48">
        <f>M!E5*1</f>
        <v>20</v>
      </c>
      <c r="R7" s="48">
        <f>IF(M!B5="","",M!F5*1)</f>
        <v>35.111499999999999</v>
      </c>
      <c r="S7" s="48">
        <f>M!G5*1</f>
        <v>50</v>
      </c>
      <c r="T7" s="48">
        <f>IF(M!B5="","",M!H5*1)</f>
        <v>48.258899999999997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0.18942369448652602</v>
      </c>
      <c r="AI7" s="98">
        <v>2.5024862326905418E-2</v>
      </c>
      <c r="AJ7" s="98">
        <v>-7.7313821231156016E-2</v>
      </c>
      <c r="AK7" s="98">
        <v>0.50012525104428274</v>
      </c>
      <c r="AL7" s="98">
        <v>-8.545985269705475E-2</v>
      </c>
      <c r="AM7" s="98">
        <f>$AH7*AI7+$AH8*AI8+$AH9*AI9+$AH10*AI10+$AH11*AI11+$AH12*AI12+$AH13*AI13+$AH14*AI14+$AH15*AI15+$AH16*AI16</f>
        <v>-1.1147889426196433</v>
      </c>
      <c r="AN7" s="98">
        <f t="shared" ref="AN7:AP7" si="2">$AH7*AJ7+$AH8*AJ8+$AH9*AJ9+$AH10*AJ10+$AH11*AJ11+$AH12*AJ12+$AH13*AJ13+$AH14*AJ14+$AH15*AJ15+$AH16*AJ16</f>
        <v>-1.3356960229710326</v>
      </c>
      <c r="AO7" s="98">
        <f t="shared" si="2"/>
        <v>5.819903103629296E-2</v>
      </c>
      <c r="AP7" s="98">
        <f t="shared" si="2"/>
        <v>-0.7180111587840099</v>
      </c>
      <c r="AQ7" s="335">
        <f>IF(SUM(N7:N16)&gt;0, 0.8608*AM7+0.333*AN7+0.104*AO7+1.129*AP7,"")</f>
        <v>-2.2089789964957154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41.330800000000004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190.28974643320004</v>
      </c>
      <c r="BL7" s="56">
        <f t="shared" ref="BL7:BT7" si="3">BB7*$AY7+BB8*$AY8+BB9*$AY9+BB10*$AY10+BB11*$AY11+BB12*$AY12+BB13*$AY13+BB14</f>
        <v>186.88112407720001</v>
      </c>
      <c r="BM7" s="56">
        <f t="shared" si="3"/>
        <v>178.5203131042</v>
      </c>
      <c r="BN7" s="56">
        <f t="shared" si="3"/>
        <v>191.48793840660011</v>
      </c>
      <c r="BO7" s="56">
        <f t="shared" si="3"/>
        <v>198.95596491280008</v>
      </c>
      <c r="BP7" s="56">
        <f t="shared" si="3"/>
        <v>157.62464493599998</v>
      </c>
      <c r="BQ7" s="56">
        <f t="shared" si="3"/>
        <v>172.15046972459993</v>
      </c>
      <c r="BR7" s="56">
        <f t="shared" si="3"/>
        <v>183.10815251320003</v>
      </c>
      <c r="BS7" s="56">
        <f t="shared" si="3"/>
        <v>179.81385381280006</v>
      </c>
      <c r="BT7" s="56">
        <f t="shared" si="3"/>
        <v>173.41313424939995</v>
      </c>
      <c r="BU7" s="56">
        <f>EXP(BK7)+EXP(BL7)+EXP(BM7)+EXP(BN7)+EXP(BO7)+EXP(BP7)+EXP(BQ7)+EXP(BR7)+EXP(BS7)+EXP(BT7)</f>
        <v>2.5456749899494444E+86</v>
      </c>
      <c r="BV7" s="56">
        <f>IF(SUM($AY$7:$AY$13)&gt;0,EXP(BK7)/$BU$7,"")</f>
        <v>1.721804675769742E-4</v>
      </c>
      <c r="BW7" s="56">
        <f t="shared" ref="BW7:CE7" si="4">IF(SUM($AY$7:$AY$13)&gt;0,EXP(BL7)/$BU$7,"")</f>
        <v>5.6968922158116412E-6</v>
      </c>
      <c r="BX7" s="56">
        <f t="shared" si="4"/>
        <v>1.3322444906811083E-9</v>
      </c>
      <c r="BY7" s="56">
        <f t="shared" si="4"/>
        <v>5.7062664277798825E-4</v>
      </c>
      <c r="BZ7" s="56">
        <f t="shared" si="4"/>
        <v>0.99925135886245464</v>
      </c>
      <c r="CA7" s="56">
        <f t="shared" si="4"/>
        <v>1.1212709016320048E-18</v>
      </c>
      <c r="CB7" s="56">
        <f t="shared" si="4"/>
        <v>2.2813719768403936E-12</v>
      </c>
      <c r="CC7" s="56">
        <f t="shared" si="4"/>
        <v>1.3093545813996607E-7</v>
      </c>
      <c r="CD7" s="56">
        <f t="shared" si="4"/>
        <v>4.8569264270783204E-9</v>
      </c>
      <c r="CE7" s="56">
        <f t="shared" si="4"/>
        <v>8.0642565980636565E-12</v>
      </c>
      <c r="CF7" s="418" t="s">
        <v>1870</v>
      </c>
      <c r="CG7" s="221">
        <f>IF(SUM($AY$7:$AY$13)&gt;0,HLOOKUP(1,$BV$6:$CE$7,2,FALSE),"")</f>
        <v>0.99925135886245464</v>
      </c>
      <c r="CH7" s="221">
        <f>IF(SUM($AY$7:$AY$13)&gt;0,HLOOKUP(2,$BV$6:$CE$7,2,FALSE),"")</f>
        <v>5.7062664277798825E-4</v>
      </c>
      <c r="CI7" s="425" t="str">
        <f>"( "&amp;IF(CG7&lt;&gt;"",ROUND(CG7*100,0),"")&amp;" , "&amp;IF(CH7&lt;&gt;"",ROUND(CH7*100,0),"")&amp;" )"</f>
        <v>( 100 , 0 )</v>
      </c>
      <c r="CJ7" s="420">
        <f>CG7</f>
        <v>0.99925135886245464</v>
      </c>
      <c r="CK7" s="420">
        <f>CH7</f>
        <v>5.7062664277798825E-4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41.330800000000004</v>
      </c>
      <c r="DJ7" s="265">
        <f>(DI7-$DB7)/$DC7</f>
        <v>0.73078225156508081</v>
      </c>
      <c r="DK7" s="266">
        <f>IF(DH7=1,(DJ7-DF7)^2,0)</f>
        <v>0.17271632800370823</v>
      </c>
      <c r="DL7" s="267">
        <f>IF(DH7=1,(DJ7-DG7)^2,0)</f>
        <v>1.694034863899246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23.501300000000001</v>
      </c>
      <c r="O8" s="48">
        <f>M!C6*1</f>
        <v>4.0595100000000004</v>
      </c>
      <c r="P8" s="48">
        <f>M!D6*1</f>
        <v>17.273599999999998</v>
      </c>
      <c r="Q8" s="48">
        <f>M!E6*1</f>
        <v>20</v>
      </c>
      <c r="R8" s="48">
        <f>IF(M!B6="","",M!F6*1)</f>
        <v>19.5396</v>
      </c>
      <c r="S8" s="48">
        <f>M!G6*1</f>
        <v>40</v>
      </c>
      <c r="T8" s="48">
        <f>IF(M!B6="","",M!H6*1)</f>
        <v>43.003300000000003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-1.8694686645316625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23.501300000000001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23.501300000000001</v>
      </c>
      <c r="DJ8" s="265">
        <f t="shared" ref="DJ8:DJ14" si="8">(DI8-$DB8)/$DC8</f>
        <v>-1.1810430702403465</v>
      </c>
      <c r="DK8" s="273">
        <f t="shared" ref="DK8:DK14" si="9">IF(DH8=1,(DJ8-DF8)^2,0)</f>
        <v>9.0960461905099294E-2</v>
      </c>
      <c r="DL8" s="274">
        <f t="shared" ref="DL8:DL14" si="10">IF(DH8=1,(DJ8-DG8)^2,0)</f>
        <v>2.1098848234280307</v>
      </c>
    </row>
    <row r="9" spans="2:119" s="5" customFormat="1" ht="24.75" customHeight="1" thickBot="1">
      <c r="B9" s="62" t="str">
        <f>CONCATENATE(M7,"
(20 ~ 50)")</f>
        <v>적극/공격성
(20 ~ 50)</v>
      </c>
      <c r="C9" s="63">
        <f>R7</f>
        <v>35.111499999999999</v>
      </c>
      <c r="D9" s="64">
        <f>N7</f>
        <v>41.330800000000004</v>
      </c>
      <c r="E9" s="65">
        <f>T7</f>
        <v>48.258899999999997</v>
      </c>
      <c r="F9" s="65">
        <f>P7</f>
        <v>7.1527700000000003</v>
      </c>
      <c r="G9" s="66" t="str">
        <f>CONCATENATE(M8,"
(20 ~ 40)")</f>
        <v>스트레스
(20 ~ 40)</v>
      </c>
      <c r="H9" s="63">
        <f>R8</f>
        <v>19.5396</v>
      </c>
      <c r="I9" s="67">
        <f>N8</f>
        <v>23.501300000000001</v>
      </c>
      <c r="J9" s="63">
        <f>T8</f>
        <v>43.003300000000003</v>
      </c>
      <c r="K9" s="68">
        <f>P8</f>
        <v>17.273599999999998</v>
      </c>
      <c r="L9" s="1">
        <f>IF(M!B7="","",IF(N9&lt;U9,1,IF(N9&lt;V9,2,IF(N9&lt;W9,3,IF(N9&lt;X9,4,5)))))</f>
        <v>1</v>
      </c>
      <c r="M9" s="162" t="str">
        <f>lang!B16</f>
        <v>불안</v>
      </c>
      <c r="N9" s="48">
        <f>IF(M!B7="","",M!B7*1)</f>
        <v>13.3658</v>
      </c>
      <c r="O9" s="48">
        <f>M!C7*1</f>
        <v>6.7251000000000003</v>
      </c>
      <c r="P9" s="48">
        <f>M!D7*1</f>
        <v>50.3157</v>
      </c>
      <c r="Q9" s="48">
        <f>M!E7*1</f>
        <v>15</v>
      </c>
      <c r="R9" s="48">
        <f>IF(M!B7="","",M!F7*1)</f>
        <v>3.7194400000000001</v>
      </c>
      <c r="S9" s="48">
        <f>M!G7*1</f>
        <v>40</v>
      </c>
      <c r="T9" s="48">
        <f>IF(M!B7="","",M!H7*1)</f>
        <v>32.331699999999998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-1.4020192910957161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13.3658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13.3658</v>
      </c>
      <c r="DJ9" s="265">
        <f t="shared" si="8"/>
        <v>-2.0538717136604863</v>
      </c>
      <c r="DK9" s="273">
        <f t="shared" si="9"/>
        <v>0.6983713778422721</v>
      </c>
      <c r="DL9" s="274">
        <f t="shared" si="10"/>
        <v>4.8936357742678718</v>
      </c>
      <c r="DM9"/>
      <c r="DN9"/>
    </row>
    <row r="10" spans="2:119" s="4" customFormat="1" ht="30.3" thickBot="1">
      <c r="B10" s="57" t="str">
        <f>CONCATENATE(M9,"
(15 ~ 40)")</f>
        <v>불안
(15 ~ 40)</v>
      </c>
      <c r="C10" s="17">
        <f>R9</f>
        <v>3.7194400000000001</v>
      </c>
      <c r="D10" s="41">
        <f>N9</f>
        <v>13.3658</v>
      </c>
      <c r="E10" s="43">
        <f>T9</f>
        <v>32.331699999999998</v>
      </c>
      <c r="F10" s="43">
        <f>P9</f>
        <v>50.3157</v>
      </c>
      <c r="G10" s="59" t="str">
        <f>CONCATENATE(M10,"
(20 ~ 50)")</f>
        <v>의심
(20 ~ 50)</v>
      </c>
      <c r="H10" s="17">
        <f>R10</f>
        <v>3.8841600000000001</v>
      </c>
      <c r="I10" s="42">
        <f>N10</f>
        <v>24.275099999999998</v>
      </c>
      <c r="J10" s="17">
        <f>T10</f>
        <v>30.8826</v>
      </c>
      <c r="K10" s="18">
        <f>P10</f>
        <v>26.7529</v>
      </c>
      <c r="L10" s="1">
        <f>IF(M!B8="","",IF(N10&lt;U10,1,IF(N10&lt;V10,2,IF(N10&lt;W10,3,IF(N10&lt;X10,4,5)))))</f>
        <v>2</v>
      </c>
      <c r="M10" s="162" t="str">
        <f>lang!B17</f>
        <v>의심</v>
      </c>
      <c r="N10" s="48">
        <f>IF(M!B8="","",M!B8*1)</f>
        <v>24.275099999999998</v>
      </c>
      <c r="O10" s="48">
        <f>M!C8*1</f>
        <v>6.4942900000000003</v>
      </c>
      <c r="P10" s="48">
        <f>M!D8*1</f>
        <v>26.7529</v>
      </c>
      <c r="Q10" s="48">
        <f>M!E8*1</f>
        <v>20</v>
      </c>
      <c r="R10" s="48">
        <f>IF(M!B8="","",M!F8*1)</f>
        <v>3.8841600000000001</v>
      </c>
      <c r="S10" s="48">
        <f>M!G8*1</f>
        <v>50</v>
      </c>
      <c r="T10" s="48">
        <f>IF(M!B8="","",M!H8*1)</f>
        <v>30.8826</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-1.8791830688021876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78.912400000000005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78.912400000000005</v>
      </c>
      <c r="DJ10" s="265">
        <f t="shared" si="8"/>
        <v>1.4664299020652534</v>
      </c>
      <c r="DK10" s="273">
        <f t="shared" si="9"/>
        <v>2.9718435163505545</v>
      </c>
      <c r="DL10" s="274">
        <f t="shared" si="10"/>
        <v>9.1849157427681369</v>
      </c>
      <c r="DM10"/>
      <c r="DN10"/>
    </row>
    <row r="11" spans="2:119" s="4" customFormat="1" ht="24.75" customHeight="1" thickBot="1">
      <c r="B11" s="57" t="str">
        <f>CONCATENATE(M11,"
(50 ~ 100)")</f>
        <v>밸런스
(50 ~ 100)</v>
      </c>
      <c r="C11" s="17">
        <f>R11</f>
        <v>65.811099999999996</v>
      </c>
      <c r="D11" s="42">
        <f>N11</f>
        <v>78.912400000000005</v>
      </c>
      <c r="E11" s="17">
        <f>T11</f>
        <v>89.948300000000003</v>
      </c>
      <c r="F11" s="17">
        <f>P11</f>
        <v>8.0217100000000006</v>
      </c>
      <c r="G11" s="59" t="str">
        <f>CONCATENATE(M12,"
(40 ~ 100)")</f>
        <v>카리스마
(40 ~ 100)</v>
      </c>
      <c r="H11" s="17">
        <f>R12</f>
        <v>18.722899999999999</v>
      </c>
      <c r="I11" s="42">
        <f>N12</f>
        <v>30.875299999999999</v>
      </c>
      <c r="J11" s="17">
        <f>T12</f>
        <v>34.910499999999999</v>
      </c>
      <c r="K11" s="18">
        <f>P12</f>
        <v>15.0158</v>
      </c>
      <c r="L11" s="1">
        <f>IF(M!B9="","",IF(N11&lt;U11,1,IF(N11&lt;V11,2,IF(N11&lt;W11,3,IF(N11&lt;X11,4,5)))))</f>
        <v>4</v>
      </c>
      <c r="M11" s="162" t="str">
        <f>lang!B18</f>
        <v>밸런스</v>
      </c>
      <c r="N11" s="48">
        <f>IF(M!B9="","",M!B9*1)</f>
        <v>78.912400000000005</v>
      </c>
      <c r="O11" s="48">
        <f>M!C9*1</f>
        <v>6.33012</v>
      </c>
      <c r="P11" s="48">
        <f>M!D9*1</f>
        <v>8.0217100000000006</v>
      </c>
      <c r="Q11" s="48">
        <f>M!E9*1</f>
        <v>50</v>
      </c>
      <c r="R11" s="48">
        <f>IF(M!B9="","",M!F9*1)</f>
        <v>65.811099999999996</v>
      </c>
      <c r="S11" s="48">
        <f>M!G9*1</f>
        <v>100</v>
      </c>
      <c r="T11" s="48">
        <f>IF(M!B9="","",M!H9*1)</f>
        <v>89.948300000000003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1.7234186326644538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30.875299999999999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30.875299999999999</v>
      </c>
      <c r="DJ11" s="265">
        <f t="shared" si="8"/>
        <v>-2.5027006254952728</v>
      </c>
      <c r="DK11" s="273">
        <f t="shared" si="9"/>
        <v>12.342024548397379</v>
      </c>
      <c r="DL11" s="274">
        <f t="shared" si="10"/>
        <v>4.5212752940569185</v>
      </c>
      <c r="DM11"/>
      <c r="DN11"/>
    </row>
    <row r="12" spans="2:119" s="4" customFormat="1" ht="24.75" customHeight="1" thickBot="1">
      <c r="B12" s="57" t="str">
        <f>CONCATENATE(M13,"
(10 ~ 50)")</f>
        <v>에너지
(10 ~ 50)</v>
      </c>
      <c r="C12" s="17">
        <f>R13</f>
        <v>27.371300000000002</v>
      </c>
      <c r="D12" s="41">
        <f>N13</f>
        <v>35.391300000000001</v>
      </c>
      <c r="E12" s="43">
        <f>T13</f>
        <v>37.759900000000002</v>
      </c>
      <c r="F12" s="43">
        <f>P13</f>
        <v>7.5878399999999999</v>
      </c>
      <c r="G12" s="59" t="str">
        <f>CONCATENATE(M14,"
(50 ~ 100)")</f>
        <v>자기조절
(50 ~ 100)</v>
      </c>
      <c r="H12" s="17">
        <f>R14</f>
        <v>47.226300000000002</v>
      </c>
      <c r="I12" s="42">
        <f>N14</f>
        <v>53.356099999999998</v>
      </c>
      <c r="J12" s="17">
        <f>T14</f>
        <v>62.357599999999998</v>
      </c>
      <c r="K12" s="18">
        <f>P14</f>
        <v>7.0121099999999998</v>
      </c>
      <c r="L12" s="1">
        <f>IF(M!B10="","",IF(N12&lt;U12,1,IF(N12&lt;V12,2,IF(N12&lt;W12,3,IF(N12&lt;X12,4,5)))))</f>
        <v>1</v>
      </c>
      <c r="M12" s="162" t="str">
        <f>lang!B19</f>
        <v>카리스마</v>
      </c>
      <c r="N12" s="48">
        <f>IF(M!B10="","",M!B10*1)</f>
        <v>30.875299999999999</v>
      </c>
      <c r="O12" s="48">
        <f>M!C10*1</f>
        <v>4.6361600000000003</v>
      </c>
      <c r="P12" s="48">
        <f>M!D10*1</f>
        <v>15.0158</v>
      </c>
      <c r="Q12" s="48">
        <f>M!E10*1</f>
        <v>40</v>
      </c>
      <c r="R12" s="48">
        <f>IF(M!B10="","",M!F10*1)</f>
        <v>18.722899999999999</v>
      </c>
      <c r="S12" s="48">
        <f>M!G10*1</f>
        <v>100</v>
      </c>
      <c r="T12" s="48">
        <f>IF(M!B10="","",M!H10*1)</f>
        <v>34.910499999999999</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-5.7946486990658901</v>
      </c>
      <c r="AI12" s="98">
        <v>0.31913434649697919</v>
      </c>
      <c r="AJ12" s="98">
        <v>3.8587997439955973E-2</v>
      </c>
      <c r="AK12" s="98">
        <v>1.0272327081707585E-2</v>
      </c>
      <c r="AL12" s="98">
        <v>1.9404033844491575E-2</v>
      </c>
      <c r="AM12" s="101"/>
      <c r="AN12" s="101"/>
      <c r="AO12" s="101"/>
      <c r="AP12" s="101"/>
      <c r="AX12" s="171"/>
      <c r="AY12" s="219">
        <f>N13</f>
        <v>35.391300000000001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35.391300000000001</v>
      </c>
      <c r="DJ12" s="265">
        <f t="shared" si="8"/>
        <v>2.7289292279416122</v>
      </c>
      <c r="DK12" s="273">
        <f t="shared" si="9"/>
        <v>0.70750314837079853</v>
      </c>
      <c r="DL12" s="274">
        <f t="shared" si="10"/>
        <v>5.7003863753168016</v>
      </c>
      <c r="DM12"/>
      <c r="DN12"/>
    </row>
    <row r="13" spans="2:119" ht="24.75" customHeight="1" thickBot="1">
      <c r="B13" s="58" t="str">
        <f>CONCATENATE(M15,"
(10 ~ 25)")</f>
        <v>억제
(10 ~ 25)</v>
      </c>
      <c r="C13" s="44">
        <f>R15</f>
        <v>14.9016</v>
      </c>
      <c r="D13" s="45">
        <f>N15</f>
        <v>20.578900000000001</v>
      </c>
      <c r="E13" s="46">
        <f>T15</f>
        <v>28.0181</v>
      </c>
      <c r="F13" s="46">
        <f>P15</f>
        <v>17.199400000000001</v>
      </c>
      <c r="G13" s="60" t="str">
        <f>CONCATENATE(M16,"
(10 ~ 50)")</f>
        <v>신경성
(10 ~ 50)</v>
      </c>
      <c r="H13" s="44">
        <f>R16</f>
        <v>0.70426599999999995</v>
      </c>
      <c r="I13" s="45">
        <f>N16</f>
        <v>35.394399999999997</v>
      </c>
      <c r="J13" s="46">
        <f>T16</f>
        <v>35.394399999999997</v>
      </c>
      <c r="K13" s="47">
        <f>P16</f>
        <v>25.8996</v>
      </c>
      <c r="L13" s="1">
        <f>IF(M!B11="","",IF(N13&lt;U13,1,IF(N13&lt;V13,2,IF(N13&lt;W13,3,IF(N13&lt;X13,4,5)))))</f>
        <v>4</v>
      </c>
      <c r="M13" s="162" t="str">
        <f>lang!B20</f>
        <v>에너지</v>
      </c>
      <c r="N13" s="48">
        <f>IF(M!B11="","",M!B11*1)</f>
        <v>35.391300000000001</v>
      </c>
      <c r="O13" s="48">
        <f>M!C11*1</f>
        <v>2.6854399999999998</v>
      </c>
      <c r="P13" s="48">
        <f>M!D11*1</f>
        <v>7.5878399999999999</v>
      </c>
      <c r="Q13" s="48">
        <f>M!E11*1</f>
        <v>10</v>
      </c>
      <c r="R13" s="48">
        <f>IF(M!B11="","",M!F11*1)</f>
        <v>27.371300000000002</v>
      </c>
      <c r="S13" s="48">
        <f>M!G11*1</f>
        <v>50</v>
      </c>
      <c r="T13" s="48">
        <f>IF(M!B11="","",M!H11*1)</f>
        <v>37.759900000000002</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2.896799538269629</v>
      </c>
      <c r="AI13" s="98">
        <v>0.16093442074971984</v>
      </c>
      <c r="AJ13" s="98">
        <v>-1.0988594420247608E-2</v>
      </c>
      <c r="AK13" s="98">
        <v>0.37151940745754808</v>
      </c>
      <c r="AL13" s="98">
        <v>8.9062029657998948E-2</v>
      </c>
      <c r="AM13" s="96"/>
      <c r="AN13" s="96"/>
      <c r="AO13" s="96"/>
      <c r="AP13" s="96"/>
      <c r="AX13" s="171"/>
      <c r="AY13" s="219">
        <f>info!W36</f>
        <v>63.543479999999995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35.394399999999997</v>
      </c>
      <c r="DJ13" s="265">
        <f t="shared" si="8"/>
        <v>0.5081906603191314</v>
      </c>
      <c r="DK13" s="273">
        <f>IF(DH13=1,(DJ13-DF13)^2,0)</f>
        <v>4.6726146133777326E-3</v>
      </c>
      <c r="DL13" s="274">
        <f t="shared" si="10"/>
        <v>0.76756850759953488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2</v>
      </c>
      <c r="M14" s="162" t="str">
        <f>lang!B21</f>
        <v>자기조절</v>
      </c>
      <c r="N14" s="48">
        <f>IF(M!B12="","",M!B12*1)</f>
        <v>53.356099999999998</v>
      </c>
      <c r="O14" s="48">
        <f>M!C12*1</f>
        <v>3.74139</v>
      </c>
      <c r="P14" s="48">
        <f>M!D12*1</f>
        <v>7.0121099999999998</v>
      </c>
      <c r="Q14" s="48">
        <f>M!E12*1</f>
        <v>50</v>
      </c>
      <c r="R14" s="48">
        <f>IF(M!B12="","",M!F12*1)</f>
        <v>47.226300000000002</v>
      </c>
      <c r="S14" s="48">
        <f>M!G12*1</f>
        <v>100</v>
      </c>
      <c r="T14" s="48">
        <f>IF(M!B12="","",M!H12*1)</f>
        <v>62.357599999999998</v>
      </c>
      <c r="U14" s="125">
        <v>50</v>
      </c>
      <c r="V14" s="125">
        <v>55</v>
      </c>
      <c r="W14" s="125">
        <v>75</v>
      </c>
      <c r="X14" s="125">
        <v>80</v>
      </c>
      <c r="Y14" s="126" t="str">
        <f>IF(M!B12="","",IF(N14&lt;U14,lang!B$210,IF(N14&lt;V14,lang!B$211,IF(N14&lt;W14,lang!B$212,IF(N14&lt;X14,lang!B$213,lang!B$214)))))</f>
        <v>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-3.9270273470394961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62.856199999999994</v>
      </c>
      <c r="DJ14" s="265">
        <f t="shared" si="8"/>
        <v>0.60646876314040654</v>
      </c>
      <c r="DK14" s="279">
        <f t="shared" si="9"/>
        <v>0.4571481514267885</v>
      </c>
      <c r="DL14" s="280">
        <f t="shared" si="10"/>
        <v>7.5406910474756152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20.578900000000001</v>
      </c>
      <c r="O15" s="48">
        <f>M!C13*1</f>
        <v>3.5394399999999999</v>
      </c>
      <c r="P15" s="48">
        <f>M!D13*1</f>
        <v>17.199400000000001</v>
      </c>
      <c r="Q15" s="48">
        <f>M!E13*1</f>
        <v>10</v>
      </c>
      <c r="R15" s="48">
        <f>IF(M!B13="","",M!F13*1)</f>
        <v>14.9016</v>
      </c>
      <c r="S15" s="48">
        <f>M!G13*1</f>
        <v>25</v>
      </c>
      <c r="T15" s="48">
        <f>IF(M!B13="","",M!H13*1)</f>
        <v>28.0181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0.21255811769126079</v>
      </c>
      <c r="AI15" s="98">
        <v>-8.3250321124619289E-2</v>
      </c>
      <c r="AJ15" s="98">
        <v>-0.44690513063775733</v>
      </c>
      <c r="AK15" s="98">
        <v>0.12052818186953573</v>
      </c>
      <c r="AL15" s="98">
        <v>-2.4174505446491225E-2</v>
      </c>
      <c r="AM15" s="96"/>
      <c r="AN15" s="96"/>
      <c r="AO15" s="96"/>
      <c r="AP15" s="96"/>
      <c r="AX15" s="171"/>
      <c r="AY15" s="50">
        <f>SUM(AY7:AY14)</f>
        <v>286.92038000000002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17.445240146909978</v>
      </c>
      <c r="DL15" s="281">
        <f>IF(SUM($DI$7:$DI$14)&gt;0,SUM(DL7:DL14),0)</f>
        <v>36.412392428812154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35.394399999999997</v>
      </c>
      <c r="O16" s="48">
        <f>M!C14*1</f>
        <v>9.1670200000000008</v>
      </c>
      <c r="P16" s="48">
        <f>M!D14*1</f>
        <v>25.8996</v>
      </c>
      <c r="Q16" s="48">
        <f>M!E14*1</f>
        <v>10</v>
      </c>
      <c r="R16" s="48">
        <f>IF(M!B14="","",M!F14*1)</f>
        <v>0.70426599999999995</v>
      </c>
      <c r="S16" s="48">
        <f>M!G14*1</f>
        <v>50</v>
      </c>
      <c r="T16" s="48">
        <f>IF(M!B14="","",M!H14*1)</f>
        <v>35.394399999999997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0.40749929434135951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5.7322226095989109E-2</v>
      </c>
      <c r="DL16" s="281">
        <f>IF(DL15&gt;0,1/DL15,0)</f>
        <v>2.7463177596886677E-2</v>
      </c>
      <c r="DM16" t="s">
        <v>1207</v>
      </c>
    </row>
    <row r="17" spans="2:117" ht="21" customHeight="1" thickBot="1">
      <c r="B17" s="20"/>
      <c r="C17"/>
      <c r="D17"/>
      <c r="E17"/>
      <c r="F17"/>
      <c r="G17" s="1071"/>
      <c r="H17" s="827"/>
      <c r="I17" s="827"/>
      <c r="J17" s="827"/>
      <c r="K17" s="828"/>
      <c r="M17" s="163" t="str">
        <f>lang!B7</f>
        <v>긍정감정</v>
      </c>
      <c r="N17" s="54">
        <f>SUM(N11:N14)/4</f>
        <v>49.633775</v>
      </c>
      <c r="O17" s="16">
        <f>N17/(N17+N18+N19)</f>
        <v>0.48076726091263761</v>
      </c>
      <c r="P17" s="54">
        <f>SUM(P11:P14)/4</f>
        <v>9.4093650000000011</v>
      </c>
      <c r="Q17" s="16">
        <f>P17/(P17+P18+P19)</f>
        <v>0.16703230007593739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0.6760860195185423</v>
      </c>
      <c r="DL17" s="283"/>
      <c r="DM17" s="284" t="s">
        <v>1208</v>
      </c>
    </row>
    <row r="18" spans="2:117" ht="21" customHeight="1">
      <c r="B18" s="20"/>
      <c r="C18"/>
      <c r="D18"/>
      <c r="E18"/>
      <c r="F18"/>
      <c r="G18" s="1071"/>
      <c r="H18" s="827"/>
      <c r="I18" s="827"/>
      <c r="J18" s="827"/>
      <c r="K18" s="828"/>
      <c r="M18" s="163" t="str">
        <f>lang!B8</f>
        <v>부정감정</v>
      </c>
      <c r="N18" s="14">
        <f>SUM(N7:N10)/4</f>
        <v>25.61825</v>
      </c>
      <c r="O18" s="16">
        <f>N18/(N17+N18+N19)</f>
        <v>0.24814586200375005</v>
      </c>
      <c r="P18" s="14">
        <f>SUM(P7:P10)/4</f>
        <v>25.373742499999999</v>
      </c>
      <c r="Q18" s="16">
        <f>P18/(P17+P18+P19)</f>
        <v>0.45042726807914935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27.986649999999997</v>
      </c>
      <c r="O19" s="16">
        <f>N19/(N17+N18+N19)</f>
        <v>0.27108687708361229</v>
      </c>
      <c r="P19" s="14">
        <f>(P15+P16)/2</f>
        <v>21.549500000000002</v>
      </c>
      <c r="Q19" s="16">
        <f>P19/(P17+P18+P19)</f>
        <v>0.38254043184491326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2.1476500000000001</v>
      </c>
      <c r="D24" s="34" t="str">
        <f>lang!B11</f>
        <v>편차</v>
      </c>
      <c r="E24" s="1077">
        <f>FH_info!G2*1</f>
        <v>0.44611800000000001</v>
      </c>
      <c r="F24" s="1078"/>
      <c r="G24" s="1075" t="str">
        <f>lang!B12</f>
        <v>정보(I)변화량</v>
      </c>
      <c r="H24" s="1076"/>
      <c r="I24" s="51" t="str">
        <f ca="1">CONCATENATE(info!N7,"-",info!N8)</f>
        <v>37.7-56.3</v>
      </c>
      <c r="J24" s="32" t="str">
        <f>lang!B13</f>
        <v>Kcal/분</v>
      </c>
      <c r="K24" s="31" t="str">
        <f ca="1">CONCATENATE(info!N5,"-",info!N6)</f>
        <v>4-4.7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62.856199999999994</v>
      </c>
      <c r="F27" s="1043"/>
      <c r="G27" s="1055" t="str">
        <f>lang!B33</f>
        <v>정서안정성</v>
      </c>
      <c r="H27" s="1056"/>
      <c r="I27" s="1057"/>
      <c r="J27" s="993">
        <f>M!B19*100</f>
        <v>46.0349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4.68405</v>
      </c>
      <c r="H2" s="50">
        <f>IF(FT!B2&lt;&gt;"",FT!B2*100,"")</f>
        <v>48.366900000000001</v>
      </c>
      <c r="I2" s="50">
        <f>(IF(G2&lt;&gt;"",1,""))</f>
        <v>1</v>
      </c>
      <c r="J2" t="str">
        <f>IF(FT!B2&lt;&gt;"",FT!E2,"")</f>
        <v>0 [0.000000]</v>
      </c>
      <c r="K2">
        <f>IF(FT!B2&lt;&gt;"",IF(FT!C2&lt;&gt;"",FT!C2,F2/$M$3*$M$4),"")</f>
        <v>0</v>
      </c>
      <c r="L2" t="s">
        <v>52</v>
      </c>
      <c r="M2">
        <f>FH_info!E2</f>
        <v>4.9234099999999996</v>
      </c>
      <c r="N2" s="75">
        <f>LOOKUP(O3,A2:A1000,B2:B1000)</f>
        <v>2.4713587450980392</v>
      </c>
      <c r="O2" s="50">
        <f>MAX(C2:C1000)</f>
        <v>1</v>
      </c>
      <c r="P2" t="s">
        <v>60</v>
      </c>
      <c r="Q2" t="s">
        <v>61</v>
      </c>
      <c r="R2" t="s">
        <v>62</v>
      </c>
      <c r="S2" t="s">
        <v>63</v>
      </c>
      <c r="T2" t="s">
        <v>64</v>
      </c>
      <c r="V2" s="50">
        <f>FT!G2*10</f>
        <v>4.6467499999999999</v>
      </c>
      <c r="W2" s="50">
        <f>FT!H2*100</f>
        <v>48.816400000000002</v>
      </c>
      <c r="Y2">
        <f>IF(I2=1,H2/G2,"")</f>
        <v>10.325871841675474</v>
      </c>
      <c r="Z2">
        <f>AVERAGE(Y2:Y2000)</f>
        <v>11.635179883499303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4.6467499999999999</v>
      </c>
      <c r="H3" s="50">
        <f>IF(FT!B3&lt;&gt;"",FT!B3*100,"")</f>
        <v>48.816400000000002</v>
      </c>
      <c r="I3" s="50">
        <f t="shared" ref="I3:I66" si="2">(IF(G3&lt;&gt;"",1,""))</f>
        <v>1</v>
      </c>
      <c r="J3" t="str">
        <f>IF(FT!B3&lt;&gt;"",FT!E3,"")</f>
        <v>0 [0.392360]</v>
      </c>
      <c r="K3">
        <f>IF(FT!B3&lt;&gt;"",IF(FT!C3&lt;&gt;"",FT!C3,F3/$M$3*$M$4),"")</f>
        <v>0.39235999999999999</v>
      </c>
      <c r="L3" t="s">
        <v>53</v>
      </c>
      <c r="M3">
        <f>SUM(I2:I2005)</f>
        <v>26</v>
      </c>
      <c r="O3" s="104">
        <f>MATCH(O2,C2:C1000,0)-1</f>
        <v>128</v>
      </c>
      <c r="P3">
        <v>0</v>
      </c>
      <c r="Q3">
        <v>0</v>
      </c>
      <c r="R3">
        <f>IF(S4=0,M3,0)</f>
        <v>26</v>
      </c>
      <c r="S3">
        <f t="array" ref="S3">MAX(IF(ft_nq=0,row_n))</f>
        <v>1998</v>
      </c>
      <c r="T3">
        <f>R3-Q3</f>
        <v>26</v>
      </c>
      <c r="V3" s="50">
        <f>FT!G3*10</f>
        <v>4.0344100000000003</v>
      </c>
      <c r="W3" s="50">
        <f>FT!H3*100</f>
        <v>43.695499999999996</v>
      </c>
      <c r="Y3" s="75">
        <f t="shared" ref="Y3:Y66" si="3">IF(I3=1,H3/G3,"")</f>
        <v>10.505493086565879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4.6045699999999998</v>
      </c>
      <c r="H4" s="50">
        <f>IF(FT!B4&lt;&gt;"",FT!B4*100,"")</f>
        <v>49.805799999999998</v>
      </c>
      <c r="I4" s="50">
        <f t="shared" si="2"/>
        <v>1</v>
      </c>
      <c r="J4" t="str">
        <f>IF(FT!B4&lt;&gt;"",FT!E4,"")</f>
        <v>0 [0.798065]</v>
      </c>
      <c r="K4">
        <f>IF(FT!B4&lt;&gt;"",IF(FT!C4&lt;&gt;"",FT!C4,F4/$M$3*$M$4),"")</f>
        <v>0.79806500000000002</v>
      </c>
      <c r="L4" t="s">
        <v>246</v>
      </c>
      <c r="M4">
        <f>IF(M2&lt;&gt;0,M3/M2*2,0)</f>
        <v>10.561785429204557</v>
      </c>
      <c r="P4">
        <f>P3+1</f>
        <v>1</v>
      </c>
      <c r="Q4">
        <v>0</v>
      </c>
      <c r="R4">
        <f>IF(S4=1998,0,S4)</f>
        <v>0</v>
      </c>
      <c r="S4">
        <f t="array" ref="S4">MAX(IF(ft_nq=P4,row_n))</f>
        <v>0</v>
      </c>
      <c r="T4">
        <f>R4-Q4+1</f>
        <v>1</v>
      </c>
      <c r="V4" t="s">
        <v>209</v>
      </c>
      <c r="W4" s="23">
        <f>IF(ISERROR(V3-V2)=FALSE,(V3-V2)*10,0)</f>
        <v>-6.1233999999999966</v>
      </c>
      <c r="Y4" s="75">
        <f t="shared" si="3"/>
        <v>10.816601767374587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4.5506700000000002</v>
      </c>
      <c r="H5" s="50">
        <f>IF(FT!B5&lt;&gt;"",FT!B5*100,"")</f>
        <v>51.362099999999998</v>
      </c>
      <c r="I5" s="50">
        <f t="shared" si="2"/>
        <v>1</v>
      </c>
      <c r="J5" t="str">
        <f>IF(FT!B5&lt;&gt;"",FT!E5,"")</f>
        <v>0 [1.207187]</v>
      </c>
      <c r="K5">
        <f>IF(FT!B5&lt;&gt;"",IF(FT!C5&lt;&gt;"",FT!C5,F5/$M$3*$M$4),"")</f>
        <v>1.20719</v>
      </c>
      <c r="L5" t="s">
        <v>54</v>
      </c>
      <c r="M5" s="52">
        <f ca="1">IF(M3&gt;0,MIN(FT_E),0)</f>
        <v>3.9943299999999997</v>
      </c>
      <c r="N5" s="52">
        <f ca="1">IF(M3&gt;0,ROUND(M5,1),0)</f>
        <v>4</v>
      </c>
      <c r="P5">
        <f t="shared" ref="P5:P27" si="10">P4+1</f>
        <v>2</v>
      </c>
      <c r="Q5">
        <f>IF(S5=1998,0,R4)</f>
        <v>0</v>
      </c>
      <c r="R5">
        <f>IF(S5=1998,0,S5)</f>
        <v>0</v>
      </c>
      <c r="S5">
        <f t="array" ref="S5">MAX(IF(ft_nq=P5,row_n))</f>
        <v>0</v>
      </c>
      <c r="T5">
        <f t="shared" ref="T5:T27" si="11">R5-Q5+1</f>
        <v>1</v>
      </c>
      <c r="V5" t="s">
        <v>210</v>
      </c>
      <c r="W5" s="23">
        <f>IF(ISERROR(W3-W2)=FALSE,W3-W2,0)</f>
        <v>-5.120900000000006</v>
      </c>
      <c r="Y5" s="75">
        <f t="shared" si="3"/>
        <v>11.286711627079088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4.5075799999999999</v>
      </c>
      <c r="H6" s="50">
        <f>IF(FT!B6&lt;&gt;"",FT!B6*100,"")</f>
        <v>52.696399999999997</v>
      </c>
      <c r="I6" s="50">
        <f t="shared" si="2"/>
        <v>1</v>
      </c>
      <c r="J6" t="str">
        <f>IF(FT!B6&lt;&gt;"",FT!E6,"")</f>
        <v>0 [1.614489]</v>
      </c>
      <c r="K6">
        <f>IF(FT!B6&lt;&gt;"",IF(FT!C6&lt;&gt;"",FT!C6,F6/$M$3*$M$4),"")</f>
        <v>1.61449</v>
      </c>
      <c r="L6" t="s">
        <v>55</v>
      </c>
      <c r="M6" s="52">
        <f ca="1">IF(M3&gt;0,MAX(FT_E),0)</f>
        <v>4.68405</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0.83628376392200554</v>
      </c>
      <c r="Y6" s="75">
        <f t="shared" si="3"/>
        <v>11.690618913030939</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1</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0.66960701614025997</v>
      </c>
      <c r="E7" s="50">
        <f t="shared" si="1"/>
        <v>3.4489973127745961E-5</v>
      </c>
      <c r="F7">
        <f t="shared" si="6"/>
        <v>5</v>
      </c>
      <c r="G7" s="50">
        <f>IF(FT!A7&lt;&gt;"",FT!A7*10,"")</f>
        <v>4.4880300000000002</v>
      </c>
      <c r="H7" s="50">
        <f>IF(FT!B7&lt;&gt;"",FT!B7*100,"")</f>
        <v>53.884699999999995</v>
      </c>
      <c r="I7" s="50">
        <f t="shared" si="2"/>
        <v>1</v>
      </c>
      <c r="J7" t="str">
        <f>IF(FT!B7&lt;&gt;"",FT!E7,"")</f>
        <v>0 [2.016702]</v>
      </c>
      <c r="K7">
        <f>IF(FT!B7&lt;&gt;"",IF(FT!C7&lt;&gt;"",FT!C7,F7/$M$3*$M$4),"")</f>
        <v>2.0167000000000002</v>
      </c>
      <c r="L7" t="s">
        <v>56</v>
      </c>
      <c r="M7" s="366">
        <f ca="1">IF(M3&gt;0,MIN(FT_PH),0)</f>
        <v>37.676700000000004</v>
      </c>
      <c r="N7" s="52">
        <f ca="1">IF(M3&gt;0,ROUND(M7,1),0)</f>
        <v>37.700000000000003</v>
      </c>
      <c r="P7">
        <f t="shared" si="10"/>
        <v>4</v>
      </c>
      <c r="Q7">
        <f t="shared" si="12"/>
        <v>0</v>
      </c>
      <c r="R7">
        <f t="shared" si="13"/>
        <v>0</v>
      </c>
      <c r="S7">
        <f t="array" ref="S7">MAX(IF(ft_nq=P7,row_n))</f>
        <v>0</v>
      </c>
      <c r="T7">
        <f t="shared" si="11"/>
        <v>1</v>
      </c>
      <c r="V7" t="s">
        <v>212</v>
      </c>
      <c r="W7" s="23">
        <f>DEGREES(ATAN(W6))</f>
        <v>39.905192011385857</v>
      </c>
      <c r="X7" s="106">
        <v>0.05</v>
      </c>
      <c r="Y7" s="75">
        <f t="shared" si="3"/>
        <v>12.006314574546069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1.3015200460217719E-3</v>
      </c>
      <c r="D8" s="50">
        <f>IF(hist!$D$2&gt;0,hist!B8/hist!$D$2,0)</f>
        <v>1</v>
      </c>
      <c r="E8" s="50">
        <f t="shared" si="1"/>
        <v>4.239235128206329E-5</v>
      </c>
      <c r="F8">
        <f t="shared" si="6"/>
        <v>6</v>
      </c>
      <c r="G8" s="50">
        <f>IF(FT!A8&lt;&gt;"",FT!A8*10,"")</f>
        <v>4.4780499999999996</v>
      </c>
      <c r="H8" s="50">
        <f>IF(FT!B8&lt;&gt;"",FT!B8*100,"")</f>
        <v>54.880099999999999</v>
      </c>
      <c r="I8" s="50">
        <f t="shared" si="2"/>
        <v>1</v>
      </c>
      <c r="J8" t="str">
        <f>IF(FT!B8&lt;&gt;"",FT!E8,"")</f>
        <v>0 [2.424335]</v>
      </c>
      <c r="K8">
        <f>IF(FT!B8&lt;&gt;"",IF(FT!C8&lt;&gt;"",FT!C8,F8/$M$3*$M$4),"")</f>
        <v>2.4243299999999999</v>
      </c>
      <c r="L8" t="s">
        <v>57</v>
      </c>
      <c r="M8" s="52">
        <f ca="1">IF(M3&gt;0,MAX(FT_PH),0)</f>
        <v>56.307200000000002</v>
      </c>
      <c r="N8" s="52">
        <f ca="1">IF(M3&gt;0,ROUND(M8,1),0)</f>
        <v>56.3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12.255356684271057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4.4762899999999997</v>
      </c>
      <c r="H9" s="50">
        <f>IF(FT!B9&lt;&gt;"",FT!B9*100,"")</f>
        <v>55.519200000000005</v>
      </c>
      <c r="I9" s="50">
        <f t="shared" si="2"/>
        <v>1</v>
      </c>
      <c r="J9" t="str">
        <f>IF(FT!B9&lt;&gt;"",FT!E9,"")</f>
        <v>0 [2.829000]</v>
      </c>
      <c r="K9">
        <f>IF(FT!B9&lt;&gt;"",IF(FT!C9&lt;&gt;"",FT!C9,F9/$M$3*$M$4),"")</f>
        <v>2.8290000000000002</v>
      </c>
      <c r="L9" t="s">
        <v>222</v>
      </c>
      <c r="M9" s="74">
        <f ca="1">IF(M3&gt;0,IF(COUNT(FT_E)&gt;0,AVERAGE(FT_E),0),0)</f>
        <v>4.3172092307692314</v>
      </c>
      <c r="N9" s="365">
        <f ca="1">IF(M3&gt;0,IF(COUNT(FT_PH)&gt;0,AVERAGE(FT_PH),0),0)</f>
        <v>50.284934615384614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12.402949764202054</v>
      </c>
      <c r="AB9" s="1">
        <v>60</v>
      </c>
      <c r="AC9" s="1">
        <v>70</v>
      </c>
      <c r="AD9" s="1">
        <f t="shared" si="7"/>
        <v>1</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4.4681500000000005</v>
      </c>
      <c r="H10" s="50">
        <f>IF(FT!B10&lt;&gt;"",FT!B10*100,"")</f>
        <v>56.163200000000003</v>
      </c>
      <c r="I10" s="50">
        <f t="shared" si="2"/>
        <v>1</v>
      </c>
      <c r="J10" t="str">
        <f>IF(FT!B10&lt;&gt;"",FT!E10,"")</f>
        <v>0 [3.237299]</v>
      </c>
      <c r="K10">
        <f>IF(FT!B10&lt;&gt;"",IF(FT!C10&lt;&gt;"",FT!C10,F10/$M$3*$M$4),"")</f>
        <v>3.2372999999999998</v>
      </c>
      <c r="M10">
        <v>2</v>
      </c>
      <c r="P10">
        <f t="shared" si="10"/>
        <v>7</v>
      </c>
      <c r="Q10">
        <f t="shared" si="12"/>
        <v>0</v>
      </c>
      <c r="R10">
        <f t="shared" si="13"/>
        <v>0</v>
      </c>
      <c r="S10">
        <f t="array" ref="S10">MAX(IF(ft_nq=P10,row_n))</f>
        <v>0</v>
      </c>
      <c r="T10">
        <f t="shared" si="11"/>
        <v>1</v>
      </c>
      <c r="V10" t="s">
        <v>215</v>
      </c>
      <c r="X10" s="71" t="s">
        <v>270</v>
      </c>
      <c r="Y10" s="75">
        <f t="shared" si="3"/>
        <v>12.569676488031959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6.073767590052217E-3</v>
      </c>
      <c r="D11" s="50">
        <f>IF(hist!$D$2&gt;0,hist!B11/hist!$D$2,0)</f>
        <v>0.36552483910691091</v>
      </c>
      <c r="E11" s="50">
        <f t="shared" si="1"/>
        <v>7.7730402646829089E-5</v>
      </c>
      <c r="F11">
        <f t="shared" si="6"/>
        <v>9</v>
      </c>
      <c r="G11" s="50">
        <f>IF(FT!A11&lt;&gt;"",FT!A11*10,"")</f>
        <v>4.4576900000000004</v>
      </c>
      <c r="H11" s="50">
        <f>IF(FT!B11&lt;&gt;"",FT!B11*100,"")</f>
        <v>56.307200000000002</v>
      </c>
      <c r="I11" s="50">
        <f t="shared" si="2"/>
        <v>1</v>
      </c>
      <c r="J11" t="str">
        <f>IF(FT!B11&lt;&gt;"",FT!E11,"")</f>
        <v>0 [3.647110]</v>
      </c>
      <c r="K11">
        <f>IF(FT!B11&lt;&gt;"",IF(FT!C11&lt;&gt;"",FT!C11,F11/$M$3*$M$4),"")</f>
        <v>3.6471100000000001</v>
      </c>
      <c r="M11" s="49">
        <f>MAX(IF(ft_nq=1,row_n))</f>
        <v>0</v>
      </c>
      <c r="P11">
        <f t="shared" si="10"/>
        <v>8</v>
      </c>
      <c r="Q11">
        <f t="shared" si="12"/>
        <v>0</v>
      </c>
      <c r="R11">
        <f t="shared" si="13"/>
        <v>0</v>
      </c>
      <c r="S11">
        <f t="array" ref="S11">MAX(IF(ft_nq=P11,row_n))</f>
        <v>0</v>
      </c>
      <c r="T11">
        <f t="shared" si="11"/>
        <v>1</v>
      </c>
      <c r="V11" s="71" t="s">
        <v>216</v>
      </c>
      <c r="W11" s="23">
        <f>FT!H11*100</f>
        <v>37.676700000000004</v>
      </c>
      <c r="Y11" s="75">
        <f t="shared" si="3"/>
        <v>12.631475046492689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4.7722420125674847E-3</v>
      </c>
      <c r="D12" s="50">
        <f>IF(hist!$D$2&gt;0,hist!B12/hist!$D$2,0)</f>
        <v>0.78485398797404016</v>
      </c>
      <c r="E12" s="50">
        <f t="shared" si="1"/>
        <v>9.4739671855514963E-5</v>
      </c>
      <c r="F12">
        <f t="shared" si="6"/>
        <v>10</v>
      </c>
      <c r="G12" s="50">
        <f>IF(FT!A12&lt;&gt;"",FT!A12*10,"")</f>
        <v>4.4435799999999999</v>
      </c>
      <c r="H12" s="50">
        <f>IF(FT!B12&lt;&gt;"",FT!B12*100,"")</f>
        <v>56.073900000000002</v>
      </c>
      <c r="I12" s="50">
        <f t="shared" si="2"/>
        <v>1</v>
      </c>
      <c r="J12" t="str">
        <f>IF(FT!B12&lt;&gt;"",FT!E12,"")</f>
        <v>0 [4.057975]</v>
      </c>
      <c r="K12">
        <f>IF(FT!B12&lt;&gt;"",IF(FT!C12&lt;&gt;"",FT!C12,F12/$M$3*$M$4),"")</f>
        <v>4.0579700000000001</v>
      </c>
      <c r="M12">
        <f>M11+1</f>
        <v>1</v>
      </c>
      <c r="P12">
        <f t="shared" si="10"/>
        <v>9</v>
      </c>
      <c r="Q12">
        <f t="shared" si="12"/>
        <v>0</v>
      </c>
      <c r="R12">
        <f t="shared" si="13"/>
        <v>0</v>
      </c>
      <c r="S12">
        <f t="array" ref="S12">MAX(IF(ft_nq=P12,row_n))</f>
        <v>0</v>
      </c>
      <c r="T12">
        <f t="shared" si="11"/>
        <v>1</v>
      </c>
      <c r="V12" s="71" t="s">
        <v>217</v>
      </c>
      <c r="W12" s="23">
        <f>FT!H12*100</f>
        <v>56.307200000000002</v>
      </c>
      <c r="Y12" s="75">
        <f t="shared" si="3"/>
        <v>12.619081911431774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4.1214819895565987E-3</v>
      </c>
      <c r="D13" s="50">
        <f>IF(hist!$D$2&gt;0,hist!B13/hist!$D$2,0)</f>
        <v>0.69829383292164438</v>
      </c>
      <c r="E13" s="50">
        <f t="shared" si="1"/>
        <v>1.1522836836240688E-4</v>
      </c>
      <c r="F13">
        <f t="shared" si="6"/>
        <v>11</v>
      </c>
      <c r="G13" s="50">
        <f>IF(FT!A13&lt;&gt;"",FT!A13*10,"")</f>
        <v>4.4230999999999998</v>
      </c>
      <c r="H13" s="50">
        <f>IF(FT!B13&lt;&gt;"",FT!B13*100,"")</f>
        <v>55.590300000000006</v>
      </c>
      <c r="I13" s="50">
        <f t="shared" si="2"/>
        <v>1</v>
      </c>
      <c r="J13" t="str">
        <f>IF(FT!B13&lt;&gt;"",FT!E13,"")</f>
        <v>0 [4.457391]</v>
      </c>
      <c r="K13">
        <f>IF(FT!B13&lt;&gt;"",IF(FT!C13&lt;&gt;"",FT!C13,F13/$M$3*$M$4),"")</f>
        <v>4.4573900000000002</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12.568176166037397</v>
      </c>
    </row>
    <row r="14" spans="1:104">
      <c r="A14" s="50">
        <f t="shared" si="5"/>
        <v>12</v>
      </c>
      <c r="B14" s="50">
        <f t="shared" si="0"/>
        <v>0.23168988235294116</v>
      </c>
      <c r="C14" s="50">
        <f>IF(FH!$C$2&gt;0,FH!A14/FH!$C$2,0)</f>
        <v>0</v>
      </c>
      <c r="D14" s="50">
        <f>IF(hist!$D$2&gt;0,hist!B14/hist!$D$2,0)</f>
        <v>0.25178717786100235</v>
      </c>
      <c r="E14" s="50">
        <f t="shared" si="1"/>
        <v>1.3985355997663738E-4</v>
      </c>
      <c r="F14">
        <f t="shared" si="6"/>
        <v>12</v>
      </c>
      <c r="G14" s="50">
        <f>IF(FT!A14&lt;&gt;"",FT!A14*10,"")</f>
        <v>4.383</v>
      </c>
      <c r="H14" s="50">
        <f>IF(FT!B14&lt;&gt;"",FT!B14*100,"")</f>
        <v>54.954899999999995</v>
      </c>
      <c r="I14" s="50">
        <f t="shared" si="2"/>
        <v>1</v>
      </c>
      <c r="J14" t="str">
        <f>IF(FT!B14&lt;&gt;"",FT!E14,"")</f>
        <v>0 [4.864006]</v>
      </c>
      <c r="K14">
        <f>IF(FT!B14&lt;&gt;"",IF(FT!C14&lt;&gt;"",FT!C14,F14/$M$3*$M$4),"")</f>
        <v>4.8640100000000004</v>
      </c>
      <c r="M14">
        <f>M13+1</f>
        <v>1</v>
      </c>
      <c r="P14">
        <f t="shared" si="10"/>
        <v>11</v>
      </c>
      <c r="Q14">
        <f t="shared" si="12"/>
        <v>0</v>
      </c>
      <c r="R14">
        <f t="shared" si="13"/>
        <v>0</v>
      </c>
      <c r="S14">
        <f t="array" ref="S14">MAX(IF(ft_nq=P14,row_n))</f>
        <v>0</v>
      </c>
      <c r="T14">
        <f t="shared" si="11"/>
        <v>1</v>
      </c>
      <c r="V14" s="71" t="s">
        <v>221</v>
      </c>
      <c r="W14">
        <f>FT!H14</f>
        <v>10</v>
      </c>
      <c r="Y14" s="75">
        <f t="shared" si="3"/>
        <v>12.538193018480492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1.4461346136826269E-2</v>
      </c>
      <c r="D15" s="50">
        <f>IF(hist!$D$2&gt;0,hist!B15/hist!$D$2,0)</f>
        <v>0.1371827158294403</v>
      </c>
      <c r="E15" s="50">
        <f t="shared" si="1"/>
        <v>1.6938471460455832E-4</v>
      </c>
      <c r="F15">
        <f t="shared" si="6"/>
        <v>13</v>
      </c>
      <c r="G15" s="50">
        <f>IF(FT!A15&lt;&gt;"",FT!A15*10,"")</f>
        <v>4.3415699999999999</v>
      </c>
      <c r="H15" s="50">
        <f>IF(FT!B15&lt;&gt;"",FT!B15*100,"")</f>
        <v>54.413400000000003</v>
      </c>
      <c r="I15" s="50">
        <f t="shared" si="2"/>
        <v>1</v>
      </c>
      <c r="J15" t="str">
        <f>IF(FT!B15&lt;&gt;"",FT!E15,"")</f>
        <v>0 [5.269089]</v>
      </c>
      <c r="K15">
        <f>IF(FT!B15&lt;&gt;"",IF(FT!C15&lt;&gt;"",FT!C15,F15/$M$3*$M$4),"")</f>
        <v>5.2690900000000003</v>
      </c>
      <c r="M15">
        <f t="array" ref="M15">MAX(IF(ft_nq=3,row_n))</f>
        <v>0</v>
      </c>
      <c r="P15">
        <f t="shared" si="10"/>
        <v>12</v>
      </c>
      <c r="Q15">
        <f t="shared" si="12"/>
        <v>0</v>
      </c>
      <c r="R15">
        <f t="shared" si="13"/>
        <v>0</v>
      </c>
      <c r="S15">
        <f t="array" ref="S15">MAX(IF(ft_nq=P15,row_n))</f>
        <v>0</v>
      </c>
      <c r="T15">
        <f t="shared" si="11"/>
        <v>1</v>
      </c>
      <c r="V15" s="23">
        <f>FT!G15*10</f>
        <v>3.9943299999999997</v>
      </c>
      <c r="W15" s="23">
        <f>FT!H15*100</f>
        <v>37.676700000000004</v>
      </c>
      <c r="Y15" s="75">
        <f t="shared" si="3"/>
        <v>12.533115900469186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1.5256715196035048E-2</v>
      </c>
      <c r="D16" s="50">
        <f>IF(hist!$D$2&gt;0,hist!B16/hist!$D$2,0)</f>
        <v>0.5591429734643405</v>
      </c>
      <c r="E16" s="50">
        <f t="shared" si="1"/>
        <v>2.0472057137382575E-4</v>
      </c>
      <c r="F16">
        <f t="shared" si="6"/>
        <v>14</v>
      </c>
      <c r="G16" s="50">
        <f>IF(FT!A16&lt;&gt;"",FT!A16*10,"")</f>
        <v>4.2944300000000002</v>
      </c>
      <c r="H16" s="50">
        <f>IF(FT!B16&lt;&gt;"",FT!B16*100,"")</f>
        <v>53.8125</v>
      </c>
      <c r="I16" s="50">
        <f t="shared" si="2"/>
        <v>1</v>
      </c>
      <c r="J16" t="str">
        <f>IF(FT!B16&lt;&gt;"",FT!E16,"")</f>
        <v>0 [5.676034]</v>
      </c>
      <c r="K16">
        <f>IF(FT!B16&lt;&gt;"",IF(FT!C16&lt;&gt;"",FT!C16,F16/$M$3*$M$4),"")</f>
        <v>5.6760299999999999</v>
      </c>
      <c r="M16">
        <f>M15+1</f>
        <v>1</v>
      </c>
      <c r="P16">
        <f t="shared" si="10"/>
        <v>13</v>
      </c>
      <c r="Q16">
        <f t="shared" si="12"/>
        <v>0</v>
      </c>
      <c r="R16">
        <f t="shared" si="13"/>
        <v>0</v>
      </c>
      <c r="S16">
        <f t="array" ref="S16">MAX(IF(ft_nq=P16,row_n))</f>
        <v>0</v>
      </c>
      <c r="T16">
        <f t="shared" si="11"/>
        <v>1</v>
      </c>
      <c r="V16" s="23">
        <f>FT!G16*10</f>
        <v>4.4576900000000004</v>
      </c>
      <c r="W16" s="23">
        <f>FT!H16*100</f>
        <v>56.307200000000002</v>
      </c>
      <c r="Y16" s="75">
        <f t="shared" si="3"/>
        <v>12.530766597662552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1.3376736879369857E-2</v>
      </c>
      <c r="D17" s="50">
        <f>IF(hist!$D$2&gt;0,hist!B17/hist!$D$2,0)</f>
        <v>0.44213177166269801</v>
      </c>
      <c r="E17" s="50">
        <f t="shared" si="1"/>
        <v>2.4690809609102658E-4</v>
      </c>
      <c r="F17">
        <f t="shared" si="6"/>
        <v>15</v>
      </c>
      <c r="G17" s="50">
        <f>IF(FT!A17&lt;&gt;"",FT!A17*10,"")</f>
        <v>4.24343</v>
      </c>
      <c r="H17" s="50">
        <f>IF(FT!B17&lt;&gt;"",FT!B17*100,"")</f>
        <v>52.669999999999995</v>
      </c>
      <c r="I17" s="50">
        <f t="shared" si="2"/>
        <v>1</v>
      </c>
      <c r="J17" t="str">
        <f>IF(FT!B17&lt;&gt;"",FT!E17,"")</f>
        <v>0 [6.084399]</v>
      </c>
      <c r="K17">
        <f>IF(FT!B17&lt;&gt;"",IF(FT!C17&lt;&gt;"",FT!C17,F17/$M$3*$M$4),"")</f>
        <v>6.0843999999999996</v>
      </c>
      <c r="M17">
        <f>M3+1</f>
        <v>27</v>
      </c>
      <c r="P17">
        <f t="shared" si="10"/>
        <v>14</v>
      </c>
      <c r="Q17">
        <f t="shared" si="12"/>
        <v>0</v>
      </c>
      <c r="R17">
        <f t="shared" si="13"/>
        <v>0</v>
      </c>
      <c r="S17">
        <f t="array" ref="S17">MAX(IF(ft_nq=P17,row_n))</f>
        <v>0</v>
      </c>
      <c r="T17">
        <f t="shared" si="11"/>
        <v>1</v>
      </c>
      <c r="V17" t="s">
        <v>1522</v>
      </c>
      <c r="Y17" s="75">
        <f t="shared" si="3"/>
        <v>12.412128867449209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1.4461346136826269E-2</v>
      </c>
      <c r="D18" s="50">
        <f>IF(hist!$D$2&gt;0,hist!B18/hist!$D$2,0)</f>
        <v>0.67205454956433641</v>
      </c>
      <c r="E18" s="50">
        <f t="shared" si="1"/>
        <v>2.9716369761879154E-4</v>
      </c>
      <c r="F18">
        <f t="shared" si="6"/>
        <v>16</v>
      </c>
      <c r="G18" s="50">
        <f>IF(FT!A18&lt;&gt;"",FT!A18*10,"")</f>
        <v>4.18492</v>
      </c>
      <c r="H18" s="50">
        <f>IF(FT!B18&lt;&gt;"",FT!B18*100,"")</f>
        <v>51.307299999999998</v>
      </c>
      <c r="I18" s="50">
        <f t="shared" si="2"/>
        <v>1</v>
      </c>
      <c r="J18" t="str">
        <f>IF(FT!B18&lt;&gt;"",FT!E18,"")</f>
        <v>0 [6.489563]</v>
      </c>
      <c r="K18">
        <f>IF(FT!B18&lt;&gt;"",IF(FT!C18&lt;&gt;"",FT!C18,F18/$M$3*$M$4),"")</f>
        <v>6.48956</v>
      </c>
      <c r="P18">
        <f t="shared" si="10"/>
        <v>15</v>
      </c>
      <c r="Q18">
        <f t="shared" si="12"/>
        <v>0</v>
      </c>
      <c r="R18">
        <f t="shared" si="13"/>
        <v>0</v>
      </c>
      <c r="S18">
        <f t="array" ref="S18">MAX(IF(ft_nq=P18,row_n))</f>
        <v>0</v>
      </c>
      <c r="T18">
        <f t="shared" si="11"/>
        <v>1</v>
      </c>
      <c r="V18" s="288">
        <f>M!B18*100</f>
        <v>62.856199999999994</v>
      </c>
      <c r="W18" s="287">
        <f>100-M!B19*100</f>
        <v>53.9651</v>
      </c>
      <c r="X18" t="str">
        <f>"(" &amp; ROUND(V18,1) &amp; " , " &amp; ROUND(100-W18,1) &amp; ")"</f>
        <v>(62.9 , 46)</v>
      </c>
      <c r="Y18" s="75">
        <f t="shared" si="3"/>
        <v>12.260043202737448</v>
      </c>
      <c r="Z18">
        <f>M!B18*100</f>
        <v>62.856199999999994</v>
      </c>
      <c r="AA18">
        <f>100-M!B19*100</f>
        <v>53.9651</v>
      </c>
      <c r="AQ18">
        <v>7</v>
      </c>
      <c r="AR18" s="440" t="str">
        <f t="shared" si="15"/>
        <v/>
      </c>
      <c r="AS18" s="441" t="str">
        <f t="shared" si="14"/>
        <v/>
      </c>
      <c r="AT18" s="441" t="str">
        <f t="shared" si="14"/>
        <v/>
      </c>
      <c r="AU18" s="441" t="str">
        <f t="shared" si="14"/>
        <v/>
      </c>
      <c r="AV18" s="442" t="str">
        <f t="shared" si="14"/>
        <v/>
      </c>
      <c r="AW18" s="441" t="str">
        <f t="shared" si="14"/>
        <v/>
      </c>
      <c r="AX18" s="441" t="str">
        <f t="shared" si="14"/>
        <v>기쁜</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7.0860806266041243E-3</v>
      </c>
      <c r="D19" s="50">
        <f>IF(hist!$D$2&gt;0,hist!B19/hist!$D$2,0)</f>
        <v>0.22880101872886663</v>
      </c>
      <c r="E19" s="50">
        <f t="shared" si="1"/>
        <v>3.5689688220270742E-4</v>
      </c>
      <c r="F19">
        <f t="shared" si="6"/>
        <v>17</v>
      </c>
      <c r="G19" s="50">
        <f>IF(FT!A19&lt;&gt;"",FT!A19*10,"")</f>
        <v>4.1380099999999995</v>
      </c>
      <c r="H19" s="50">
        <f>IF(FT!B19&lt;&gt;"",FT!B19*100,"")</f>
        <v>49.835900000000002</v>
      </c>
      <c r="I19" s="50">
        <f t="shared" si="2"/>
        <v>1</v>
      </c>
      <c r="J19" t="str">
        <f>IF(FT!B19&lt;&gt;"",FT!E19,"")</f>
        <v>0 [6.896853]</v>
      </c>
      <c r="K19">
        <f>IF(FT!B19&lt;&gt;"",IF(FT!C19&lt;&gt;"",FT!C19,F19/$M$3*$M$4),"")</f>
        <v>6.8968499999999997</v>
      </c>
      <c r="P19">
        <f t="shared" si="10"/>
        <v>16</v>
      </c>
      <c r="Q19">
        <f t="shared" si="12"/>
        <v>0</v>
      </c>
      <c r="R19">
        <f t="shared" si="13"/>
        <v>0</v>
      </c>
      <c r="S19">
        <f t="array" ref="S19">MAX(IF(ft_nq=P19,row_n))</f>
        <v>0</v>
      </c>
      <c r="T19">
        <f t="shared" si="11"/>
        <v>1</v>
      </c>
      <c r="V19" t="s">
        <v>1521</v>
      </c>
      <c r="Y19" s="75">
        <f t="shared" si="3"/>
        <v>12.043446004238755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3.6876438180369945E-3</v>
      </c>
      <c r="D20" s="50">
        <f>IF(hist!$D$2&gt;0,hist!B20/hist!$D$2,0)</f>
        <v>0.42062431032472947</v>
      </c>
      <c r="E20" s="50">
        <f t="shared" si="1"/>
        <v>4.2773652004581729E-4</v>
      </c>
      <c r="F20">
        <f t="shared" si="6"/>
        <v>18</v>
      </c>
      <c r="G20" s="50">
        <f>IF(FT!A20&lt;&gt;"",FT!A20*10,"")</f>
        <v>4.1086499999999999</v>
      </c>
      <c r="H20" s="50">
        <f>IF(FT!B20&lt;&gt;"",FT!B20*100,"")</f>
        <v>47.9</v>
      </c>
      <c r="I20" s="50">
        <f t="shared" si="2"/>
        <v>1</v>
      </c>
      <c r="J20" t="str">
        <f>IF(FT!B20&lt;&gt;"",FT!E20,"")</f>
        <v>0 [7.308426]</v>
      </c>
      <c r="K20">
        <f>IF(FT!B20&lt;&gt;"",IF(FT!C20&lt;&gt;"",FT!C20,F20/$M$3*$M$4),"")</f>
        <v>7.3084300000000004</v>
      </c>
      <c r="P20">
        <f t="shared" si="10"/>
        <v>17</v>
      </c>
      <c r="Q20">
        <f t="shared" si="12"/>
        <v>0</v>
      </c>
      <c r="R20">
        <f t="shared" si="13"/>
        <v>0</v>
      </c>
      <c r="S20">
        <f t="array" ref="S20">MAX(IF(ft_nq=P20,row_n))</f>
        <v>0</v>
      </c>
      <c r="T20">
        <f t="shared" si="11"/>
        <v>1</v>
      </c>
      <c r="V20" s="56">
        <v>50</v>
      </c>
      <c r="W20">
        <v>50</v>
      </c>
      <c r="Y20" s="75">
        <f t="shared" si="3"/>
        <v>11.658330595207671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5.1337784317196222E-3</v>
      </c>
      <c r="D21" s="50">
        <f>IF(hist!$D$2&gt;0,hist!B21/hist!$D$2,0)</f>
        <v>0.33356450517406927</v>
      </c>
      <c r="E21" s="50">
        <f t="shared" si="1"/>
        <v>5.1155989191839816E-4</v>
      </c>
      <c r="F21">
        <f t="shared" si="6"/>
        <v>19</v>
      </c>
      <c r="G21" s="50">
        <f>IF(FT!A21&lt;&gt;"",FT!A21*10,"")</f>
        <v>4.0952699999999993</v>
      </c>
      <c r="H21" s="50">
        <f>IF(FT!B21&lt;&gt;"",FT!B21*100,"")</f>
        <v>46.957000000000001</v>
      </c>
      <c r="I21" s="50">
        <f t="shared" si="2"/>
        <v>1</v>
      </c>
      <c r="J21" t="str">
        <f>IF(FT!B21&lt;&gt;"",FT!E21,"")</f>
        <v>0 [7.705997]</v>
      </c>
      <c r="K21">
        <f>IF(FT!B21&lt;&gt;"",IF(FT!C21&lt;&gt;"",FT!C21,F21/$M$3*$M$4),"")</f>
        <v>7.7060000000000004</v>
      </c>
      <c r="P21">
        <f t="shared" si="10"/>
        <v>18</v>
      </c>
      <c r="Q21">
        <f t="shared" si="12"/>
        <v>0</v>
      </c>
      <c r="R21">
        <f t="shared" si="13"/>
        <v>0</v>
      </c>
      <c r="S21">
        <f t="array" ref="S21">MAX(IF(ft_nq=P21,row_n))</f>
        <v>0</v>
      </c>
      <c r="T21">
        <f t="shared" si="11"/>
        <v>1</v>
      </c>
      <c r="V21" s="288">
        <f>Measurement!DK17*100</f>
        <v>67.608601951854226</v>
      </c>
      <c r="W21" s="287">
        <f>'R3'!I3</f>
        <v>63.584675776159763</v>
      </c>
      <c r="X21" t="str">
        <f>"(" &amp; ROUND(V21,1) &amp; " , " &amp; ROUND(W21,1) &amp; ")" &amp; CHAR(10) &amp; AR26</f>
        <v>(67.6 , 63.6)
기쁜</v>
      </c>
      <c r="Y21" s="75">
        <f t="shared" si="3"/>
        <v>11.466154856700538</v>
      </c>
      <c r="AA21">
        <f>100-M!B19*100</f>
        <v>53.9651</v>
      </c>
      <c r="AC21">
        <f>'R3'!I3</f>
        <v>63.584675776159763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3.9045601380653162E-3</v>
      </c>
      <c r="D22" s="50">
        <f>IF(hist!$D$2&gt;0,hist!B22/hist!$D$2,0)</f>
        <v>0.36670776925711285</v>
      </c>
      <c r="E22" s="50">
        <f t="shared" si="1"/>
        <v>6.1052467266546498E-4</v>
      </c>
      <c r="F22">
        <f t="shared" si="6"/>
        <v>20</v>
      </c>
      <c r="G22" s="50">
        <f>IF(FT!A22&lt;&gt;"",FT!A22*10,"")</f>
        <v>4.0811799999999998</v>
      </c>
      <c r="H22" s="50">
        <f>IF(FT!B22&lt;&gt;"",FT!B22*100,"")</f>
        <v>45.884399999999999</v>
      </c>
      <c r="I22" s="50">
        <f t="shared" si="2"/>
        <v>1</v>
      </c>
      <c r="J22" t="str">
        <f>IF(FT!B22&lt;&gt;"",FT!E22,"")</f>
        <v>0 [8.117382]</v>
      </c>
      <c r="K22">
        <f>IF(FT!B22&lt;&gt;"",IF(FT!C22&lt;&gt;"",FT!C22,F22/$M$3*$M$4),"")</f>
        <v>8.1173800000000007</v>
      </c>
      <c r="P22">
        <f t="shared" si="10"/>
        <v>19</v>
      </c>
      <c r="Q22">
        <f t="shared" si="12"/>
        <v>0</v>
      </c>
      <c r="R22">
        <f t="shared" si="13"/>
        <v>0</v>
      </c>
      <c r="S22">
        <f t="array" ref="S22">MAX(IF(ft_nq=P22,row_n))</f>
        <v>0</v>
      </c>
      <c r="T22">
        <f t="shared" si="11"/>
        <v>1</v>
      </c>
      <c r="V22" s="300">
        <f>X23</f>
        <v>90</v>
      </c>
      <c r="W22" s="300">
        <f>X23</f>
        <v>90</v>
      </c>
      <c r="X22" t="s">
        <v>1188</v>
      </c>
      <c r="Y22" s="75">
        <f t="shared" si="3"/>
        <v>11.242924840364797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1.3882865740331003E-2</v>
      </c>
      <c r="D23" s="50">
        <f>IF(hist!$D$2&gt;0,hist!B23/hist!$D$2,0)</f>
        <v>0.29879970699718122</v>
      </c>
      <c r="E23" s="50">
        <f t="shared" si="1"/>
        <v>7.2710399246906645E-4</v>
      </c>
      <c r="F23">
        <f t="shared" si="6"/>
        <v>21</v>
      </c>
      <c r="G23" s="50">
        <f>IF(FT!A23&lt;&gt;"",FT!A23*10,"")</f>
        <v>4.0573300000000003</v>
      </c>
      <c r="H23" s="50">
        <f>IF(FT!B23&lt;&gt;"",FT!B23*100,"")</f>
        <v>44.829299999999996</v>
      </c>
      <c r="I23" s="50">
        <f t="shared" si="2"/>
        <v>1</v>
      </c>
      <c r="J23" t="str">
        <f>IF(FT!B23&lt;&gt;"",FT!E23,"")</f>
        <v>0 [8.520817]</v>
      </c>
      <c r="K23">
        <f>IF(FT!B23&lt;&gt;"",IF(FT!C23&lt;&gt;"",FT!C23,F23/$M$3*$M$4),"")</f>
        <v>8.5208200000000005</v>
      </c>
      <c r="P23">
        <f t="shared" si="10"/>
        <v>20</v>
      </c>
      <c r="Q23">
        <f t="shared" si="12"/>
        <v>0</v>
      </c>
      <c r="R23">
        <f t="shared" si="13"/>
        <v>0</v>
      </c>
      <c r="S23">
        <f t="array" ref="S23">MAX(IF(ft_nq=P23,row_n))</f>
        <v>0</v>
      </c>
      <c r="T23">
        <f t="shared" si="11"/>
        <v>1</v>
      </c>
      <c r="V23" s="300">
        <f>100-X23</f>
        <v>10</v>
      </c>
      <c r="W23" s="300">
        <f>X23</f>
        <v>90</v>
      </c>
      <c r="X23">
        <v>90</v>
      </c>
      <c r="Y23" s="75">
        <f t="shared" si="3"/>
        <v>11.048965699117398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1.0990629701743519E-2</v>
      </c>
      <c r="D24" s="50">
        <f>IF(hist!$D$2&gt;0,hist!B24/hist!$D$2,0)</f>
        <v>0.4141587853155515</v>
      </c>
      <c r="E24" s="50">
        <f t="shared" si="1"/>
        <v>8.6412469495482391E-4</v>
      </c>
      <c r="F24">
        <f t="shared" si="6"/>
        <v>22</v>
      </c>
      <c r="G24" s="50">
        <f>IF(FT!A24&lt;&gt;"",FT!A24*10,"")</f>
        <v>4.0344100000000003</v>
      </c>
      <c r="H24" s="50">
        <f>IF(FT!B24&lt;&gt;"",FT!B24*100,"")</f>
        <v>43.695499999999996</v>
      </c>
      <c r="I24" s="50">
        <f t="shared" si="2"/>
        <v>1</v>
      </c>
      <c r="J24" t="str">
        <f>IF(FT!B24&lt;&gt;"",FT!E24,"")</f>
        <v>0 [8.943418]</v>
      </c>
      <c r="K24">
        <f>IF(FT!B24&lt;&gt;"",IF(FT!C24&lt;&gt;"",FT!C24,F24/$M$3*$M$4),"")</f>
        <v>8.9434199999999997</v>
      </c>
      <c r="P24">
        <f t="shared" si="10"/>
        <v>21</v>
      </c>
      <c r="Q24">
        <f t="shared" si="12"/>
        <v>0</v>
      </c>
      <c r="R24">
        <f t="shared" si="13"/>
        <v>0</v>
      </c>
      <c r="S24">
        <f t="array" ref="S24">MAX(IF(ft_nq=P24,row_n))</f>
        <v>0</v>
      </c>
      <c r="T24">
        <f t="shared" si="11"/>
        <v>1</v>
      </c>
      <c r="V24" s="300">
        <f>100-X23</f>
        <v>10</v>
      </c>
      <c r="W24" s="300">
        <f>100-X23</f>
        <v>10</v>
      </c>
      <c r="Y24" s="75">
        <f t="shared" si="3"/>
        <v>10.830703869958679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7.3752655102221447E-3</v>
      </c>
      <c r="D25" s="50">
        <f>IF(hist!$D$2&gt;0,hist!B25/hist!$D$2,0)</f>
        <v>0.38148459754419545</v>
      </c>
      <c r="E25" s="50">
        <f t="shared" si="1"/>
        <v>1.0248088830179514E-3</v>
      </c>
      <c r="F25">
        <f t="shared" si="6"/>
        <v>23</v>
      </c>
      <c r="G25" s="50">
        <f>IF(FT!A25&lt;&gt;"",FT!A25*10,"")</f>
        <v>4.0286300000000006</v>
      </c>
      <c r="H25" s="50">
        <f>IF(FT!B25&lt;&gt;"",FT!B25*100,"")</f>
        <v>42.836800000000004</v>
      </c>
      <c r="I25" s="50">
        <f t="shared" si="2"/>
        <v>1</v>
      </c>
      <c r="J25" t="str">
        <f>IF(FT!B25&lt;&gt;"",FT!E25,"")</f>
        <v>0 [9.335885]</v>
      </c>
      <c r="K25">
        <f>IF(FT!B25&lt;&gt;"",IF(FT!C25&lt;&gt;"",FT!C25,F25/$M$3*$M$4),"")</f>
        <v>9.3358899999999991</v>
      </c>
      <c r="P25">
        <f t="shared" si="10"/>
        <v>22</v>
      </c>
      <c r="Q25">
        <f t="shared" si="12"/>
        <v>0</v>
      </c>
      <c r="R25">
        <f t="shared" si="13"/>
        <v>0</v>
      </c>
      <c r="S25">
        <f t="array" ref="S25">MAX(IF(ft_nq=P25,row_n))</f>
        <v>0</v>
      </c>
      <c r="T25">
        <f t="shared" si="11"/>
        <v>1</v>
      </c>
      <c r="V25" s="300">
        <f>X23</f>
        <v>90</v>
      </c>
      <c r="W25" s="300">
        <f>100-X23</f>
        <v>10</v>
      </c>
      <c r="Y25" s="75">
        <f t="shared" si="3"/>
        <v>10.633093632326622</v>
      </c>
    </row>
    <row r="26" spans="1:120">
      <c r="A26" s="50">
        <f t="shared" si="5"/>
        <v>24</v>
      </c>
      <c r="B26" s="50">
        <f t="shared" si="0"/>
        <v>0.46337976470588232</v>
      </c>
      <c r="C26" s="50">
        <f>IF(FH!$C$2&gt;0,FH!A26/FH!$C$2,0)</f>
        <v>5.1337784317196222E-3</v>
      </c>
      <c r="D26" s="50">
        <f>IF(hist!$D$2&gt;0,hist!B26/hist!$D$2,0)</f>
        <v>0.22953527329509169</v>
      </c>
      <c r="E26" s="50">
        <f t="shared" si="1"/>
        <v>1.2128188079122912E-3</v>
      </c>
      <c r="F26">
        <f t="shared" si="6"/>
        <v>24</v>
      </c>
      <c r="G26" s="50">
        <f>IF(FT!A26&lt;&gt;"",FT!A26*10,"")</f>
        <v>4.0337699999999996</v>
      </c>
      <c r="H26" s="50">
        <f>IF(FT!B26&lt;&gt;"",FT!B26*100,"")</f>
        <v>41.168399999999998</v>
      </c>
      <c r="I26" s="50">
        <f t="shared" si="2"/>
        <v>1</v>
      </c>
      <c r="J26" t="str">
        <f>IF(FT!B26&lt;&gt;"",FT!E26,"")</f>
        <v>0 [9.742791]</v>
      </c>
      <c r="K26">
        <f>IF(FT!B26&lt;&gt;"",IF(FT!C26&lt;&gt;"",FT!C26,F26/$M$3*$M$4),"")</f>
        <v>9.7427899999999994</v>
      </c>
      <c r="P26">
        <f t="shared" si="10"/>
        <v>23</v>
      </c>
      <c r="Q26">
        <f t="shared" si="12"/>
        <v>0</v>
      </c>
      <c r="R26">
        <f t="shared" si="13"/>
        <v>0</v>
      </c>
      <c r="S26">
        <f t="array" ref="S26">MAX(IF(ft_nq=P26,row_n))</f>
        <v>0</v>
      </c>
      <c r="T26">
        <f t="shared" si="11"/>
        <v>1</v>
      </c>
      <c r="V26" s="300">
        <f>X23</f>
        <v>90</v>
      </c>
      <c r="W26" s="300">
        <f>X23</f>
        <v>90</v>
      </c>
      <c r="Y26" s="75">
        <f t="shared" si="3"/>
        <v>10.205936382094171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row>
    <row r="27" spans="1:120">
      <c r="A27" s="50">
        <f t="shared" si="5"/>
        <v>25</v>
      </c>
      <c r="B27" s="50">
        <f t="shared" si="0"/>
        <v>0.48268725490196074</v>
      </c>
      <c r="C27" s="50">
        <f>IF(FH!$C$2&gt;0,FH!A27/FH!$C$2,0)</f>
        <v>9.03835516417382E-3</v>
      </c>
      <c r="D27" s="50">
        <f>IF(hist!$D$2&gt;0,hist!B27/hist!$D$2,0)</f>
        <v>0.24591316473547839</v>
      </c>
      <c r="E27" s="50">
        <f t="shared" si="1"/>
        <v>1.4323051140600783E-3</v>
      </c>
      <c r="F27">
        <f t="shared" si="6"/>
        <v>25</v>
      </c>
      <c r="G27" s="50">
        <f>IF(FT!A27&lt;&gt;"",FT!A27*10,"")</f>
        <v>3.9943299999999997</v>
      </c>
      <c r="H27" s="50">
        <f>IF(FT!B27&lt;&gt;"",FT!B27*100,"")</f>
        <v>37.676700000000004</v>
      </c>
      <c r="I27" s="50">
        <f t="shared" si="2"/>
        <v>1</v>
      </c>
      <c r="J27" t="str">
        <f>IF(FT!B27&lt;&gt;"",FT!E27,"")</f>
        <v>0 [10.148088]</v>
      </c>
      <c r="K27">
        <f>IF(FT!B27&lt;&gt;"",IF(FT!C27&lt;&gt;"",FT!C27,F27/$M$3*$M$4),"")</f>
        <v>10.148099999999999</v>
      </c>
      <c r="P27">
        <f t="shared" si="10"/>
        <v>24</v>
      </c>
      <c r="Q27">
        <f t="shared" si="12"/>
        <v>0</v>
      </c>
      <c r="R27">
        <f t="shared" si="13"/>
        <v>0</v>
      </c>
      <c r="S27">
        <f t="array" ref="S27">MAX(IF(ft_nq=P27,row_n))</f>
        <v>0</v>
      </c>
      <c r="T27">
        <f t="shared" si="11"/>
        <v>1</v>
      </c>
      <c r="V27" s="288">
        <v>60</v>
      </c>
      <c r="W27" s="288">
        <v>60</v>
      </c>
      <c r="X27" t="s">
        <v>1189</v>
      </c>
      <c r="Y27" s="75">
        <f t="shared" si="3"/>
        <v>9.4325456334353959</v>
      </c>
      <c r="AS27" t="s">
        <v>2144</v>
      </c>
    </row>
    <row r="28" spans="1:120">
      <c r="A28" s="50">
        <f t="shared" si="5"/>
        <v>26</v>
      </c>
      <c r="B28" s="50">
        <f t="shared" si="0"/>
        <v>0.50199474509803921</v>
      </c>
      <c r="C28" s="50">
        <f>IF(FH!$C$2&gt;0,FH!A28/FH!$C$2,0)</f>
        <v>7.3029692893176396E-3</v>
      </c>
      <c r="D28" s="50">
        <f>IF(hist!$D$2&gt;0,hist!B28/hist!$D$2,0)</f>
        <v>0.35605095179653645</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2.386123772015223E-3</v>
      </c>
      <c r="D29" s="50">
        <f>IF(hist!$D$2&gt;0,hist!B29/hist!$D$2,0)</f>
        <v>0.37018529368567754</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1.4461346136826268E-3</v>
      </c>
      <c r="D30" s="50">
        <f>IF(hist!$D$2&gt;0,hist!B30/hist!$D$2,0)</f>
        <v>0.34134549095002659</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3.54302925037614E-3</v>
      </c>
      <c r="D31" s="50">
        <f>IF(hist!$D$2&gt;0,hist!B31/hist!$D$2,0)</f>
        <v>0.27459997371543715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2.7476546597043987E-3</v>
      </c>
      <c r="D32" s="50">
        <f>IF(hist!$D$2&gt;0,hist!B32/hist!$D$2,0)</f>
        <v>0.21655328776957572</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5.6399349499955754E-3</v>
      </c>
      <c r="D33" s="50">
        <f>IF(hist!$D$2&gt;0,hist!B33/hist!$D$2,0)</f>
        <v>0.23770383389042532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0.44611800000000001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6.9414328701655013E-3</v>
      </c>
      <c r="D34" s="50">
        <f>IF(hist!$D$2&gt;0,hist!B34/hist!$D$2,0)</f>
        <v>0.28822443783746921</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55.388199999999998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2.9645765111956813E-3</v>
      </c>
      <c r="D35" s="50">
        <f>IF(hist!$D$2&gt;0,hist!B35/hist!$D$2,0)</f>
        <v>0.13662183234234165</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71.588333333333338</v>
      </c>
      <c r="W35" s="23">
        <f>IF(FH_info!G2*1&lt;&gt;0,(1-NORMSDIST((FH_info!G2*1-0.5308)/0.1538))*100,0)</f>
        <v>70.904542142529493</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5.2060801840870877E-3</v>
      </c>
      <c r="D36" s="50">
        <f>IF(hist!$D$2&gt;0,hist!B36/hist!$D$2,0)</f>
        <v>0.26421846856113673</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2.1476500000000001</v>
      </c>
      <c r="W36" s="495">
        <f>IF(W34&gt;=60,30/40*(W34-60)+70,IF(W34&gt;=35,35/25*(W34-35)+35,IF(W34&gt;=0,W34,0)))</f>
        <v>63.543479999999995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3.1091855473935749E-3</v>
      </c>
      <c r="D37" s="50">
        <f>IF(hist!$D$2&gt;0,hist!B37/hist!$D$2,0)</f>
        <v>0.14626908293041702</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5.350694751747943E-3</v>
      </c>
      <c r="D38" s="50">
        <f>IF(hist!$D$2&gt;0,hist!B38/hist!$D$2,0)</f>
        <v>0.26492214934078501</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5.4230020355783707E-3</v>
      </c>
      <c r="D39" s="50">
        <f>IF(hist!$D$2&gt;0,hist!B39/hist!$D$2,0)</f>
        <v>0.1224364925346365</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7.2306730684131345E-3</v>
      </c>
      <c r="D40" s="50">
        <f>IF(hist!$D$2&gt;0,hist!B40/hist!$D$2,0)</f>
        <v>0.2285358716800312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6.2906562527657323E-3</v>
      </c>
      <c r="D41" s="50">
        <f>IF(hist!$D$2&gt;0,hist!B41/hist!$D$2,0)</f>
        <v>0.16302428251420786</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4.6276274449066294E-3</v>
      </c>
      <c r="D42" s="50">
        <f>IF(hist!$D$2&gt;0,hist!B42/hist!$D$2,0)</f>
        <v>0.21589043184962547</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9.9060204442871051E-3</v>
      </c>
      <c r="D43" s="50">
        <f>IF(hist!$D$2&gt;0,hist!B43/hist!$D$2,0)</f>
        <v>0.15982214840617423</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18.223099999999999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8.0260421276219136E-3</v>
      </c>
      <c r="D44" s="50">
        <f>IF(hist!$D$2&gt;0,hist!B44/hist!$D$2,0)</f>
        <v>0.10235674667512216</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4.0491747057261711E-3</v>
      </c>
      <c r="D45" s="50">
        <f>IF(hist!$D$2&gt;0,hist!B45/hist!$D$2,0)</f>
        <v>9.6023814693925652E-2</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3.1814928312240026E-3</v>
      </c>
      <c r="D46" s="50">
        <f>IF(hist!$D$2&gt;0,hist!B46/hist!$D$2,0)</f>
        <v>0.18648976122972685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3.2538001150544298E-3</v>
      </c>
      <c r="D47" s="50">
        <f>IF(hist!$D$2&gt;0,hist!B47/hist!$D$2,0)</f>
        <v>0.1353776844061565</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6.2906562527657323E-3</v>
      </c>
      <c r="D48" s="50">
        <f>IF(hist!$D$2&gt;0,hist!B48/hist!$D$2,0)</f>
        <v>0.17510885446036598</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2.5307328082131166E-3</v>
      </c>
      <c r="D49" s="50">
        <f>IF(hist!$D$2&gt;0,hist!B49/hist!$D$2,0)</f>
        <v>8.711081867207536E-2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1.0122964421630234E-3</v>
      </c>
      <c r="D50" s="50">
        <f>IF(hist!$D$2&gt;0,hist!B50/hist!$D$2,0)</f>
        <v>0.12395597618137415</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5.350694751747943E-3</v>
      </c>
      <c r="D51" s="50">
        <f>IF(hist!$D$2&gt;0,hist!B51/hist!$D$2,0)</f>
        <v>0.11989720654512763</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6.5798964510133647E-3</v>
      </c>
      <c r="D52" s="50">
        <f>IF(hist!$D$2&gt;0,hist!B52/hist!$D$2,0)</f>
        <v>0.15792532541033041</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67.608601951854226</v>
      </c>
      <c r="W52" s="303">
        <f ca="1">100-N9</f>
        <v>49.715065384615386</v>
      </c>
      <c r="X52" t="str">
        <f ca="1">"(" &amp; ROUND(V52,1) &amp; " , " &amp; ROUND(100-W52,1) &amp; ")"</f>
        <v>(67.6 , 50.3)</v>
      </c>
      <c r="Y52" s="75" t="str">
        <f t="shared" si="3"/>
        <v/>
      </c>
    </row>
    <row r="53" spans="1:25">
      <c r="A53" s="50">
        <f t="shared" si="5"/>
        <v>51</v>
      </c>
      <c r="B53" s="50">
        <f t="shared" si="0"/>
        <v>0.98468199999999995</v>
      </c>
      <c r="C53" s="50">
        <f>IF(FH!$C$2&gt;0,FH!A53/FH!$C$2,0)</f>
        <v>7.3752655102221447E-3</v>
      </c>
      <c r="D53" s="50">
        <f>IF(hist!$D$2&gt;0,hist!B53/hist!$D$2,0)</f>
        <v>3.9792372237341639E-2</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1.2653664041065582E-2</v>
      </c>
      <c r="D54" s="50">
        <f>IF(hist!$D$2&gt;0,hist!B54/hist!$D$2,0)</f>
        <v>0.18550055607780899</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1.4172105938578637E-2</v>
      </c>
      <c r="D55" s="50">
        <f>IF(hist!$D$2&gt;0,hist!B55/hist!$D$2,0)</f>
        <v>0.10923015361428108</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1.5256715196035048E-2</v>
      </c>
      <c r="D56" s="50">
        <f>IF(hist!$D$2&gt;0,hist!B56/hist!$D$2,0)</f>
        <v>0.10835312515978295</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1.3521329321178867E-2</v>
      </c>
      <c r="D57" s="50">
        <f>IF(hist!$D$2&gt;0,hist!B57/hist!$D$2,0)</f>
        <v>6.8744328266135829E-2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1.8510542968404285E-2</v>
      </c>
      <c r="D58" s="50">
        <f>IF(hist!$D$2&gt;0,hist!B58/hist!$D$2,0)</f>
        <v>0.10297881674250198</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2.6319641118683072E-2</v>
      </c>
      <c r="D59" s="50">
        <f>IF(hist!$D$2&gt;0,hist!B59/hist!$D$2,0)</f>
        <v>0.13484738250706019</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2.646423356049208E-2</v>
      </c>
      <c r="D60" s="50">
        <f>IF(hist!$D$2&gt;0,hist!B60/hist!$D$2,0)</f>
        <v>9.8328550825452443E-2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2.7476546597043988E-2</v>
      </c>
      <c r="D61" s="50">
        <f>IF(hist!$D$2&gt;0,hist!B61/hist!$D$2,0)</f>
        <v>9.6462325020461967E-2</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1.7208989733604747E-2</v>
      </c>
      <c r="D62" s="50">
        <f>IF(hist!$D$2&gt;0,hist!B62/hist!$D$2,0)</f>
        <v>9.426977338778042E-2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4.5408609168953007E-2</v>
      </c>
      <c r="D63" s="50">
        <f>IF(hist!$D$2&gt;0,hist!B63/hist!$D$2,0)</f>
        <v>9.144493962172541E-2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5.582075847420126E-2</v>
      </c>
      <c r="D64" s="50">
        <f>IF(hist!$D$2&gt;0,hist!B64/hist!$D$2,0)</f>
        <v>8.8497740496533583E-2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5.8351402779006994E-2</v>
      </c>
      <c r="D65" s="50">
        <f>IF(hist!$D$2&gt;0,hist!B65/hist!$D$2,0)</f>
        <v>0.11925472794861158</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4.4396296132401106E-2</v>
      </c>
      <c r="D66" s="50">
        <f>IF(hist!$D$2&gt;0,hist!B66/hist!$D$2,0)</f>
        <v>8.65295422586915E-2</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5.2494689795557131E-2</v>
      </c>
      <c r="D67" s="50">
        <f>IF(hist!$D$2&gt;0,hist!B67/hist!$D$2,0)</f>
        <v>5.6119273560589794E-2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6.7028055580139842E-2</v>
      </c>
      <c r="D68" s="50">
        <f>IF(hist!$D$2&gt;0,hist!B68/hist!$D$2,0)</f>
        <v>8.6131817784725631E-2</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5.8929993804761494E-2</v>
      </c>
      <c r="D69" s="50">
        <f>IF(hist!$D$2&gt;0,hist!B69/hist!$D$2,0)</f>
        <v>8.4653119990558412E-2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5.3217762633861403E-2</v>
      </c>
      <c r="D70" s="50">
        <f>IF(hist!$D$2&gt;0,hist!B70/hist!$D$2,0)</f>
        <v>0.11072924433473351</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0.10325415966014692</v>
      </c>
      <c r="D71" s="50">
        <f>IF(hist!$D$2&gt;0,hist!B71/hist!$D$2,0)</f>
        <v>5.3620773423651374E-2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9.1106513850783263E-2</v>
      </c>
      <c r="D72" s="50">
        <f>IF(hist!$D$2&gt;0,hist!B72/hist!$D$2,0)</f>
        <v>0.10643591703907941</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8.7418687494468544E-2</v>
      </c>
      <c r="D73" s="50">
        <f>IF(hist!$D$2&gt;0,hist!B73/hist!$D$2,0)</f>
        <v>7.6586547430927382E-2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9.1467718382157712E-2</v>
      </c>
      <c r="D74" s="50">
        <f>IF(hist!$D$2&gt;0,hist!B74/hist!$D$2,0)</f>
        <v>5.0622584181320984E-2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0.17411441277989204</v>
      </c>
      <c r="D75" s="50">
        <f>IF(hist!$D$2&gt;0,hist!B75/hist!$D$2,0)</f>
        <v>9.9174982089097238E-2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7.8597663510045143E-2</v>
      </c>
      <c r="D76" s="50">
        <f>IF(hist!$D$2&gt;0,hist!B76/hist!$D$2,0)</f>
        <v>7.2252418679851826E-2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0.12993517125409329</v>
      </c>
      <c r="D77" s="50">
        <f>IF(hist!$D$2&gt;0,hist!B77/hist!$D$2,0)</f>
        <v>6.9070661895252419E-2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0.12067992742720597</v>
      </c>
      <c r="D78" s="50">
        <f>IF(hist!$D$2&gt;0,hist!B78/hist!$D$2,0)</f>
        <v>7.0396397139429454E-2</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0.24352874148154707</v>
      </c>
      <c r="D79" s="50">
        <f>IF(hist!$D$2&gt;0,hist!B79/hist!$D$2,0)</f>
        <v>6.7041269275703641E-2</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0.10491691742632092</v>
      </c>
      <c r="D80" s="50">
        <f>IF(hist!$D$2&gt;0,hist!B80/hist!$D$2,0)</f>
        <v>6.4400003051917662E-2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0.19963879546862556</v>
      </c>
      <c r="D81" s="50">
        <f>IF(hist!$D$2&gt;0,hist!B81/hist!$D$2,0)</f>
        <v>6.4552965601907833E-2</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0.16926995751836446</v>
      </c>
      <c r="D82" s="50">
        <f>IF(hist!$D$2&gt;0,hist!B82/hist!$D$2,0)</f>
        <v>8.5071229589383984E-2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0.36666740419506155</v>
      </c>
      <c r="D83" s="50">
        <f>IF(hist!$D$2&gt;0,hist!B83/hist!$D$2,0)</f>
        <v>4.0169695983596786E-2</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0.16811332861315162</v>
      </c>
      <c r="D84" s="50">
        <f>IF(hist!$D$2&gt;0,hist!B84/hist!$D$2,0)</f>
        <v>7.9207412927002646E-2</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0.23767202849809721</v>
      </c>
      <c r="D85" s="50">
        <f>IF(hist!$D$2&gt;0,hist!B85/hist!$D$2,0)</f>
        <v>1.6653234952364732E-2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0.39255299141516953</v>
      </c>
      <c r="D86" s="50">
        <f>IF(hist!$D$2&gt;0,hist!B86/hist!$D$2,0)</f>
        <v>9.4371753622057533E-2</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0.50918388795468628</v>
      </c>
      <c r="D88" s="50">
        <f>IF(hist!$D$2&gt;0,hist!B88/hist!$D$2,0)</f>
        <v>8.9894858784134418E-2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0.51200382777236919</v>
      </c>
      <c r="D89" s="50">
        <f>IF(hist!$D$2&gt;0,hist!B89/hist!$D$2,0)</f>
        <v>8.3092834888399275E-2</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0.26608881316930705</v>
      </c>
      <c r="D90" s="50">
        <f>IF(hist!$D$2&gt;0,hist!B90/hist!$D$2,0)</f>
        <v>1.4368899548548669E-2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0.28640698291884242</v>
      </c>
      <c r="D91" s="50">
        <f>IF(hist!$D$2&gt;0,hist!B91/hist!$D$2,0)</f>
        <v>6.4858906304739186E-2</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0.51265432781662101</v>
      </c>
      <c r="D92" s="50">
        <f>IF(hist!$D$2&gt;0,hist!B92/hist!$D$2,0)</f>
        <v>4.4228473421268816E-2</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0.33485264182671037</v>
      </c>
      <c r="D93" s="50">
        <f>IF(hist!$D$2&gt;0,hist!B93/hist!$D$2,0)</f>
        <v>4.3127091571931224E-2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0.50809916806797062</v>
      </c>
      <c r="D94" s="50">
        <f>IF(hist!$D$2&gt;0,hist!B94/hist!$D$2,0)</f>
        <v>4.2382648343989068E-2</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0.26232852464819895</v>
      </c>
      <c r="D95" s="50">
        <f>IF(hist!$D$2&gt;0,hist!B95/hist!$D$2,0)</f>
        <v>3.9578215305644794E-2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0.61800269935392516</v>
      </c>
      <c r="D96" s="50">
        <f>IF(hist!$D$2&gt;0,hist!B96/hist!$D$2,0)</f>
        <v>3.9374254837090554E-2</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0.27418687494468541</v>
      </c>
      <c r="D97" s="50">
        <f>IF(hist!$D$2&gt;0,hist!B97/hist!$D$2,0)</f>
        <v>2.5015551751684493E-2</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0.38929938490131871</v>
      </c>
      <c r="D98" s="50">
        <f>IF(hist!$D$2&gt;0,hist!B98/hist!$D$2,0)</f>
        <v>4.7675377254703638E-2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0.54577119656606776</v>
      </c>
      <c r="D99" s="50">
        <f>IF(hist!$D$2&gt;0,hist!B99/hist!$D$2,0)</f>
        <v>4.6217072386821642E-2</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0.38908255155323485</v>
      </c>
      <c r="D100" s="50">
        <f>IF(hist!$D$2&gt;0,hist!B100/hist!$D$2,0)</f>
        <v>2.2374285527898514E-2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0.5359373617134261</v>
      </c>
      <c r="D101" s="50">
        <f>IF(hist!$D$2&gt;0,hist!B101/hist!$D$2,0)</f>
        <v>3.2572223139929912E-2</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0.29421574918134352</v>
      </c>
      <c r="D102" s="50">
        <f>IF(hist!$D$2&gt;0,hist!B102/hist!$D$2,0)</f>
        <v>4.0485825348145245E-2</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0.3655826843083459</v>
      </c>
      <c r="D103" s="50">
        <f>IF(hist!$D$2&gt;0,hist!B103/hist!$D$2,0)</f>
        <v>1.9161931552445759E-2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0.43499701301000093</v>
      </c>
      <c r="D104" s="50">
        <f>IF(hist!$D$2&gt;0,hist!B104/hist!$D$2,0)</f>
        <v>4.7022709996470478E-2</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0.8592187361713427</v>
      </c>
      <c r="D105" s="50">
        <f>IF(hist!$D$2&gt;0,hist!B105/hist!$D$2,0)</f>
        <v>1.7662833030567811E-2</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0.26579951765642978</v>
      </c>
      <c r="D106" s="50">
        <f>IF(hist!$D$2&gt;0,hist!B106/hist!$D$2,0)</f>
        <v>2.4454660463160336E-2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0.5037608416674042</v>
      </c>
      <c r="D107" s="50">
        <f>IF(hist!$D$2&gt;0,hist!B107/hist!$D$2,0)</f>
        <v>1.6969379919764212E-2</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0.56565293388795479</v>
      </c>
      <c r="D108" s="50">
        <f>IF(hist!$D$2&gt;0,hist!B108/hist!$D$2,0)</f>
        <v>3.152183920915639E-2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0.45423046287282065</v>
      </c>
      <c r="D109" s="50">
        <f>IF(hist!$D$2&gt;0,hist!B109/hist!$D$2,0)</f>
        <v>1.6204528162685809E-2</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0.48828712717939649</v>
      </c>
      <c r="D110" s="50">
        <f>IF(hist!$D$2&gt;0,hist!B110/hist!$D$2,0)</f>
        <v>2.9186513688201767E-2</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0.4412154836711214</v>
      </c>
      <c r="D111" s="50">
        <f>IF(hist!$D$2&gt;0,hist!B111/hist!$D$2,0)</f>
        <v>1.9355695557857391E-2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0.6112100628374193</v>
      </c>
      <c r="D112" s="50">
        <f>IF(hist!$D$2&gt;0,hist!B112/hist!$D$2,0)</f>
        <v>2.4984954560831156E-2</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0.48857642269227369</v>
      </c>
      <c r="D113" s="50">
        <f>IF(hist!$D$2&gt;0,hist!B113/hist!$D$2,0)</f>
        <v>1.3216535383498028E-2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0.40571289494645546</v>
      </c>
      <c r="D114" s="50">
        <f>IF(hist!$D$2&gt;0,hist!B114/hist!$D$2,0)</f>
        <v>1.6581851908940952E-2</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0.64042171873617137</v>
      </c>
      <c r="D115" s="50">
        <f>IF(hist!$D$2&gt;0,hist!B115/hist!$D$2,0)</f>
        <v>1.6265714742966977E-2</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0.39848216656341273</v>
      </c>
      <c r="D116" s="50">
        <f>IF(hist!$D$2&gt;0,hist!B116/hist!$D$2,0)</f>
        <v>2.0752813845458223E-2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0.45849688025488988</v>
      </c>
      <c r="D117" s="50">
        <f>IF(hist!$D$2&gt;0,hist!B117/hist!$D$2,0)</f>
        <v>9.6472505880753553E-3</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0.66760885919107893</v>
      </c>
      <c r="D118" s="50">
        <f>IF(hist!$D$2&gt;0,hist!B118/hist!$D$2,0)</f>
        <v>1.4868596455366149E-2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0.30101281086821846</v>
      </c>
      <c r="D119" s="50">
        <f>IF(hist!$D$2&gt;0,hist!B119/hist!$D$2,0)</f>
        <v>1.5653841138729769E-2</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0.64649526506770516</v>
      </c>
      <c r="D120" s="50">
        <f>IF(hist!$D$2&gt;0,hist!B120/hist!$D$2,0)</f>
        <v>9.3311134221013853E-3</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0.46247344897778569</v>
      </c>
      <c r="D121" s="50">
        <f>IF(hist!$D$2&gt;0,hist!B121/hist!$D$2,0)</f>
        <v>1.0065367988326445E-2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0.45220594742897607</v>
      </c>
      <c r="D122" s="50">
        <f>IF(hist!$D$2&gt;0,hist!B122/hist!$D$2,0)</f>
        <v>1.4766616221089029E-2</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0.66001416054518103</v>
      </c>
      <c r="D123" s="50">
        <f>IF(hist!$D$2&gt;0,hist!B123/hist!$D$2,0)</f>
        <v>9.1985437983964358E-3</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0.29710815116381983</v>
      </c>
      <c r="D124" s="50">
        <f>IF(hist!$D$2&gt;0,hist!B124/hist!$D$2,0)</f>
        <v>4.8236291947504331E-3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0.73167426320913354</v>
      </c>
      <c r="D125" s="50">
        <f>IF(hist!$D$2&gt;0,hist!B125/hist!$D$2,0)</f>
        <v>1.4623850134241468E-2</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0.31872787414815473</v>
      </c>
      <c r="D126" s="50">
        <f>IF(hist!$D$2&gt;0,hist!B126/hist!$D$2,0)</f>
        <v>1.9580017746994808E-3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0.16854699530931944</v>
      </c>
      <c r="D127" s="50">
        <f>IF(hist!$D$2&gt;0,hist!B127/hist!$D$2,0)</f>
        <v>7.1691511788476645E-3</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0.99587906009381377</v>
      </c>
      <c r="D128" s="50">
        <f>IF(hist!$D$2&gt;0,hist!B128/hist!$D$2,0)</f>
        <v>1.0871005597975287E-2</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1</v>
      </c>
      <c r="D130" s="50">
        <f>IF(hist!$D$2&gt;0,hist!B130/hist!$D$2,0)</f>
        <v>1.3185938192644688E-2</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0.74555270377909555</v>
      </c>
      <c r="D132" s="50">
        <f>IF(hist!$D$2&gt;0,hist!B132/hist!$D$2,0)</f>
        <v>7.3833081105445144E-3</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0.30195260642534744</v>
      </c>
      <c r="D133" s="50">
        <f>IF(hist!$D$2&gt;0,hist!B133/hist!$D$2,0)</f>
        <v>4.9460023553127728E-3</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0.28626205858925569</v>
      </c>
      <c r="D134" s="50">
        <f>IF(hist!$D$2&gt;0,hist!B134/hist!$D$2,0)</f>
        <v>1.0911775847694703E-3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0.5731757235153554</v>
      </c>
      <c r="D135" s="50">
        <f>IF(hist!$D$2&gt;0,hist!B135/hist!$D$2,0)</f>
        <v>7.1283575248517143E-3</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0.21757069209664576</v>
      </c>
      <c r="D136" s="50">
        <f>IF(hist!$D$2&gt;0,hist!B136/hist!$D$2,0)</f>
        <v>2.1823629709644518E-3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0.38691311177980353</v>
      </c>
      <c r="D137" s="50">
        <f>IF(hist!$D$2&gt;0,hist!B137/hist!$D$2,0)</f>
        <v>3.3041299451617516E-3</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0.32516317815735907</v>
      </c>
      <c r="D138" s="50">
        <f>IF(hist!$D$2&gt;0,hist!B138/hist!$D$2,0)</f>
        <v>4.7114524973307032E-3</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0.39486680237189137</v>
      </c>
      <c r="D139" s="50">
        <f>IF(hist!$D$2&gt;0,hist!B139/hist!$D$2,0)</f>
        <v>2.5494824526514715E-3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0.34034759713248963</v>
      </c>
      <c r="D140" s="50">
        <f>IF(hist!$D$2&gt;0,hist!B140/hist!$D$2,0)</f>
        <v>2.1211685892577711E-3</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0.15343503849898221</v>
      </c>
      <c r="D141" s="50">
        <f>IF(hist!$D$2&gt;0,hist!B141/hist!$D$2,0)</f>
        <v>2.7738436489164421E-3</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0.26406429772546247</v>
      </c>
      <c r="D142" s="50">
        <f>IF(hist!$D$2&gt;0,hist!B142/hist!$D$2,0)</f>
        <v>2.4577064829424716E-3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0.33029692893176388</v>
      </c>
      <c r="D143" s="50">
        <f>IF(hist!$D$2&gt;0,hist!B143/hist!$D$2,0)</f>
        <v>1.162568429618761E-3</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0.20368782635631474</v>
      </c>
      <c r="D144" s="50">
        <f>IF(hist!$D$2&gt;0,hist!B144/hist!$D$2,0)</f>
        <v>2.2537460143882315E-3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0.31142523674661476</v>
      </c>
      <c r="D145" s="50">
        <f>IF(hist!$D$2&gt;0,hist!B145/hist!$D$2,0)</f>
        <v>1.6826582627214608E-3</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0.17707927692716172</v>
      </c>
      <c r="D146" s="50">
        <f>IF(hist!$D$2&gt;0,hist!B146/hist!$D$2,0)</f>
        <v>1.4685013310246108E-3</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0.10180768209576069</v>
      </c>
      <c r="D147" s="50">
        <f>IF(hist!$D$2&gt;0,hist!B147/hist!$D$2,0)</f>
        <v>7.9544114650623057E-4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0.27585018585715554</v>
      </c>
      <c r="D148" s="50">
        <f>IF(hist!$D$2&gt;0,hist!B148/hist!$D$2,0)</f>
        <v>1.4990985218779509E-3</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0.10752002389592</v>
      </c>
      <c r="D149" s="50">
        <f>IF(hist!$D$2&gt;0,hist!B149/hist!$D$2,0)</f>
        <v>8.1583407279145037E-4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0.13933478626427118</v>
      </c>
      <c r="D150" s="50">
        <f>IF(hist!$D$2&gt;0,hist!B150/hist!$D$2,0)</f>
        <v>1.2441479361851508E-3</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0.10491691742632092</v>
      </c>
      <c r="D151" s="50">
        <f>IF(hist!$D$2&gt;0,hist!B151/hist!$D$2,0)</f>
        <v>5.2009763452821065E-4</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0.10130155323479954</v>
      </c>
      <c r="D152" s="50">
        <f>IF(hist!$D$2&gt;0,hist!B152/hist!$D$2,0)</f>
        <v>9.4841149792191087E-4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0.15806266041242589</v>
      </c>
      <c r="D153" s="50">
        <f>IF(hist!$D$2&gt;0,hist!B153/hist!$D$2,0)</f>
        <v>4.895004436748702E-4</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5.3145411098327287E-2</v>
      </c>
      <c r="D154" s="50">
        <f>IF(hist!$D$2&gt;0,hist!B154/hist!$D$2,0)</f>
        <v>4.9969690681748004E-4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9.739689353040093E-2</v>
      </c>
      <c r="D155" s="50">
        <f>IF(hist!$D$2&gt;0,hist!B155/hist!$D$2,0)</f>
        <v>3.6712728311253035E-4</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0.1634132445349146</v>
      </c>
      <c r="D156" s="50">
        <f>IF(hist!$D$2&gt;0,hist!B156/hist!$D$2,0)</f>
        <v>8.2603053593406021E-4</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4.5480905389857516E-2</v>
      </c>
      <c r="D157" s="50">
        <f>IF(hist!$D$2&gt;0,hist!B157/hist!$D$2,0)</f>
        <v>3.3653009225919001E-4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0.10065105319054785</v>
      </c>
      <c r="D158" s="50">
        <f>IF(hist!$D$2&gt;0,hist!B158/hist!$D$2,0)</f>
        <v>6.1187360423721005E-4</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0.11865541198336135</v>
      </c>
      <c r="D159" s="50">
        <f>IF(hist!$D$2&gt;0,hist!B159/hist!$D$2,0)</f>
        <v>4.0792093710848059E-4</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4.0925579697318352E-2</v>
      </c>
      <c r="D160" s="50">
        <f>IF(hist!$D$2&gt;0,hist!B160/hist!$D$2,0)</f>
        <v>2.1415693169685014E-4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8.6262058589255688E-2</v>
      </c>
      <c r="D161" s="50">
        <f>IF(hist!$D$2&gt;0,hist!B161/hist!$D$2,0)</f>
        <v>3.1613716597397032E-4</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2.4078126382865744E-2</v>
      </c>
      <c r="D162" s="50">
        <f>IF(hist!$D$2&gt;0,hist!B162/hist!$D$2,0)</f>
        <v>3.0594070283136043E-4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6.001471369147713E-2</v>
      </c>
      <c r="D163" s="50">
        <f>IF(hist!$D$2&gt;0,hist!B163/hist!$D$2,0)</f>
        <v>9.178377113451029E-5</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5.5893220638994601E-2</v>
      </c>
      <c r="D164" s="50">
        <f>IF(hist!$D$2&gt;0,hist!B164/hist!$D$2,0)</f>
        <v>1.3256962370494972E-4</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2.4295070360208868E-2</v>
      </c>
      <c r="D165" s="50">
        <f>IF(hist!$D$2&gt;0,hist!B165/hist!$D$2,0)</f>
        <v>1.0198023427712015E-4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3.5285644747322778E-2</v>
      </c>
      <c r="D166" s="50">
        <f>IF(hist!$D$2&gt;0,hist!B166/hist!$D$2,0)</f>
        <v>1.0198023427712015E-4</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7.8814496858129052E-3</v>
      </c>
      <c r="D167" s="50">
        <f>IF(hist!$D$2&gt;0,hist!B167/hist!$D$2,0)</f>
        <v>4.0793653995950216E-5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2.899498849455704E-2</v>
      </c>
      <c r="D168" s="50">
        <f>IF(hist!$D$2&gt;0,hist!B168/hist!$D$2,0)</f>
        <v>7.1383043423779781E-5</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6.073767590052217E-3</v>
      </c>
      <c r="D169" s="50">
        <f>IF(hist!$D$2&gt;0,hist!B169/hist!$D$2,0)</f>
        <v>4.0793653995950216E-5</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1.2870608018408709E-2</v>
      </c>
      <c r="D170" s="50">
        <f>IF(hist!$D$2&gt;0,hist!B170/hist!$D$2,0)</f>
        <v>1.0196463142609855E-5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1.3232144437560848E-2</v>
      </c>
      <c r="D171" s="50">
        <f>IF(hist!$D$2&gt;0,hist!B171/hist!$D$2,0)</f>
        <v>5.0990117138560073E-5</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5.0990117138560073E-5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1.6269028232586955E-2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1.8221302770156652E-2</v>
      </c>
      <c r="D174" s="50">
        <f>IF(hist!$D$2&gt;0,hist!B174/hist!$D$2,0)</f>
        <v>6.1186580281169924E-5</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3.0368837950261085E-3</v>
      </c>
      <c r="D175" s="50">
        <f>IF(hist!$D$2&gt;0,hist!B175/hist!$D$2,0)</f>
        <v>1.0196463142609855E-5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1.0267556863439244E-2</v>
      </c>
      <c r="D176" s="50">
        <f>IF(hist!$D$2&gt;0,hist!B176/hist!$D$2,0)</f>
        <v>3.0597190853340359E-5</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5.1337784317196222E-3</v>
      </c>
      <c r="D178" s="50">
        <f>IF(hist!$D$2&gt;0,hist!B178/hist!$D$2,0)</f>
        <v>2.0392926285219711E-5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41.330800000000004</v>
      </c>
      <c r="C5" s="49">
        <v>2.9563000000000001</v>
      </c>
      <c r="D5" s="49">
        <v>7.1527700000000003</v>
      </c>
      <c r="E5" s="49">
        <v>20</v>
      </c>
      <c r="F5" s="49">
        <v>35.111499999999999</v>
      </c>
      <c r="G5" s="49">
        <v>50</v>
      </c>
      <c r="H5" s="49">
        <v>48.258899999999997</v>
      </c>
    </row>
    <row r="6" spans="1:10">
      <c r="A6" t="s">
        <v>1111</v>
      </c>
      <c r="B6" s="49">
        <v>23.501300000000001</v>
      </c>
      <c r="C6" s="49">
        <v>4.0595100000000004</v>
      </c>
      <c r="D6" s="49">
        <v>17.273599999999998</v>
      </c>
      <c r="E6" s="49">
        <v>20</v>
      </c>
      <c r="F6" s="49">
        <v>19.5396</v>
      </c>
      <c r="G6" s="49">
        <v>40</v>
      </c>
      <c r="H6" s="49">
        <v>43.003300000000003</v>
      </c>
    </row>
    <row r="7" spans="1:10">
      <c r="A7" t="s">
        <v>1112</v>
      </c>
      <c r="B7" s="49">
        <v>13.3658</v>
      </c>
      <c r="C7" s="49">
        <v>6.7251000000000003</v>
      </c>
      <c r="D7" s="49">
        <v>50.3157</v>
      </c>
      <c r="E7" s="49">
        <v>15</v>
      </c>
      <c r="F7" s="49">
        <v>3.7194400000000001</v>
      </c>
      <c r="G7" s="49">
        <v>40</v>
      </c>
      <c r="H7" s="49">
        <v>32.331699999999998</v>
      </c>
    </row>
    <row r="8" spans="1:10">
      <c r="A8" t="s">
        <v>1113</v>
      </c>
      <c r="B8" s="49">
        <v>24.275099999999998</v>
      </c>
      <c r="C8" s="49">
        <v>6.4942900000000003</v>
      </c>
      <c r="D8" s="49">
        <v>26.7529</v>
      </c>
      <c r="E8" s="49">
        <v>20</v>
      </c>
      <c r="F8" s="49">
        <v>3.8841600000000001</v>
      </c>
      <c r="G8" s="49">
        <v>50</v>
      </c>
      <c r="H8" s="49">
        <v>30.8826</v>
      </c>
    </row>
    <row r="9" spans="1:10">
      <c r="A9" t="s">
        <v>1114</v>
      </c>
      <c r="B9" s="49">
        <v>78.912400000000005</v>
      </c>
      <c r="C9" s="49">
        <v>6.33012</v>
      </c>
      <c r="D9" s="49">
        <v>8.0217100000000006</v>
      </c>
      <c r="E9" s="49">
        <v>50</v>
      </c>
      <c r="F9" s="49">
        <v>65.811099999999996</v>
      </c>
      <c r="G9" s="49">
        <v>100</v>
      </c>
      <c r="H9" s="49">
        <v>89.948300000000003</v>
      </c>
    </row>
    <row r="10" spans="1:10">
      <c r="A10" t="s">
        <v>1115</v>
      </c>
      <c r="B10" s="49">
        <v>30.875299999999999</v>
      </c>
      <c r="C10" s="49">
        <v>4.6361600000000003</v>
      </c>
      <c r="D10" s="49">
        <v>15.0158</v>
      </c>
      <c r="E10" s="49">
        <v>40</v>
      </c>
      <c r="F10" s="49">
        <v>18.722899999999999</v>
      </c>
      <c r="G10" s="49">
        <v>100</v>
      </c>
      <c r="H10" s="49">
        <v>34.910499999999999</v>
      </c>
    </row>
    <row r="11" spans="1:10">
      <c r="A11" t="s">
        <v>1116</v>
      </c>
      <c r="B11" s="49">
        <v>35.391300000000001</v>
      </c>
      <c r="C11" s="49">
        <v>2.6854399999999998</v>
      </c>
      <c r="D11" s="49">
        <v>7.5878399999999999</v>
      </c>
      <c r="E11" s="49">
        <v>10</v>
      </c>
      <c r="F11" s="49">
        <v>27.371300000000002</v>
      </c>
      <c r="G11" s="49">
        <v>50</v>
      </c>
      <c r="H11" s="49">
        <v>37.759900000000002</v>
      </c>
    </row>
    <row r="12" spans="1:10">
      <c r="A12" t="s">
        <v>1117</v>
      </c>
      <c r="B12" s="49">
        <v>53.356099999999998</v>
      </c>
      <c r="C12" s="49">
        <v>3.74139</v>
      </c>
      <c r="D12" s="49">
        <v>7.0121099999999998</v>
      </c>
      <c r="E12" s="49">
        <v>50</v>
      </c>
      <c r="F12" s="49">
        <v>47.226300000000002</v>
      </c>
      <c r="G12" s="49">
        <v>100</v>
      </c>
      <c r="H12" s="49">
        <v>62.357599999999998</v>
      </c>
    </row>
    <row r="13" spans="1:10">
      <c r="A13" t="s">
        <v>1118</v>
      </c>
      <c r="B13" s="49">
        <v>20.578900000000001</v>
      </c>
      <c r="C13" s="49">
        <v>3.5394399999999999</v>
      </c>
      <c r="D13" s="49">
        <v>17.199400000000001</v>
      </c>
      <c r="E13" s="49">
        <v>10</v>
      </c>
      <c r="F13" s="49">
        <v>14.9016</v>
      </c>
      <c r="G13" s="49">
        <v>25</v>
      </c>
      <c r="H13" s="49">
        <v>28.0181</v>
      </c>
      <c r="J13" s="49"/>
    </row>
    <row r="14" spans="1:10">
      <c r="A14" t="s">
        <v>1119</v>
      </c>
      <c r="B14" s="49">
        <v>35.394399999999997</v>
      </c>
      <c r="C14" s="49">
        <v>9.1670200000000008</v>
      </c>
      <c r="D14" s="49">
        <v>25.8996</v>
      </c>
      <c r="E14" s="49">
        <v>10</v>
      </c>
      <c r="F14" s="49">
        <v>0.70426599999999995</v>
      </c>
      <c r="G14" s="49">
        <v>50</v>
      </c>
      <c r="H14" s="49">
        <v>35.394399999999997</v>
      </c>
    </row>
    <row r="15" spans="1:10">
      <c r="A15" t="s">
        <v>1120</v>
      </c>
      <c r="B15" s="49">
        <v>-6.8058900000000006E-2</v>
      </c>
      <c r="C15" s="49">
        <v>0</v>
      </c>
      <c r="D15" s="49">
        <v>0</v>
      </c>
      <c r="E15" s="49">
        <v>0</v>
      </c>
      <c r="F15" s="49">
        <v>0</v>
      </c>
      <c r="G15" s="49">
        <v>0</v>
      </c>
      <c r="H15" s="49">
        <v>0</v>
      </c>
    </row>
    <row r="16" spans="1:10">
      <c r="A16" t="s">
        <v>1121</v>
      </c>
      <c r="B16" s="49">
        <v>-2.5823599999999999E-2</v>
      </c>
      <c r="C16" s="49">
        <v>0</v>
      </c>
      <c r="D16" s="49">
        <v>0</v>
      </c>
      <c r="E16" s="49">
        <v>0</v>
      </c>
      <c r="F16" s="49">
        <v>0</v>
      </c>
      <c r="G16" s="49">
        <v>0</v>
      </c>
      <c r="H16" s="49">
        <v>0</v>
      </c>
    </row>
    <row r="17" spans="1:8">
      <c r="A17" t="s">
        <v>1122</v>
      </c>
      <c r="B17" s="49">
        <v>18.223099999999999</v>
      </c>
      <c r="C17" s="49">
        <v>0</v>
      </c>
      <c r="D17" s="49">
        <v>0</v>
      </c>
      <c r="E17" s="49">
        <v>0</v>
      </c>
      <c r="F17" s="49">
        <v>0</v>
      </c>
      <c r="G17" s="49">
        <v>0</v>
      </c>
      <c r="H17" s="49">
        <v>0</v>
      </c>
    </row>
    <row r="18" spans="1:8">
      <c r="A18" t="s">
        <v>1123</v>
      </c>
      <c r="B18" s="49">
        <v>0.62856199999999995</v>
      </c>
      <c r="C18" s="49">
        <v>0</v>
      </c>
      <c r="D18" s="49">
        <v>0</v>
      </c>
      <c r="E18" s="49">
        <v>0</v>
      </c>
      <c r="F18" s="49">
        <v>0</v>
      </c>
      <c r="G18" s="49">
        <v>0</v>
      </c>
      <c r="H18" s="49">
        <v>0</v>
      </c>
    </row>
    <row r="19" spans="1:8">
      <c r="A19" t="s">
        <v>1124</v>
      </c>
      <c r="B19" s="49">
        <v>0.46034900000000001</v>
      </c>
      <c r="C19" s="49">
        <v>0</v>
      </c>
      <c r="D19" s="49">
        <v>0</v>
      </c>
      <c r="E19" s="49">
        <v>0</v>
      </c>
      <c r="F19" s="49">
        <v>0</v>
      </c>
      <c r="G19" s="49">
        <v>0</v>
      </c>
      <c r="H19" s="49">
        <v>0</v>
      </c>
    </row>
    <row r="20" spans="1:8">
      <c r="A20" t="s">
        <v>1125</v>
      </c>
      <c r="B20" s="49">
        <v>4.2364400000000003E-2</v>
      </c>
      <c r="C20" s="49">
        <v>1.3114699999999999</v>
      </c>
      <c r="D20" s="49">
        <v>30.957000000000001</v>
      </c>
      <c r="E20" s="49">
        <v>0</v>
      </c>
      <c r="F20" s="49">
        <v>7.2696000000000002E-3</v>
      </c>
      <c r="G20" s="49">
        <v>0</v>
      </c>
      <c r="H20" s="49">
        <v>14.182499999999999</v>
      </c>
    </row>
    <row r="21" spans="1:8">
      <c r="A21" t="s">
        <v>1126</v>
      </c>
      <c r="B21" s="49">
        <v>0.41124100000000002</v>
      </c>
      <c r="C21" s="49">
        <v>4.4104000000000001</v>
      </c>
      <c r="D21" s="49">
        <v>10.724600000000001</v>
      </c>
      <c r="E21" s="49">
        <v>0</v>
      </c>
      <c r="F21" s="49">
        <v>4.1575899999999999E-2</v>
      </c>
      <c r="G21" s="49">
        <v>0</v>
      </c>
      <c r="H21" s="49">
        <v>27.560600000000001</v>
      </c>
    </row>
    <row r="22" spans="1:8">
      <c r="A22" t="s">
        <v>1127</v>
      </c>
      <c r="B22" s="49">
        <v>60.9754</v>
      </c>
      <c r="C22" s="49">
        <v>56.440800000000003</v>
      </c>
      <c r="D22" s="49">
        <v>0.92563200000000001</v>
      </c>
      <c r="E22" s="49">
        <v>0</v>
      </c>
      <c r="F22" s="49">
        <v>41.995199999999997</v>
      </c>
      <c r="G22" s="49">
        <v>0</v>
      </c>
      <c r="H22" s="49">
        <v>206.65199999999999</v>
      </c>
    </row>
    <row r="23" spans="1:8">
      <c r="A23" t="s">
        <v>1128</v>
      </c>
      <c r="B23" s="49">
        <v>35.733499999999999</v>
      </c>
      <c r="C23" s="49">
        <v>4.5008499999999998</v>
      </c>
      <c r="D23" s="49">
        <v>0.12595600000000001</v>
      </c>
      <c r="E23" s="49">
        <v>0</v>
      </c>
      <c r="F23" s="49">
        <v>28.821200000000001</v>
      </c>
      <c r="G23" s="49">
        <v>0</v>
      </c>
      <c r="H23" s="49">
        <v>47.430199999999999</v>
      </c>
    </row>
    <row r="24" spans="1:8">
      <c r="A24" t="s">
        <v>1129</v>
      </c>
      <c r="B24" s="49">
        <v>4.3303300000000003E-2</v>
      </c>
      <c r="C24" s="49">
        <v>0.65235699999999996</v>
      </c>
      <c r="D24" s="49">
        <v>15.0648</v>
      </c>
      <c r="E24" s="49">
        <v>0</v>
      </c>
      <c r="F24" s="49">
        <v>9.2461899999999996E-3</v>
      </c>
      <c r="G24" s="49">
        <v>0</v>
      </c>
      <c r="H24" s="49">
        <v>5.6783099999999997</v>
      </c>
    </row>
    <row r="25" spans="1:8">
      <c r="A25" t="s">
        <v>1130</v>
      </c>
      <c r="B25" s="49">
        <v>0.397706</v>
      </c>
      <c r="C25" s="49">
        <v>1.72502</v>
      </c>
      <c r="D25" s="49">
        <v>4.3374199999999998</v>
      </c>
      <c r="E25" s="49">
        <v>0</v>
      </c>
      <c r="F25" s="49">
        <v>0.108141</v>
      </c>
      <c r="G25" s="49">
        <v>0</v>
      </c>
      <c r="H25" s="49">
        <v>8.6770300000000002</v>
      </c>
    </row>
    <row r="26" spans="1:8">
      <c r="A26" t="s">
        <v>1131</v>
      </c>
      <c r="B26" s="49">
        <v>4.6296699999999998E-3</v>
      </c>
      <c r="C26" s="49">
        <v>4.2745199999999997E-2</v>
      </c>
      <c r="D26" s="49">
        <v>9.2328799999999998</v>
      </c>
      <c r="E26" s="49">
        <v>0</v>
      </c>
      <c r="F26" s="173">
        <v>1.37155E-3</v>
      </c>
      <c r="G26" s="49">
        <v>0</v>
      </c>
      <c r="H26" s="49">
        <v>0.36712400000000001</v>
      </c>
    </row>
    <row r="27" spans="1:8">
      <c r="A27" t="s">
        <v>1132</v>
      </c>
      <c r="B27" s="173">
        <v>4.0371899999999999E-5</v>
      </c>
      <c r="C27" s="49">
        <v>6.9714199999999999E-3</v>
      </c>
      <c r="D27" s="49">
        <v>172.68</v>
      </c>
      <c r="E27" s="49">
        <v>0</v>
      </c>
      <c r="F27" s="49">
        <v>-1.08688E-2</v>
      </c>
      <c r="G27" s="49">
        <v>0</v>
      </c>
      <c r="H27" s="49">
        <v>5.7421899999999998E-2</v>
      </c>
    </row>
    <row r="28" spans="1:8">
      <c r="A28" t="s">
        <v>1133</v>
      </c>
      <c r="B28" s="49">
        <v>2.4542600000000001E-2</v>
      </c>
      <c r="C28" s="49">
        <v>0.100503</v>
      </c>
      <c r="D28" s="49">
        <v>4.0950300000000004</v>
      </c>
      <c r="E28" s="49">
        <v>0</v>
      </c>
      <c r="F28" s="49">
        <v>5.7845099999999997E-3</v>
      </c>
      <c r="G28" s="49">
        <v>0</v>
      </c>
      <c r="H28" s="49">
        <v>0.53311500000000001</v>
      </c>
    </row>
    <row r="29" spans="1:8">
      <c r="A29" t="s">
        <v>1134</v>
      </c>
      <c r="B29" s="49">
        <v>72.933099999999996</v>
      </c>
      <c r="C29" s="49">
        <v>7.7997899999999998</v>
      </c>
      <c r="D29" s="49">
        <v>0.106944</v>
      </c>
      <c r="E29" s="49">
        <v>0</v>
      </c>
      <c r="F29" s="49">
        <v>57.605200000000004</v>
      </c>
      <c r="G29" s="49">
        <v>0</v>
      </c>
      <c r="H29" s="49">
        <v>92.997299999999996</v>
      </c>
    </row>
    <row r="30" spans="1:8">
      <c r="A30" t="s">
        <v>1135</v>
      </c>
      <c r="B30" s="49">
        <v>34.748100000000001</v>
      </c>
      <c r="C30" s="49">
        <v>4.7938499999999999</v>
      </c>
      <c r="D30" s="49">
        <v>0.13796</v>
      </c>
      <c r="E30" s="49">
        <v>0</v>
      </c>
      <c r="F30" s="49">
        <v>19.665900000000001</v>
      </c>
      <c r="G30" s="49">
        <v>0</v>
      </c>
      <c r="H30" s="49">
        <v>44.127899999999997</v>
      </c>
    </row>
    <row r="31" spans="1:8">
      <c r="A31" t="s">
        <v>1136</v>
      </c>
      <c r="B31" s="49">
        <v>177.262</v>
      </c>
      <c r="C31" s="49">
        <v>25.663499999999999</v>
      </c>
      <c r="D31" s="49">
        <v>0.14477699999999999</v>
      </c>
      <c r="E31" s="49">
        <v>0</v>
      </c>
      <c r="F31" s="49">
        <v>147.76400000000001</v>
      </c>
      <c r="G31" s="49">
        <v>0</v>
      </c>
      <c r="H31" s="49">
        <v>258.22300000000001</v>
      </c>
    </row>
    <row r="32" spans="1:8">
      <c r="A32" t="s">
        <v>1137</v>
      </c>
      <c r="B32" s="49">
        <v>0.133658</v>
      </c>
      <c r="C32" s="49">
        <v>6.7251000000000005E-2</v>
      </c>
      <c r="D32" s="49">
        <v>0.50315699999999997</v>
      </c>
      <c r="E32" s="49">
        <v>0.15</v>
      </c>
      <c r="F32" s="49">
        <v>3.7194400000000002E-2</v>
      </c>
      <c r="G32" s="49">
        <v>0.4</v>
      </c>
      <c r="H32" s="49">
        <v>0.32331700000000002</v>
      </c>
    </row>
    <row r="33" spans="1:8">
      <c r="A33" t="s">
        <v>1138</v>
      </c>
      <c r="B33" s="49">
        <v>0.24707100000000001</v>
      </c>
      <c r="C33" s="49">
        <v>3.35272E-2</v>
      </c>
      <c r="D33" s="49">
        <v>0.13569899999999999</v>
      </c>
      <c r="E33" s="49">
        <v>0</v>
      </c>
      <c r="F33" s="49">
        <v>0.17219000000000001</v>
      </c>
      <c r="G33" s="49">
        <v>0</v>
      </c>
      <c r="H33" s="49">
        <v>0.34171299999999999</v>
      </c>
    </row>
    <row r="34" spans="1:8">
      <c r="A34" t="s">
        <v>1139</v>
      </c>
      <c r="B34" s="49">
        <v>0.205789</v>
      </c>
      <c r="C34" s="49">
        <v>3.5394399999999999E-2</v>
      </c>
      <c r="D34" s="49">
        <v>0.17199400000000001</v>
      </c>
      <c r="E34" s="49">
        <v>0.1</v>
      </c>
      <c r="F34" s="49">
        <v>0.14901600000000001</v>
      </c>
      <c r="G34" s="49">
        <v>0.25</v>
      </c>
      <c r="H34" s="49">
        <v>0.28018100000000001</v>
      </c>
    </row>
    <row r="35" spans="1:8">
      <c r="A35" t="s">
        <v>1140</v>
      </c>
      <c r="B35" s="49">
        <v>9.37804E-2</v>
      </c>
      <c r="C35" s="49">
        <v>4.0263399999999998E-2</v>
      </c>
      <c r="D35" s="49">
        <v>0.42933700000000002</v>
      </c>
      <c r="E35" s="49">
        <v>0</v>
      </c>
      <c r="F35" s="49">
        <v>4.5027999999999999E-2</v>
      </c>
      <c r="G35" s="49">
        <v>0</v>
      </c>
      <c r="H35" s="49">
        <v>0.16472500000000001</v>
      </c>
    </row>
    <row r="36" spans="1:8">
      <c r="A36" t="s">
        <v>1141</v>
      </c>
      <c r="B36" s="49">
        <v>0.20070399999999999</v>
      </c>
      <c r="C36" s="49">
        <v>0.10987</v>
      </c>
      <c r="D36" s="49">
        <v>0.54742199999999996</v>
      </c>
      <c r="E36" s="49">
        <v>0</v>
      </c>
      <c r="F36" s="49">
        <v>4.6211099999999998E-2</v>
      </c>
      <c r="G36" s="49">
        <v>0</v>
      </c>
      <c r="H36" s="49">
        <v>0.54257999999999995</v>
      </c>
    </row>
    <row r="37" spans="1:8">
      <c r="A37" t="s">
        <v>1142</v>
      </c>
      <c r="B37" s="49">
        <v>0.35394399999999998</v>
      </c>
      <c r="C37" s="49">
        <v>9.1670199999999993E-2</v>
      </c>
      <c r="D37" s="49">
        <v>0.258996</v>
      </c>
      <c r="E37" s="49">
        <v>0.1</v>
      </c>
      <c r="F37" s="49">
        <v>7.0426600000000001E-3</v>
      </c>
      <c r="G37" s="49">
        <v>0.5</v>
      </c>
      <c r="H37" s="49">
        <v>0.35394399999999998</v>
      </c>
    </row>
    <row r="38" spans="1:8">
      <c r="A38" t="s">
        <v>1143</v>
      </c>
      <c r="B38" s="49">
        <v>-149.60499999999999</v>
      </c>
      <c r="C38" s="49">
        <v>282.45499999999998</v>
      </c>
      <c r="D38" s="49">
        <v>-1.88801</v>
      </c>
      <c r="E38" s="49">
        <v>0</v>
      </c>
      <c r="F38" s="49">
        <v>-963.1</v>
      </c>
      <c r="G38" s="49">
        <v>0</v>
      </c>
      <c r="H38" s="49">
        <v>251.37299999999999</v>
      </c>
    </row>
    <row r="39" spans="1:8">
      <c r="A39" t="s">
        <v>1144</v>
      </c>
      <c r="B39" s="49">
        <v>-66.401399999999995</v>
      </c>
      <c r="C39" s="49">
        <v>97.668000000000006</v>
      </c>
      <c r="D39" s="49">
        <v>-1.4708699999999999</v>
      </c>
      <c r="E39" s="49">
        <v>0</v>
      </c>
      <c r="F39" s="49">
        <v>-300.596</v>
      </c>
      <c r="G39" s="49">
        <v>0</v>
      </c>
      <c r="H39" s="49">
        <v>47.866799999999998</v>
      </c>
    </row>
    <row r="40" spans="1:8">
      <c r="A40" t="s">
        <v>1145</v>
      </c>
      <c r="B40" s="49">
        <v>-18.8567</v>
      </c>
      <c r="C40" s="49">
        <v>16.674499999999998</v>
      </c>
      <c r="D40" s="49">
        <v>-0.88427599999999995</v>
      </c>
      <c r="E40" s="49">
        <v>0</v>
      </c>
      <c r="F40" s="49">
        <v>-46.418300000000002</v>
      </c>
      <c r="G40" s="49">
        <v>0</v>
      </c>
      <c r="H40" s="49">
        <v>5.8699000000000003</v>
      </c>
    </row>
    <row r="41" spans="1:8">
      <c r="A41" t="s">
        <v>1146</v>
      </c>
      <c r="B41" s="49">
        <v>-0.66322000000000003</v>
      </c>
      <c r="C41" s="49">
        <v>0.45186700000000002</v>
      </c>
      <c r="D41" s="49">
        <v>-0.68132300000000001</v>
      </c>
      <c r="E41" s="49">
        <v>0</v>
      </c>
      <c r="F41" s="49">
        <v>-0.97424599999999995</v>
      </c>
      <c r="G41" s="49">
        <v>0</v>
      </c>
      <c r="H41" s="49">
        <v>0.87239999999999995</v>
      </c>
    </row>
    <row r="42" spans="1:8">
      <c r="A42" t="s">
        <v>1147</v>
      </c>
      <c r="B42" s="49">
        <v>-0.64061500000000005</v>
      </c>
      <c r="C42" s="49">
        <v>0.51743399999999995</v>
      </c>
      <c r="D42" s="49">
        <v>-0.80771499999999996</v>
      </c>
      <c r="E42" s="49">
        <v>0</v>
      </c>
      <c r="F42" s="49">
        <v>-0.99125300000000005</v>
      </c>
      <c r="G42" s="49">
        <v>0</v>
      </c>
      <c r="H42" s="49">
        <v>0.489068</v>
      </c>
    </row>
    <row r="43" spans="1:8">
      <c r="A43" t="s">
        <v>1148</v>
      </c>
      <c r="B43" s="49">
        <v>-0.32391999999999999</v>
      </c>
      <c r="C43" s="49">
        <v>0.18537400000000001</v>
      </c>
      <c r="D43" s="49">
        <v>-0.57228500000000004</v>
      </c>
      <c r="E43" s="49">
        <v>0</v>
      </c>
      <c r="F43" s="49">
        <v>-0.53677200000000003</v>
      </c>
      <c r="G43" s="49">
        <v>0</v>
      </c>
      <c r="H43" s="49">
        <v>-4.4404399999999999E-4</v>
      </c>
    </row>
    <row r="44" spans="1:8">
      <c r="A44" t="s">
        <v>1149</v>
      </c>
      <c r="B44" s="49">
        <v>-20.4374</v>
      </c>
      <c r="C44" s="49">
        <v>37.896999999999998</v>
      </c>
      <c r="D44" s="49">
        <v>-1.8543000000000001</v>
      </c>
      <c r="E44" s="49">
        <v>0</v>
      </c>
      <c r="F44" s="49">
        <v>-83.138099999999994</v>
      </c>
      <c r="G44" s="49">
        <v>0</v>
      </c>
      <c r="H44" s="49">
        <v>56.631900000000002</v>
      </c>
    </row>
    <row r="45" spans="1:8">
      <c r="A45" t="s">
        <v>1150</v>
      </c>
      <c r="B45" s="49">
        <v>51.318100000000001</v>
      </c>
      <c r="C45" s="49">
        <v>7.7900799999999997</v>
      </c>
      <c r="D45" s="49">
        <v>0.15179999999999999</v>
      </c>
      <c r="E45" s="49">
        <v>0</v>
      </c>
      <c r="F45" s="49">
        <v>39.378399999999999</v>
      </c>
      <c r="G45" s="49">
        <v>0</v>
      </c>
      <c r="H45" s="49">
        <v>66.559700000000007</v>
      </c>
    </row>
    <row r="46" spans="1:8">
      <c r="A46" t="s">
        <v>1151</v>
      </c>
      <c r="B46" s="49">
        <v>29.246099999999998</v>
      </c>
      <c r="C46" s="49">
        <v>3.2391000000000001</v>
      </c>
      <c r="D46" s="49">
        <v>0.110753</v>
      </c>
      <c r="E46" s="49">
        <v>0</v>
      </c>
      <c r="F46" s="49">
        <v>26.736000000000001</v>
      </c>
      <c r="G46" s="49">
        <v>0</v>
      </c>
      <c r="H46" s="49">
        <v>37.938499999999998</v>
      </c>
    </row>
    <row r="47" spans="1:8">
      <c r="A47" t="s">
        <v>1152</v>
      </c>
      <c r="B47" s="49">
        <v>1.7596000000000001</v>
      </c>
      <c r="C47" s="49">
        <v>0.68668099999999999</v>
      </c>
      <c r="D47" s="49">
        <v>0.39024799999999998</v>
      </c>
      <c r="E47" s="49">
        <v>0</v>
      </c>
      <c r="F47" s="49">
        <v>1.3378699999999999</v>
      </c>
      <c r="G47" s="49">
        <v>0</v>
      </c>
      <c r="H47" s="49">
        <v>3.7732899999999998</v>
      </c>
    </row>
    <row r="48" spans="1:8">
      <c r="A48" t="s">
        <v>1153</v>
      </c>
      <c r="B48" s="49">
        <v>1.56847</v>
      </c>
      <c r="C48" s="49">
        <v>0.21652299999999999</v>
      </c>
      <c r="D48" s="49">
        <v>0.138047</v>
      </c>
      <c r="E48" s="49">
        <v>0</v>
      </c>
      <c r="F48" s="49">
        <v>0.99768000000000001</v>
      </c>
      <c r="G48" s="49">
        <v>0</v>
      </c>
      <c r="H48" s="49">
        <v>1.8883000000000001</v>
      </c>
    </row>
    <row r="50" spans="1:4">
      <c r="A50" t="str">
        <f>lang!B7</f>
        <v>긍정감정</v>
      </c>
      <c r="B50" s="134">
        <f>SUM(B9:B12)</f>
        <v>198.5351</v>
      </c>
      <c r="C50" s="134"/>
      <c r="D50" s="134">
        <f t="shared" ref="D50" si="0">SUM(D9:D12)</f>
        <v>37.637460000000004</v>
      </c>
    </row>
    <row r="51" spans="1:4">
      <c r="A51" t="str">
        <f>lang!B8</f>
        <v>부정감정</v>
      </c>
      <c r="B51" s="134">
        <f>SUM(B5:B8)</f>
        <v>102.473</v>
      </c>
      <c r="C51" s="134"/>
      <c r="D51" s="134">
        <f t="shared" ref="D51" si="1">SUM(D5:D8)</f>
        <v>101.49497</v>
      </c>
    </row>
    <row r="52" spans="1:4">
      <c r="A52" t="str">
        <f>lang!B9</f>
        <v>생리감정</v>
      </c>
      <c r="B52" s="134">
        <f>SUM(B13:B14)</f>
        <v>55.973299999999995</v>
      </c>
      <c r="C52" s="134"/>
      <c r="D52" s="134">
        <f t="shared" ref="D52" si="2">SUM(D13:D14)</f>
        <v>43.099000000000004</v>
      </c>
    </row>
    <row r="53" spans="1:4">
      <c r="B53" s="50">
        <f>SUM(B50:B52)</f>
        <v>356.98140000000001</v>
      </c>
      <c r="D53" s="50">
        <f>SUM(D50:D52)</f>
        <v>182.23142999999999</v>
      </c>
    </row>
    <row r="54" spans="1:4">
      <c r="A54" t="str">
        <f>lang!B7</f>
        <v>긍정감정</v>
      </c>
      <c r="B54" s="135">
        <f>IF(B$53&lt;&gt;0,B50/B$53,0)</f>
        <v>0.55614970415825582</v>
      </c>
      <c r="C54" s="135"/>
      <c r="D54" s="135">
        <f>IF(D$53&lt;&gt;0,D50/D$53,0)</f>
        <v>0.20653660019020872</v>
      </c>
    </row>
    <row r="55" spans="1:4">
      <c r="A55" t="str">
        <f>lang!B8</f>
        <v>부정감정</v>
      </c>
      <c r="B55" s="135">
        <f>IF(B$53&lt;&gt;0,B51/B$53,0)</f>
        <v>0.28705417144982903</v>
      </c>
      <c r="C55" s="135"/>
      <c r="D55" s="135">
        <f>IF(D$53&lt;&gt;0,D51/D$53,0)</f>
        <v>0.55695644818240186</v>
      </c>
    </row>
    <row r="56" spans="1:4">
      <c r="A56" t="str">
        <f>lang!B9</f>
        <v>생리감정</v>
      </c>
      <c r="B56" s="135">
        <f>IF(B$53&lt;&gt;0,B52/B$53,0)</f>
        <v>0.15679612439191506</v>
      </c>
      <c r="C56" s="135"/>
      <c r="D56" s="135">
        <f>IF(D$53&lt;&gt;0,D52/D$53,0)</f>
        <v>0.23650695162738944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18.078399999999998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2.3529399999999999E-2</v>
      </c>
      <c r="B8" s="49">
        <v>2.3529399999999999E-2</v>
      </c>
    </row>
    <row r="9" spans="1:3">
      <c r="A9" s="49">
        <v>0</v>
      </c>
      <c r="B9" s="49">
        <v>0</v>
      </c>
    </row>
    <row r="10" spans="1:3">
      <c r="A10" s="49">
        <v>0</v>
      </c>
      <c r="B10" s="49">
        <v>0</v>
      </c>
    </row>
    <row r="11" spans="1:3">
      <c r="A11" s="49">
        <v>0.109804</v>
      </c>
      <c r="B11" s="49">
        <v>0.109804</v>
      </c>
    </row>
    <row r="12" spans="1:3">
      <c r="A12" s="49">
        <v>8.6274500000000004E-2</v>
      </c>
      <c r="B12" s="49">
        <v>8.6274500000000004E-2</v>
      </c>
    </row>
    <row r="13" spans="1:3">
      <c r="A13" s="49">
        <v>7.4509800000000001E-2</v>
      </c>
      <c r="B13" s="49">
        <v>7.4509800000000001E-2</v>
      </c>
    </row>
    <row r="14" spans="1:3">
      <c r="A14" s="49">
        <v>0</v>
      </c>
      <c r="B14" s="49">
        <v>0</v>
      </c>
    </row>
    <row r="15" spans="1:3">
      <c r="A15" s="49">
        <v>0.261438</v>
      </c>
      <c r="B15" s="49">
        <v>0.261438</v>
      </c>
    </row>
    <row r="16" spans="1:3">
      <c r="A16" s="49">
        <v>0.27581699999999998</v>
      </c>
      <c r="B16" s="49">
        <v>0.27581699999999998</v>
      </c>
    </row>
    <row r="17" spans="1:2">
      <c r="A17" s="49">
        <v>0.24182999999999999</v>
      </c>
      <c r="B17" s="49">
        <v>0.24182999999999999</v>
      </c>
    </row>
    <row r="18" spans="1:2">
      <c r="A18" s="49">
        <v>0.261438</v>
      </c>
      <c r="B18" s="49">
        <v>0.261438</v>
      </c>
    </row>
    <row r="19" spans="1:2">
      <c r="A19" s="49">
        <v>0.128105</v>
      </c>
      <c r="B19" s="49">
        <v>0.128105</v>
      </c>
    </row>
    <row r="20" spans="1:2">
      <c r="A20" s="49">
        <v>6.6666699999999995E-2</v>
      </c>
      <c r="B20" s="49">
        <v>6.6666699999999995E-2</v>
      </c>
    </row>
    <row r="21" spans="1:2">
      <c r="A21" s="49">
        <v>9.2810500000000004E-2</v>
      </c>
      <c r="B21" s="49">
        <v>9.2810500000000004E-2</v>
      </c>
    </row>
    <row r="22" spans="1:2">
      <c r="A22" s="49">
        <v>7.0588200000000004E-2</v>
      </c>
      <c r="B22" s="49">
        <v>7.0588200000000004E-2</v>
      </c>
    </row>
    <row r="23" spans="1:2">
      <c r="A23" s="49">
        <v>0.25097999999999998</v>
      </c>
      <c r="B23" s="49">
        <v>0.25097999999999998</v>
      </c>
    </row>
    <row r="24" spans="1:2">
      <c r="A24" s="49">
        <v>0.19869300000000001</v>
      </c>
      <c r="B24" s="49">
        <v>0.19869300000000001</v>
      </c>
    </row>
    <row r="25" spans="1:2">
      <c r="A25" s="49">
        <v>0.13333300000000001</v>
      </c>
      <c r="B25" s="49">
        <v>0.13333300000000001</v>
      </c>
    </row>
    <row r="26" spans="1:2">
      <c r="A26" s="49">
        <v>9.2810500000000004E-2</v>
      </c>
      <c r="B26" s="49">
        <v>9.2810500000000004E-2</v>
      </c>
    </row>
    <row r="27" spans="1:2">
      <c r="A27" s="49">
        <v>0.16339899999999999</v>
      </c>
      <c r="B27" s="49">
        <v>0.16339899999999999</v>
      </c>
    </row>
    <row r="28" spans="1:2">
      <c r="A28" s="49">
        <v>0.132026</v>
      </c>
      <c r="B28" s="49">
        <v>0.132026</v>
      </c>
    </row>
    <row r="29" spans="1:2">
      <c r="A29" s="49">
        <v>4.3137300000000003E-2</v>
      </c>
      <c r="B29" s="49">
        <v>4.3137300000000003E-2</v>
      </c>
    </row>
    <row r="30" spans="1:2">
      <c r="A30" s="49">
        <v>2.6143799999999998E-2</v>
      </c>
      <c r="B30" s="49">
        <v>2.6143799999999998E-2</v>
      </c>
    </row>
    <row r="31" spans="1:2">
      <c r="A31" s="49">
        <v>6.4052300000000006E-2</v>
      </c>
      <c r="B31" s="49">
        <v>6.4052300000000006E-2</v>
      </c>
    </row>
    <row r="32" spans="1:2">
      <c r="A32" s="49">
        <v>4.9673200000000001E-2</v>
      </c>
      <c r="B32" s="49">
        <v>4.9673200000000001E-2</v>
      </c>
    </row>
    <row r="33" spans="1:2">
      <c r="A33" s="49">
        <v>0.101961</v>
      </c>
      <c r="B33" s="49">
        <v>0.101961</v>
      </c>
    </row>
    <row r="34" spans="1:2">
      <c r="A34" s="49">
        <v>0.12548999999999999</v>
      </c>
      <c r="B34" s="49">
        <v>0.12548999999999999</v>
      </c>
    </row>
    <row r="35" spans="1:2">
      <c r="A35" s="49">
        <v>5.3594799999999998E-2</v>
      </c>
      <c r="B35" s="49">
        <v>5.3594799999999998E-2</v>
      </c>
    </row>
    <row r="36" spans="1:2">
      <c r="A36" s="49">
        <v>9.4117599999999996E-2</v>
      </c>
      <c r="B36" s="49">
        <v>9.4117599999999996E-2</v>
      </c>
    </row>
    <row r="37" spans="1:2">
      <c r="A37" s="49">
        <v>5.6209099999999998E-2</v>
      </c>
      <c r="B37" s="49">
        <v>5.6209099999999998E-2</v>
      </c>
    </row>
    <row r="38" spans="1:2">
      <c r="A38" s="49">
        <v>9.6731999999999999E-2</v>
      </c>
      <c r="B38" s="49">
        <v>9.6731999999999999E-2</v>
      </c>
    </row>
    <row r="39" spans="1:2">
      <c r="A39" s="49">
        <v>9.8039200000000007E-2</v>
      </c>
      <c r="B39" s="49">
        <v>9.8039200000000007E-2</v>
      </c>
    </row>
    <row r="40" spans="1:2">
      <c r="A40" s="49">
        <v>0.130719</v>
      </c>
      <c r="B40" s="49">
        <v>0.130719</v>
      </c>
    </row>
    <row r="41" spans="1:2">
      <c r="A41" s="49">
        <v>0.11372500000000001</v>
      </c>
      <c r="B41" s="49">
        <v>0.11372500000000001</v>
      </c>
    </row>
    <row r="42" spans="1:2">
      <c r="A42" s="49">
        <v>8.3660100000000001E-2</v>
      </c>
      <c r="B42" s="49">
        <v>8.3660100000000001E-2</v>
      </c>
    </row>
    <row r="43" spans="1:2">
      <c r="A43" s="49">
        <v>0.17908499999999999</v>
      </c>
      <c r="B43" s="49">
        <v>0.17908499999999999</v>
      </c>
    </row>
    <row r="44" spans="1:2">
      <c r="A44" s="49">
        <v>0.145098</v>
      </c>
      <c r="B44" s="49">
        <v>0.145098</v>
      </c>
    </row>
    <row r="45" spans="1:2">
      <c r="A45" s="49">
        <v>7.3202600000000007E-2</v>
      </c>
      <c r="B45" s="49">
        <v>7.3202600000000007E-2</v>
      </c>
    </row>
    <row r="46" spans="1:2">
      <c r="A46" s="49">
        <v>5.7516299999999999E-2</v>
      </c>
      <c r="B46" s="49">
        <v>5.7516299999999999E-2</v>
      </c>
    </row>
    <row r="47" spans="1:2">
      <c r="A47" s="49">
        <v>5.8823500000000001E-2</v>
      </c>
      <c r="B47" s="49">
        <v>5.8823500000000001E-2</v>
      </c>
    </row>
    <row r="48" spans="1:2">
      <c r="A48" s="49">
        <v>0.11372500000000001</v>
      </c>
      <c r="B48" s="49">
        <v>0.11372500000000001</v>
      </c>
    </row>
    <row r="49" spans="1:2">
      <c r="A49" s="49">
        <v>4.5751600000000003E-2</v>
      </c>
      <c r="B49" s="49">
        <v>4.5751600000000003E-2</v>
      </c>
    </row>
    <row r="50" spans="1:2">
      <c r="A50" s="49">
        <v>1.83007E-2</v>
      </c>
      <c r="B50" s="49">
        <v>1.83007E-2</v>
      </c>
    </row>
    <row r="51" spans="1:2">
      <c r="A51" s="49">
        <v>9.6731999999999999E-2</v>
      </c>
      <c r="B51" s="49">
        <v>9.6731999999999999E-2</v>
      </c>
    </row>
    <row r="52" spans="1:2">
      <c r="A52" s="49">
        <v>0.118954</v>
      </c>
      <c r="B52" s="49">
        <v>0.118954</v>
      </c>
    </row>
    <row r="53" spans="1:2">
      <c r="A53" s="49">
        <v>0.13333300000000001</v>
      </c>
      <c r="B53" s="49">
        <v>0.13333300000000001</v>
      </c>
    </row>
    <row r="54" spans="1:2">
      <c r="A54" s="49">
        <v>0.22875799999999999</v>
      </c>
      <c r="B54" s="49">
        <v>0.22875799999999999</v>
      </c>
    </row>
    <row r="55" spans="1:2">
      <c r="A55" s="49">
        <v>0.25620900000000002</v>
      </c>
      <c r="B55" s="49">
        <v>0.25620900000000002</v>
      </c>
    </row>
    <row r="56" spans="1:2">
      <c r="A56" s="49">
        <v>0.27581699999999998</v>
      </c>
      <c r="B56" s="49">
        <v>0.27581699999999998</v>
      </c>
    </row>
    <row r="57" spans="1:2">
      <c r="A57" s="49">
        <v>0.24444399999999999</v>
      </c>
      <c r="B57" s="49">
        <v>0.24444399999999999</v>
      </c>
    </row>
    <row r="58" spans="1:2">
      <c r="A58" s="49">
        <v>0.33464100000000002</v>
      </c>
      <c r="B58" s="49">
        <v>0.33464100000000002</v>
      </c>
    </row>
    <row r="59" spans="1:2">
      <c r="A59" s="49">
        <v>0.47581699999999999</v>
      </c>
      <c r="B59" s="49">
        <v>0.47581699999999999</v>
      </c>
    </row>
    <row r="60" spans="1:2">
      <c r="A60" s="49">
        <v>0.478431</v>
      </c>
      <c r="B60" s="49">
        <v>0.478431</v>
      </c>
    </row>
    <row r="61" spans="1:2">
      <c r="A61" s="49">
        <v>0.49673200000000001</v>
      </c>
      <c r="B61" s="49">
        <v>0.49673200000000001</v>
      </c>
    </row>
    <row r="62" spans="1:2">
      <c r="A62" s="49">
        <v>0.31111100000000003</v>
      </c>
      <c r="B62" s="49">
        <v>0.31111100000000003</v>
      </c>
    </row>
    <row r="63" spans="1:2">
      <c r="A63" s="49">
        <v>0.82091499999999995</v>
      </c>
      <c r="B63" s="49">
        <v>0.82091499999999995</v>
      </c>
    </row>
    <row r="64" spans="1:2">
      <c r="A64" s="49">
        <v>1.00915</v>
      </c>
      <c r="B64" s="49">
        <v>1.00915</v>
      </c>
    </row>
    <row r="65" spans="1:2">
      <c r="A65" s="49">
        <v>1.0548999999999999</v>
      </c>
      <c r="B65" s="49">
        <v>1.0548999999999999</v>
      </c>
    </row>
    <row r="66" spans="1:2">
      <c r="A66" s="49">
        <v>0.80261400000000005</v>
      </c>
      <c r="B66" s="49">
        <v>0.80261400000000005</v>
      </c>
    </row>
    <row r="67" spans="1:2">
      <c r="A67" s="49">
        <v>0.94901999999999997</v>
      </c>
      <c r="B67" s="49">
        <v>0.94901999999999997</v>
      </c>
    </row>
    <row r="68" spans="1:2">
      <c r="A68" s="49">
        <v>1.2117599999999999</v>
      </c>
      <c r="B68" s="49">
        <v>1.2117599999999999</v>
      </c>
    </row>
    <row r="69" spans="1:2">
      <c r="A69" s="49">
        <v>1.0653600000000001</v>
      </c>
      <c r="B69" s="49">
        <v>1.0653600000000001</v>
      </c>
    </row>
    <row r="70" spans="1:2">
      <c r="A70" s="49">
        <v>0.96209199999999995</v>
      </c>
      <c r="B70" s="49">
        <v>0.96209199999999995</v>
      </c>
    </row>
    <row r="71" spans="1:2">
      <c r="A71" s="49">
        <v>1.8666700000000001</v>
      </c>
      <c r="B71" s="49">
        <v>1.8666700000000001</v>
      </c>
    </row>
    <row r="72" spans="1:2">
      <c r="A72" s="49">
        <v>1.64706</v>
      </c>
      <c r="B72" s="49">
        <v>1.64706</v>
      </c>
    </row>
    <row r="73" spans="1:2">
      <c r="A73" s="49">
        <v>1.58039</v>
      </c>
      <c r="B73" s="49">
        <v>1.58039</v>
      </c>
    </row>
    <row r="74" spans="1:2">
      <c r="A74" s="49">
        <v>1.6535899999999999</v>
      </c>
      <c r="B74" s="49">
        <v>1.6535899999999999</v>
      </c>
    </row>
    <row r="75" spans="1:2">
      <c r="A75" s="49">
        <v>3.14771</v>
      </c>
      <c r="B75" s="49">
        <v>3.14771</v>
      </c>
    </row>
    <row r="76" spans="1:2">
      <c r="A76" s="49">
        <v>1.42092</v>
      </c>
      <c r="B76" s="49">
        <v>1.42092</v>
      </c>
    </row>
    <row r="77" spans="1:2">
      <c r="A77" s="49">
        <v>2.3490199999999999</v>
      </c>
      <c r="B77" s="49">
        <v>2.3490199999999999</v>
      </c>
    </row>
    <row r="78" spans="1:2">
      <c r="A78" s="49">
        <v>2.1817000000000002</v>
      </c>
      <c r="B78" s="49">
        <v>2.1817000000000002</v>
      </c>
    </row>
    <row r="79" spans="1:2">
      <c r="A79" s="49">
        <v>4.4026100000000001</v>
      </c>
      <c r="B79" s="49">
        <v>4.4026100000000001</v>
      </c>
    </row>
    <row r="80" spans="1:2">
      <c r="A80" s="49">
        <v>1.89673</v>
      </c>
      <c r="B80" s="49">
        <v>1.89673</v>
      </c>
    </row>
    <row r="81" spans="1:2">
      <c r="A81" s="49">
        <v>3.6091500000000001</v>
      </c>
      <c r="B81" s="49">
        <v>3.6091500000000001</v>
      </c>
    </row>
    <row r="82" spans="1:2">
      <c r="A82" s="49">
        <v>3.06013</v>
      </c>
      <c r="B82" s="49">
        <v>3.06013</v>
      </c>
    </row>
    <row r="83" spans="1:2">
      <c r="A83" s="49">
        <v>6.6287599999999998</v>
      </c>
      <c r="B83" s="49">
        <v>6.6287599999999998</v>
      </c>
    </row>
    <row r="84" spans="1:2">
      <c r="A84" s="49">
        <v>3.0392199999999998</v>
      </c>
      <c r="B84" s="49">
        <v>3.0392199999999998</v>
      </c>
    </row>
    <row r="85" spans="1:2">
      <c r="A85" s="49">
        <v>4.2967300000000002</v>
      </c>
      <c r="B85" s="49">
        <v>4.2967300000000002</v>
      </c>
    </row>
    <row r="86" spans="1:2">
      <c r="A86" s="49">
        <v>7.09673</v>
      </c>
      <c r="B86" s="49">
        <v>7.09673</v>
      </c>
    </row>
    <row r="87" spans="1:2">
      <c r="A87" s="49">
        <v>0</v>
      </c>
      <c r="B87" s="49">
        <v>0</v>
      </c>
    </row>
    <row r="88" spans="1:2">
      <c r="A88" s="49">
        <v>9.2052300000000002</v>
      </c>
      <c r="B88" s="49">
        <v>9.2052300000000002</v>
      </c>
    </row>
    <row r="89" spans="1:2">
      <c r="A89" s="49">
        <v>9.2562099999999994</v>
      </c>
      <c r="B89" s="49">
        <v>9.2562099999999994</v>
      </c>
    </row>
    <row r="90" spans="1:2">
      <c r="A90" s="49">
        <v>4.81046</v>
      </c>
      <c r="B90" s="49">
        <v>4.81046</v>
      </c>
    </row>
    <row r="91" spans="1:2">
      <c r="A91" s="49">
        <v>5.1777800000000003</v>
      </c>
      <c r="B91" s="49">
        <v>5.1777800000000003</v>
      </c>
    </row>
    <row r="92" spans="1:2">
      <c r="A92" s="49">
        <v>9.26797</v>
      </c>
      <c r="B92" s="49">
        <v>9.26797</v>
      </c>
    </row>
    <row r="93" spans="1:2">
      <c r="A93" s="49">
        <v>6.0536000000000003</v>
      </c>
      <c r="B93" s="49">
        <v>6.0536000000000003</v>
      </c>
    </row>
    <row r="94" spans="1:2">
      <c r="A94" s="49">
        <v>9.1856200000000001</v>
      </c>
      <c r="B94" s="49">
        <v>9.1856200000000001</v>
      </c>
    </row>
    <row r="95" spans="1:2">
      <c r="A95" s="49">
        <v>4.7424799999999996</v>
      </c>
      <c r="B95" s="49">
        <v>4.7424799999999996</v>
      </c>
    </row>
    <row r="96" spans="1:2">
      <c r="A96" s="49">
        <v>11.172499999999999</v>
      </c>
      <c r="B96" s="49">
        <v>11.172499999999999</v>
      </c>
    </row>
    <row r="97" spans="1:2">
      <c r="A97" s="49">
        <v>4.9568599999999998</v>
      </c>
      <c r="B97" s="49">
        <v>4.9568599999999998</v>
      </c>
    </row>
    <row r="98" spans="1:2">
      <c r="A98" s="49">
        <v>7.0379100000000001</v>
      </c>
      <c r="B98" s="49">
        <v>7.0379100000000001</v>
      </c>
    </row>
    <row r="99" spans="1:2">
      <c r="A99" s="49">
        <v>9.8666699999999992</v>
      </c>
      <c r="B99" s="49">
        <v>9.8666699999999992</v>
      </c>
    </row>
    <row r="100" spans="1:2">
      <c r="A100" s="49">
        <v>7.0339900000000002</v>
      </c>
      <c r="B100" s="49">
        <v>7.0339900000000002</v>
      </c>
    </row>
    <row r="101" spans="1:2">
      <c r="A101" s="49">
        <v>9.6888900000000007</v>
      </c>
      <c r="B101" s="49">
        <v>9.6888900000000007</v>
      </c>
    </row>
    <row r="102" spans="1:2">
      <c r="A102" s="49">
        <v>5.3189500000000001</v>
      </c>
      <c r="B102" s="49">
        <v>5.3189500000000001</v>
      </c>
    </row>
    <row r="103" spans="1:2">
      <c r="A103" s="49">
        <v>6.6091499999999996</v>
      </c>
      <c r="B103" s="49">
        <v>6.6091499999999996</v>
      </c>
    </row>
    <row r="104" spans="1:2">
      <c r="A104" s="49">
        <v>7.8640499999999998</v>
      </c>
      <c r="B104" s="49">
        <v>7.8640499999999998</v>
      </c>
    </row>
    <row r="105" spans="1:2">
      <c r="A105" s="49">
        <v>15.533300000000001</v>
      </c>
      <c r="B105" s="49">
        <v>15.533300000000001</v>
      </c>
    </row>
    <row r="106" spans="1:2">
      <c r="A106" s="49">
        <v>4.8052299999999999</v>
      </c>
      <c r="B106" s="49">
        <v>4.8052299999999999</v>
      </c>
    </row>
    <row r="107" spans="1:2">
      <c r="A107" s="49">
        <v>9.1071899999999992</v>
      </c>
      <c r="B107" s="49">
        <v>9.1071899999999992</v>
      </c>
    </row>
    <row r="108" spans="1:2">
      <c r="A108" s="49">
        <v>10.226100000000001</v>
      </c>
      <c r="B108" s="49">
        <v>10.226100000000001</v>
      </c>
    </row>
    <row r="109" spans="1:2">
      <c r="A109" s="49">
        <v>8.2117599999999999</v>
      </c>
      <c r="B109" s="49">
        <v>8.2117599999999999</v>
      </c>
    </row>
    <row r="110" spans="1:2">
      <c r="A110" s="49">
        <v>8.8274500000000007</v>
      </c>
      <c r="B110" s="49">
        <v>8.8274500000000007</v>
      </c>
    </row>
    <row r="111" spans="1:2">
      <c r="A111" s="49">
        <v>7.9764699999999999</v>
      </c>
      <c r="B111" s="49">
        <v>7.9764699999999999</v>
      </c>
    </row>
    <row r="112" spans="1:2">
      <c r="A112" s="49">
        <v>11.0497</v>
      </c>
      <c r="B112" s="49">
        <v>11.0497</v>
      </c>
    </row>
    <row r="113" spans="1:2">
      <c r="A113" s="49">
        <v>8.8326799999999999</v>
      </c>
      <c r="B113" s="49">
        <v>8.8326799999999999</v>
      </c>
    </row>
    <row r="114" spans="1:2">
      <c r="A114" s="49">
        <v>7.3346400000000003</v>
      </c>
      <c r="B114" s="49">
        <v>7.3346400000000003</v>
      </c>
    </row>
    <row r="115" spans="1:2">
      <c r="A115" s="49">
        <v>11.5778</v>
      </c>
      <c r="B115" s="49">
        <v>11.5778</v>
      </c>
    </row>
    <row r="116" spans="1:2">
      <c r="A116" s="49">
        <v>7.2039200000000001</v>
      </c>
      <c r="B116" s="49">
        <v>7.2039200000000001</v>
      </c>
    </row>
    <row r="117" spans="1:2">
      <c r="A117" s="49">
        <v>8.2888900000000003</v>
      </c>
      <c r="B117" s="49">
        <v>8.2888900000000003</v>
      </c>
    </row>
    <row r="118" spans="1:2">
      <c r="A118" s="49">
        <v>12.0693</v>
      </c>
      <c r="B118" s="49">
        <v>12.0693</v>
      </c>
    </row>
    <row r="119" spans="1:2">
      <c r="A119" s="49">
        <v>5.4418300000000004</v>
      </c>
      <c r="B119" s="49">
        <v>5.4418300000000004</v>
      </c>
    </row>
    <row r="120" spans="1:2">
      <c r="A120" s="49">
        <v>11.6876</v>
      </c>
      <c r="B120" s="49">
        <v>11.6876</v>
      </c>
    </row>
    <row r="121" spans="1:2">
      <c r="A121" s="49">
        <v>8.3607800000000001</v>
      </c>
      <c r="B121" s="49">
        <v>8.3607800000000001</v>
      </c>
    </row>
    <row r="122" spans="1:2">
      <c r="A122" s="49">
        <v>8.17516</v>
      </c>
      <c r="B122" s="49">
        <v>8.17516</v>
      </c>
    </row>
    <row r="123" spans="1:2">
      <c r="A123" s="49">
        <v>11.932</v>
      </c>
      <c r="B123" s="49">
        <v>11.932</v>
      </c>
    </row>
    <row r="124" spans="1:2">
      <c r="A124" s="49">
        <v>5.3712400000000002</v>
      </c>
      <c r="B124" s="49">
        <v>5.3712400000000002</v>
      </c>
    </row>
    <row r="125" spans="1:2">
      <c r="A125" s="49">
        <v>13.227499999999999</v>
      </c>
      <c r="B125" s="49">
        <v>13.227499999999999</v>
      </c>
    </row>
    <row r="126" spans="1:2">
      <c r="A126" s="49">
        <v>5.7620899999999997</v>
      </c>
      <c r="B126" s="49">
        <v>5.7620899999999997</v>
      </c>
    </row>
    <row r="127" spans="1:2">
      <c r="A127" s="49">
        <v>3.0470600000000001</v>
      </c>
      <c r="B127" s="49">
        <v>3.0470600000000001</v>
      </c>
    </row>
    <row r="128" spans="1:2">
      <c r="A128" s="49">
        <v>18.003900000000002</v>
      </c>
      <c r="B128" s="49">
        <v>18.003900000000002</v>
      </c>
    </row>
    <row r="129" spans="1:2">
      <c r="A129" s="49">
        <v>0</v>
      </c>
      <c r="B129" s="49">
        <v>0</v>
      </c>
    </row>
    <row r="130" spans="1:2">
      <c r="A130" s="49">
        <v>18.078399999999998</v>
      </c>
      <c r="B130" s="49">
        <v>18.078399999999998</v>
      </c>
    </row>
    <row r="131" spans="1:2">
      <c r="A131" s="49">
        <v>0</v>
      </c>
      <c r="B131" s="49">
        <v>0</v>
      </c>
    </row>
    <row r="132" spans="1:2">
      <c r="A132" s="49">
        <v>13.478400000000001</v>
      </c>
      <c r="B132" s="49">
        <v>13.478400000000001</v>
      </c>
    </row>
    <row r="133" spans="1:2">
      <c r="A133" s="49">
        <v>5.4588200000000002</v>
      </c>
      <c r="B133" s="49">
        <v>5.4588200000000002</v>
      </c>
    </row>
    <row r="134" spans="1:2">
      <c r="A134" s="49">
        <v>5.17516</v>
      </c>
      <c r="B134" s="49">
        <v>5.17516</v>
      </c>
    </row>
    <row r="135" spans="1:2">
      <c r="A135" s="49">
        <v>10.3621</v>
      </c>
      <c r="B135" s="49">
        <v>10.3621</v>
      </c>
    </row>
    <row r="136" spans="1:2">
      <c r="A136" s="49">
        <v>3.9333300000000002</v>
      </c>
      <c r="B136" s="49">
        <v>3.9333300000000002</v>
      </c>
    </row>
    <row r="137" spans="1:2">
      <c r="A137" s="49">
        <v>6.9947699999999999</v>
      </c>
      <c r="B137" s="49">
        <v>6.9947699999999999</v>
      </c>
    </row>
    <row r="138" spans="1:2">
      <c r="A138" s="49">
        <v>5.8784299999999998</v>
      </c>
      <c r="B138" s="49">
        <v>5.8784299999999998</v>
      </c>
    </row>
    <row r="139" spans="1:2">
      <c r="A139" s="49">
        <v>7.13856</v>
      </c>
      <c r="B139" s="49">
        <v>7.13856</v>
      </c>
    </row>
    <row r="140" spans="1:2">
      <c r="A140" s="49">
        <v>6.1529400000000001</v>
      </c>
      <c r="B140" s="49">
        <v>6.1529400000000001</v>
      </c>
    </row>
    <row r="141" spans="1:2">
      <c r="A141" s="49">
        <v>2.77386</v>
      </c>
      <c r="B141" s="49">
        <v>2.77386</v>
      </c>
    </row>
    <row r="142" spans="1:2">
      <c r="A142" s="49">
        <v>4.77386</v>
      </c>
      <c r="B142" s="49">
        <v>4.77386</v>
      </c>
    </row>
    <row r="143" spans="1:2">
      <c r="A143" s="49">
        <v>5.9712399999999999</v>
      </c>
      <c r="B143" s="49">
        <v>5.9712399999999999</v>
      </c>
    </row>
    <row r="144" spans="1:2">
      <c r="A144" s="49">
        <v>3.68235</v>
      </c>
      <c r="B144" s="49">
        <v>3.68235</v>
      </c>
    </row>
    <row r="145" spans="1:2">
      <c r="A145" s="49">
        <v>5.6300699999999999</v>
      </c>
      <c r="B145" s="49">
        <v>5.6300699999999999</v>
      </c>
    </row>
    <row r="146" spans="1:2">
      <c r="A146" s="49">
        <v>3.2013099999999999</v>
      </c>
      <c r="B146" s="49">
        <v>3.2013099999999999</v>
      </c>
    </row>
    <row r="147" spans="1:2">
      <c r="A147" s="49">
        <v>1.8405199999999999</v>
      </c>
      <c r="B147" s="49">
        <v>1.8405199999999999</v>
      </c>
    </row>
    <row r="148" spans="1:2">
      <c r="A148" s="49">
        <v>4.9869300000000001</v>
      </c>
      <c r="B148" s="49">
        <v>4.9869300000000001</v>
      </c>
    </row>
    <row r="149" spans="1:2">
      <c r="A149" s="49">
        <v>1.9437899999999999</v>
      </c>
      <c r="B149" s="49">
        <v>1.9437899999999999</v>
      </c>
    </row>
    <row r="150" spans="1:2">
      <c r="A150" s="49">
        <v>2.5189499999999998</v>
      </c>
      <c r="B150" s="49">
        <v>2.5189499999999998</v>
      </c>
    </row>
    <row r="151" spans="1:2">
      <c r="A151" s="49">
        <v>1.89673</v>
      </c>
      <c r="B151" s="49">
        <v>1.89673</v>
      </c>
    </row>
    <row r="152" spans="1:2">
      <c r="A152" s="49">
        <v>1.8313699999999999</v>
      </c>
      <c r="B152" s="49">
        <v>1.8313699999999999</v>
      </c>
    </row>
    <row r="153" spans="1:2">
      <c r="A153" s="49">
        <v>2.8575200000000001</v>
      </c>
      <c r="B153" s="49">
        <v>2.8575200000000001</v>
      </c>
    </row>
    <row r="154" spans="1:2">
      <c r="A154" s="49">
        <v>0.96078399999999997</v>
      </c>
      <c r="B154" s="49">
        <v>0.96078399999999997</v>
      </c>
    </row>
    <row r="155" spans="1:2">
      <c r="A155" s="49">
        <v>1.76078</v>
      </c>
      <c r="B155" s="49">
        <v>1.76078</v>
      </c>
    </row>
    <row r="156" spans="1:2">
      <c r="A156" s="49">
        <v>2.95425</v>
      </c>
      <c r="B156" s="49">
        <v>2.95425</v>
      </c>
    </row>
    <row r="157" spans="1:2">
      <c r="A157" s="49">
        <v>0.82222200000000001</v>
      </c>
      <c r="B157" s="49">
        <v>0.82222200000000001</v>
      </c>
    </row>
    <row r="158" spans="1:2">
      <c r="A158" s="49">
        <v>1.8196099999999999</v>
      </c>
      <c r="B158" s="49">
        <v>1.8196099999999999</v>
      </c>
    </row>
    <row r="159" spans="1:2">
      <c r="A159" s="49">
        <v>2.1450999999999998</v>
      </c>
      <c r="B159" s="49">
        <v>2.1450999999999998</v>
      </c>
    </row>
    <row r="160" spans="1:2">
      <c r="A160" s="49">
        <v>0.739869</v>
      </c>
      <c r="B160" s="49">
        <v>0.739869</v>
      </c>
    </row>
    <row r="161" spans="1:2">
      <c r="A161" s="49">
        <v>1.55948</v>
      </c>
      <c r="B161" s="49">
        <v>1.55948</v>
      </c>
    </row>
    <row r="162" spans="1:2">
      <c r="A162" s="49">
        <v>0.43529400000000001</v>
      </c>
      <c r="B162" s="49">
        <v>0.43529400000000001</v>
      </c>
    </row>
    <row r="163" spans="1:2">
      <c r="A163" s="49">
        <v>1.08497</v>
      </c>
      <c r="B163" s="49">
        <v>1.08497</v>
      </c>
    </row>
    <row r="164" spans="1:2">
      <c r="A164" s="49">
        <v>1.0104599999999999</v>
      </c>
      <c r="B164" s="49">
        <v>1.0104599999999999</v>
      </c>
    </row>
    <row r="165" spans="1:2">
      <c r="A165" s="49">
        <v>0.439216</v>
      </c>
      <c r="B165" s="49">
        <v>0.439216</v>
      </c>
    </row>
    <row r="166" spans="1:2">
      <c r="A166" s="49">
        <v>0.63790800000000003</v>
      </c>
      <c r="B166" s="49">
        <v>0.63790800000000003</v>
      </c>
    </row>
    <row r="167" spans="1:2">
      <c r="A167" s="49">
        <v>0.142484</v>
      </c>
      <c r="B167" s="49">
        <v>0.142484</v>
      </c>
    </row>
    <row r="168" spans="1:2">
      <c r="A168" s="49">
        <v>0.52418299999999995</v>
      </c>
      <c r="B168" s="49">
        <v>0.52418299999999995</v>
      </c>
    </row>
    <row r="169" spans="1:2">
      <c r="A169" s="49">
        <v>0.109804</v>
      </c>
      <c r="B169" s="49">
        <v>0.109804</v>
      </c>
    </row>
    <row r="170" spans="1:2">
      <c r="A170" s="49">
        <v>0.23268</v>
      </c>
      <c r="B170" s="49">
        <v>0.23268</v>
      </c>
    </row>
    <row r="171" spans="1:2">
      <c r="A171" s="49">
        <v>0.23921600000000001</v>
      </c>
      <c r="B171" s="49">
        <v>0.23921600000000001</v>
      </c>
    </row>
    <row r="172" spans="1:2">
      <c r="A172" s="49">
        <v>0</v>
      </c>
      <c r="B172" s="49">
        <v>0</v>
      </c>
    </row>
    <row r="173" spans="1:2">
      <c r="A173" s="49">
        <v>0.29411799999999999</v>
      </c>
      <c r="B173" s="49">
        <v>0.29411799999999999</v>
      </c>
    </row>
    <row r="174" spans="1:2">
      <c r="A174" s="49">
        <v>0.32941199999999998</v>
      </c>
      <c r="B174" s="49">
        <v>0.32941199999999998</v>
      </c>
    </row>
    <row r="175" spans="1:2">
      <c r="A175" s="49">
        <v>5.4901999999999999E-2</v>
      </c>
      <c r="B175" s="49">
        <v>5.4901999999999999E-2</v>
      </c>
    </row>
    <row r="176" spans="1:2">
      <c r="A176" s="49">
        <v>0.18562100000000001</v>
      </c>
      <c r="B176" s="49">
        <v>0.18562100000000001</v>
      </c>
    </row>
    <row r="177" spans="1:2">
      <c r="A177" s="49">
        <v>0</v>
      </c>
      <c r="B177" s="49">
        <v>0</v>
      </c>
    </row>
    <row r="178" spans="1:2">
      <c r="A178" s="49">
        <v>9.2810500000000004E-2</v>
      </c>
      <c r="B178" s="49">
        <v>9.2810500000000004E-2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0.46840500000000002</v>
      </c>
      <c r="B2" s="49">
        <v>0.48366900000000002</v>
      </c>
      <c r="C2">
        <v>0</v>
      </c>
      <c r="D2">
        <v>0</v>
      </c>
      <c r="E2" t="s">
        <v>1161</v>
      </c>
      <c r="F2" s="49">
        <f>IF(A2&lt;&gt;"",1,"")</f>
        <v>1</v>
      </c>
      <c r="G2">
        <f>IF($H8&gt;0,LOOKUP(COUNT(A2:A1000)*$H8,F2:F1000,A2:A1000),LOOKUP(1,F2:F1000,A2:A1000))</f>
        <v>0.464675</v>
      </c>
      <c r="H2">
        <f>IF($H8&gt;0,LOOKUP(COUNT(B2:B1000)*$H8,F2:F1000,B2:B1000),LOOKUP(1,F2:F1000,B2:B1000))</f>
        <v>0.48816399999999999</v>
      </c>
      <c r="J2" s="49">
        <f>IF(A2&lt;&gt;"",A2*10,"")</f>
        <v>4.68405</v>
      </c>
      <c r="K2" s="49">
        <f>IF(B2&lt;&gt;"",B2*100,"")</f>
        <v>48.366900000000001</v>
      </c>
      <c r="L2" s="49">
        <f>IF(F2&lt;&gt;"",IF(K2&lt;&gt;0,K2/J2,0),"")</f>
        <v>10.325871841675474</v>
      </c>
    </row>
    <row r="3" spans="1:12">
      <c r="A3" s="49">
        <v>0.464675</v>
      </c>
      <c r="B3" s="49">
        <v>0.48816399999999999</v>
      </c>
      <c r="C3">
        <v>0.39235999999999999</v>
      </c>
      <c r="D3">
        <v>0</v>
      </c>
      <c r="E3" t="s">
        <v>2560</v>
      </c>
      <c r="F3" s="49">
        <f>IF(A3&lt;&gt;"",F2+1,"")</f>
        <v>2</v>
      </c>
      <c r="G3">
        <f>IF($H9&gt;0,LOOKUP(COUNT(A2:A1000)*$H9,F2:F1000,A2:A1000),LOOKUP(1,F2:F1000,A2:A1000))</f>
        <v>0.40344099999999999</v>
      </c>
      <c r="H3">
        <f>IF($H9&gt;0,LOOKUP(COUNT(B2:B1000)*$H9,F2:F1000,B2:B1000),LOOKUP(1,F2:F1000,B2:B1000))</f>
        <v>0.43695499999999998</v>
      </c>
      <c r="J3" s="49">
        <f t="shared" ref="J3:J66" si="0">IF(A3&lt;&gt;"",A3*10,"")</f>
        <v>4.6467499999999999</v>
      </c>
      <c r="K3" s="49">
        <f t="shared" ref="K3:K66" si="1">IF(B3&lt;&gt;"",B3*100,"")</f>
        <v>48.816400000000002</v>
      </c>
      <c r="L3" s="49">
        <f t="shared" ref="L3:L66" si="2">IF(F3&lt;&gt;"",IF(K3&lt;&gt;0,K3/J3,0),"")</f>
        <v>10.505493086565879</v>
      </c>
    </row>
    <row r="4" spans="1:12">
      <c r="A4" s="49">
        <v>0.46045700000000001</v>
      </c>
      <c r="B4" s="49">
        <v>0.498058</v>
      </c>
      <c r="C4">
        <v>0.79806500000000002</v>
      </c>
      <c r="D4">
        <v>0</v>
      </c>
      <c r="E4" t="s">
        <v>2561</v>
      </c>
      <c r="F4" s="49">
        <f t="shared" ref="F4:F67" si="3">IF(A4&lt;&gt;"",F3+1,"")</f>
        <v>3</v>
      </c>
      <c r="G4" s="71" t="s">
        <v>209</v>
      </c>
      <c r="H4" s="23">
        <f>IF(ISERROR(G3-G2)=FALSE,(G3-G2)*10,0)</f>
        <v>-0.61234000000000011</v>
      </c>
      <c r="J4" s="49">
        <f t="shared" si="0"/>
        <v>4.6045699999999998</v>
      </c>
      <c r="K4" s="49">
        <f t="shared" si="1"/>
        <v>49.805799999999998</v>
      </c>
      <c r="L4" s="49">
        <f t="shared" si="2"/>
        <v>10.816601767374587</v>
      </c>
    </row>
    <row r="5" spans="1:12">
      <c r="A5" s="49">
        <v>0.455067</v>
      </c>
      <c r="B5" s="49">
        <v>0.51362099999999999</v>
      </c>
      <c r="C5">
        <v>1.20719</v>
      </c>
      <c r="D5">
        <v>0</v>
      </c>
      <c r="E5" t="s">
        <v>2562</v>
      </c>
      <c r="F5" s="49">
        <f t="shared" si="3"/>
        <v>4</v>
      </c>
      <c r="G5" s="71" t="s">
        <v>210</v>
      </c>
      <c r="H5" s="23">
        <f>IF(ISERROR(H3-H2)=FALSE,H3-H2,0)</f>
        <v>-5.1209000000000005E-2</v>
      </c>
      <c r="J5" s="49">
        <f t="shared" si="0"/>
        <v>4.5506700000000002</v>
      </c>
      <c r="K5" s="49">
        <f t="shared" si="1"/>
        <v>51.362099999999998</v>
      </c>
      <c r="L5" s="49">
        <f t="shared" si="2"/>
        <v>11.286711627079088</v>
      </c>
    </row>
    <row r="6" spans="1:12">
      <c r="A6" s="49">
        <v>0.45075799999999999</v>
      </c>
      <c r="B6" s="49">
        <v>0.52696399999999999</v>
      </c>
      <c r="C6">
        <v>1.61449</v>
      </c>
      <c r="D6">
        <v>0</v>
      </c>
      <c r="E6" t="s">
        <v>2563</v>
      </c>
      <c r="F6" s="49">
        <f t="shared" si="3"/>
        <v>5</v>
      </c>
      <c r="G6" s="71" t="s">
        <v>211</v>
      </c>
      <c r="H6" s="23">
        <f>IF(H4&lt;&gt;0,H5/H4,0)</f>
        <v>8.3628376392200401E-2</v>
      </c>
      <c r="J6" s="49">
        <f t="shared" si="0"/>
        <v>4.5075799999999999</v>
      </c>
      <c r="K6" s="49">
        <f t="shared" si="1"/>
        <v>52.696399999999997</v>
      </c>
      <c r="L6" s="49">
        <f t="shared" si="2"/>
        <v>11.690618913030939</v>
      </c>
    </row>
    <row r="7" spans="1:12">
      <c r="A7" s="49">
        <v>0.44880300000000001</v>
      </c>
      <c r="B7" s="49">
        <v>0.53884699999999996</v>
      </c>
      <c r="C7">
        <v>2.0167000000000002</v>
      </c>
      <c r="D7">
        <v>0</v>
      </c>
      <c r="E7" t="s">
        <v>2564</v>
      </c>
      <c r="F7" s="49">
        <f t="shared" si="3"/>
        <v>6</v>
      </c>
      <c r="G7" s="71" t="s">
        <v>212</v>
      </c>
      <c r="H7" s="23">
        <f>DEGREES(ATAN(H6))</f>
        <v>4.7804294180915621</v>
      </c>
      <c r="J7" s="49">
        <f t="shared" si="0"/>
        <v>4.4880300000000002</v>
      </c>
      <c r="K7" s="49">
        <f t="shared" si="1"/>
        <v>53.884699999999995</v>
      </c>
      <c r="L7" s="49">
        <f t="shared" si="2"/>
        <v>12.006314574546069</v>
      </c>
    </row>
    <row r="8" spans="1:12">
      <c r="A8" s="49">
        <v>0.44780500000000001</v>
      </c>
      <c r="B8" s="49">
        <v>0.54880099999999998</v>
      </c>
      <c r="C8">
        <v>2.4243299999999999</v>
      </c>
      <c r="D8">
        <v>0</v>
      </c>
      <c r="E8" t="s">
        <v>2565</v>
      </c>
      <c r="F8" s="49">
        <f t="shared" si="3"/>
        <v>7</v>
      </c>
      <c r="G8" s="71" t="s">
        <v>213</v>
      </c>
      <c r="H8" s="72">
        <v>0.1</v>
      </c>
      <c r="J8" s="49">
        <f t="shared" si="0"/>
        <v>4.4780499999999996</v>
      </c>
      <c r="K8" s="49">
        <f t="shared" si="1"/>
        <v>54.880099999999999</v>
      </c>
      <c r="L8" s="49">
        <f t="shared" si="2"/>
        <v>12.255356684271057</v>
      </c>
    </row>
    <row r="9" spans="1:12">
      <c r="A9" s="49">
        <v>0.447629</v>
      </c>
      <c r="B9" s="49">
        <v>0.55519200000000002</v>
      </c>
      <c r="C9">
        <v>2.8290000000000002</v>
      </c>
      <c r="D9">
        <v>0</v>
      </c>
      <c r="E9" t="s">
        <v>2566</v>
      </c>
      <c r="F9" s="49">
        <f t="shared" si="3"/>
        <v>8</v>
      </c>
      <c r="G9" s="71" t="s">
        <v>214</v>
      </c>
      <c r="H9" s="72">
        <v>0.9</v>
      </c>
      <c r="J9" s="49">
        <f t="shared" si="0"/>
        <v>4.4762899999999997</v>
      </c>
      <c r="K9" s="49">
        <f t="shared" si="1"/>
        <v>55.519200000000005</v>
      </c>
      <c r="L9" s="49">
        <f t="shared" si="2"/>
        <v>12.402949764202054</v>
      </c>
    </row>
    <row r="10" spans="1:12">
      <c r="A10" s="49">
        <v>0.44681500000000002</v>
      </c>
      <c r="B10" s="49">
        <v>0.56163200000000002</v>
      </c>
      <c r="C10">
        <v>3.2372999999999998</v>
      </c>
      <c r="D10">
        <v>0</v>
      </c>
      <c r="E10" t="s">
        <v>2567</v>
      </c>
      <c r="F10" s="49">
        <f t="shared" si="3"/>
        <v>9</v>
      </c>
      <c r="G10" t="s">
        <v>215</v>
      </c>
      <c r="J10" s="49">
        <f t="shared" si="0"/>
        <v>4.4681500000000005</v>
      </c>
      <c r="K10" s="49">
        <f t="shared" si="1"/>
        <v>56.163200000000003</v>
      </c>
      <c r="L10" s="49">
        <f t="shared" si="2"/>
        <v>12.569676488031959</v>
      </c>
    </row>
    <row r="11" spans="1:12">
      <c r="A11" s="49">
        <v>0.44576900000000003</v>
      </c>
      <c r="B11" s="49">
        <v>0.56307200000000002</v>
      </c>
      <c r="C11">
        <v>3.6471100000000001</v>
      </c>
      <c r="D11">
        <v>0</v>
      </c>
      <c r="E11" t="s">
        <v>2568</v>
      </c>
      <c r="F11" s="49">
        <f t="shared" si="3"/>
        <v>10</v>
      </c>
      <c r="G11" s="71" t="s">
        <v>216</v>
      </c>
      <c r="H11" s="73">
        <f>MIN(B2:B1000)</f>
        <v>0.37676700000000002</v>
      </c>
      <c r="J11" s="49">
        <f t="shared" si="0"/>
        <v>4.4576900000000004</v>
      </c>
      <c r="K11" s="49">
        <f t="shared" si="1"/>
        <v>56.307200000000002</v>
      </c>
      <c r="L11" s="49">
        <f t="shared" si="2"/>
        <v>12.631475046492689</v>
      </c>
    </row>
    <row r="12" spans="1:12">
      <c r="A12" s="49">
        <v>0.44435799999999998</v>
      </c>
      <c r="B12" s="49">
        <v>0.56073899999999999</v>
      </c>
      <c r="C12">
        <v>4.0579700000000001</v>
      </c>
      <c r="D12">
        <v>0</v>
      </c>
      <c r="E12" t="s">
        <v>2569</v>
      </c>
      <c r="F12" s="49">
        <f t="shared" si="3"/>
        <v>11</v>
      </c>
      <c r="G12" s="71" t="s">
        <v>218</v>
      </c>
      <c r="H12" s="73">
        <f>MAX(B2:B1000)</f>
        <v>0.56307200000000002</v>
      </c>
      <c r="J12" s="49">
        <f t="shared" si="0"/>
        <v>4.4435799999999999</v>
      </c>
      <c r="K12" s="49">
        <f t="shared" si="1"/>
        <v>56.073900000000002</v>
      </c>
      <c r="L12" s="49">
        <f t="shared" si="2"/>
        <v>12.619081911431774</v>
      </c>
    </row>
    <row r="13" spans="1:12">
      <c r="A13" s="49">
        <v>0.44230999999999998</v>
      </c>
      <c r="B13" s="49">
        <v>0.55590300000000004</v>
      </c>
      <c r="C13">
        <v>4.4573900000000002</v>
      </c>
      <c r="D13">
        <v>0</v>
      </c>
      <c r="E13" t="s">
        <v>2570</v>
      </c>
      <c r="F13" s="49">
        <f t="shared" si="3"/>
        <v>12</v>
      </c>
      <c r="G13" s="71" t="s">
        <v>220</v>
      </c>
      <c r="H13">
        <f>MATCH($H$11,B2:B1000,0)</f>
        <v>26</v>
      </c>
      <c r="J13" s="49">
        <f t="shared" si="0"/>
        <v>4.4230999999999998</v>
      </c>
      <c r="K13" s="49">
        <f t="shared" si="1"/>
        <v>55.590300000000006</v>
      </c>
      <c r="L13" s="49">
        <f t="shared" si="2"/>
        <v>12.568176166037397</v>
      </c>
    </row>
    <row r="14" spans="1:12">
      <c r="A14" s="49">
        <v>0.43830000000000002</v>
      </c>
      <c r="B14" s="49">
        <v>0.54954899999999995</v>
      </c>
      <c r="C14">
        <v>4.8640100000000004</v>
      </c>
      <c r="D14">
        <v>0</v>
      </c>
      <c r="E14" t="s">
        <v>2571</v>
      </c>
      <c r="F14" s="49">
        <f t="shared" si="3"/>
        <v>13</v>
      </c>
      <c r="G14" s="71" t="s">
        <v>221</v>
      </c>
      <c r="H14">
        <f>MATCH($H$12,B2:B1000,0)</f>
        <v>10</v>
      </c>
      <c r="J14" s="49">
        <f t="shared" si="0"/>
        <v>4.383</v>
      </c>
      <c r="K14" s="49">
        <f t="shared" si="1"/>
        <v>54.954899999999995</v>
      </c>
      <c r="L14" s="49">
        <f t="shared" si="2"/>
        <v>12.538193018480492</v>
      </c>
    </row>
    <row r="15" spans="1:12">
      <c r="A15" s="49">
        <v>0.43415700000000002</v>
      </c>
      <c r="B15" s="49">
        <v>0.54413400000000001</v>
      </c>
      <c r="C15">
        <v>5.2690900000000003</v>
      </c>
      <c r="D15">
        <v>0</v>
      </c>
      <c r="E15" t="s">
        <v>2572</v>
      </c>
      <c r="F15" s="49">
        <f t="shared" si="3"/>
        <v>14</v>
      </c>
      <c r="G15">
        <f>LOOKUP($H13,F2:F1000,A2:A1000)</f>
        <v>0.39943299999999998</v>
      </c>
      <c r="H15">
        <f>LOOKUP($H13,F2:F1000,B2:B1000)</f>
        <v>0.37676700000000002</v>
      </c>
      <c r="J15" s="49">
        <f t="shared" si="0"/>
        <v>4.3415699999999999</v>
      </c>
      <c r="K15" s="49">
        <f t="shared" si="1"/>
        <v>54.413400000000003</v>
      </c>
      <c r="L15" s="49">
        <f t="shared" si="2"/>
        <v>12.533115900469186</v>
      </c>
    </row>
    <row r="16" spans="1:12">
      <c r="A16" s="49">
        <v>0.42944300000000002</v>
      </c>
      <c r="B16" s="49">
        <v>0.53812499999999996</v>
      </c>
      <c r="C16">
        <v>5.6760299999999999</v>
      </c>
      <c r="D16">
        <v>0</v>
      </c>
      <c r="E16" t="s">
        <v>2573</v>
      </c>
      <c r="F16" s="49">
        <f t="shared" si="3"/>
        <v>15</v>
      </c>
      <c r="G16">
        <f>LOOKUP($H14,F2:F1000,A2:A1000)</f>
        <v>0.44576900000000003</v>
      </c>
      <c r="H16">
        <f>LOOKUP($H14,F2:F1000,B2:B1000)</f>
        <v>0.56307200000000002</v>
      </c>
      <c r="J16" s="49">
        <f t="shared" si="0"/>
        <v>4.2944300000000002</v>
      </c>
      <c r="K16" s="49">
        <f t="shared" si="1"/>
        <v>53.8125</v>
      </c>
      <c r="L16" s="49">
        <f t="shared" si="2"/>
        <v>12.530766597662552</v>
      </c>
    </row>
    <row r="17" spans="1:12">
      <c r="A17" s="49">
        <v>0.42434300000000003</v>
      </c>
      <c r="B17" s="49">
        <v>0.52669999999999995</v>
      </c>
      <c r="C17">
        <v>6.0843999999999996</v>
      </c>
      <c r="D17">
        <v>0</v>
      </c>
      <c r="E17" t="s">
        <v>2574</v>
      </c>
      <c r="F17" s="49">
        <f t="shared" si="3"/>
        <v>16</v>
      </c>
      <c r="J17" s="49">
        <f t="shared" si="0"/>
        <v>4.24343</v>
      </c>
      <c r="K17" s="49">
        <f t="shared" si="1"/>
        <v>52.669999999999995</v>
      </c>
      <c r="L17" s="49">
        <f t="shared" si="2"/>
        <v>12.412128867449209</v>
      </c>
    </row>
    <row r="18" spans="1:12">
      <c r="A18" s="49">
        <v>0.41849199999999998</v>
      </c>
      <c r="B18" s="49">
        <v>0.513073</v>
      </c>
      <c r="C18">
        <v>6.48956</v>
      </c>
      <c r="D18">
        <v>0</v>
      </c>
      <c r="E18" t="s">
        <v>2575</v>
      </c>
      <c r="F18" s="49">
        <f t="shared" si="3"/>
        <v>17</v>
      </c>
      <c r="J18" s="49">
        <f t="shared" si="0"/>
        <v>4.18492</v>
      </c>
      <c r="K18" s="49">
        <f t="shared" si="1"/>
        <v>51.307299999999998</v>
      </c>
      <c r="L18" s="49">
        <f t="shared" si="2"/>
        <v>12.260043202737448</v>
      </c>
    </row>
    <row r="19" spans="1:12">
      <c r="A19" s="49">
        <v>0.41380099999999997</v>
      </c>
      <c r="B19" s="49">
        <v>0.498359</v>
      </c>
      <c r="C19">
        <v>6.8968499999999997</v>
      </c>
      <c r="D19">
        <v>0</v>
      </c>
      <c r="E19" t="s">
        <v>2576</v>
      </c>
      <c r="F19" s="49">
        <f t="shared" si="3"/>
        <v>18</v>
      </c>
      <c r="J19" s="49">
        <f t="shared" si="0"/>
        <v>4.1380099999999995</v>
      </c>
      <c r="K19" s="49">
        <f t="shared" si="1"/>
        <v>49.835900000000002</v>
      </c>
      <c r="L19" s="49">
        <f t="shared" si="2"/>
        <v>12.043446004238755</v>
      </c>
    </row>
    <row r="20" spans="1:12">
      <c r="A20" s="49">
        <v>0.41086499999999998</v>
      </c>
      <c r="B20" s="49">
        <v>0.47899999999999998</v>
      </c>
      <c r="C20">
        <v>7.3084300000000004</v>
      </c>
      <c r="D20">
        <v>0</v>
      </c>
      <c r="E20" t="s">
        <v>2577</v>
      </c>
      <c r="F20" s="49">
        <f t="shared" si="3"/>
        <v>19</v>
      </c>
      <c r="J20" s="49">
        <f t="shared" si="0"/>
        <v>4.1086499999999999</v>
      </c>
      <c r="K20" s="49">
        <f t="shared" si="1"/>
        <v>47.9</v>
      </c>
      <c r="L20" s="49">
        <f t="shared" si="2"/>
        <v>11.658330595207671</v>
      </c>
    </row>
    <row r="21" spans="1:12">
      <c r="A21" s="49">
        <v>0.40952699999999997</v>
      </c>
      <c r="B21" s="49">
        <v>0.46956999999999999</v>
      </c>
      <c r="C21">
        <v>7.7060000000000004</v>
      </c>
      <c r="D21">
        <v>0</v>
      </c>
      <c r="E21" t="s">
        <v>2578</v>
      </c>
      <c r="F21" s="49">
        <f t="shared" si="3"/>
        <v>20</v>
      </c>
      <c r="J21" s="49">
        <f t="shared" si="0"/>
        <v>4.0952699999999993</v>
      </c>
      <c r="K21" s="49">
        <f t="shared" si="1"/>
        <v>46.957000000000001</v>
      </c>
      <c r="L21" s="49">
        <f t="shared" si="2"/>
        <v>11.466154856700538</v>
      </c>
    </row>
    <row r="22" spans="1:12">
      <c r="A22" s="49">
        <v>0.40811799999999998</v>
      </c>
      <c r="B22" s="49">
        <v>0.45884399999999997</v>
      </c>
      <c r="C22">
        <v>8.1173800000000007</v>
      </c>
      <c r="D22">
        <v>0</v>
      </c>
      <c r="E22" t="s">
        <v>2579</v>
      </c>
      <c r="F22" s="49">
        <f t="shared" si="3"/>
        <v>21</v>
      </c>
      <c r="J22" s="49">
        <f t="shared" si="0"/>
        <v>4.0811799999999998</v>
      </c>
      <c r="K22" s="49">
        <f t="shared" si="1"/>
        <v>45.884399999999999</v>
      </c>
      <c r="L22" s="49">
        <f t="shared" si="2"/>
        <v>11.242924840364797</v>
      </c>
    </row>
    <row r="23" spans="1:12">
      <c r="A23" s="49">
        <v>0.40573300000000001</v>
      </c>
      <c r="B23" s="49">
        <v>0.448293</v>
      </c>
      <c r="C23">
        <v>8.5208200000000005</v>
      </c>
      <c r="D23">
        <v>0</v>
      </c>
      <c r="E23" t="s">
        <v>2580</v>
      </c>
      <c r="F23" s="49">
        <f t="shared" si="3"/>
        <v>22</v>
      </c>
      <c r="J23" s="49">
        <f t="shared" si="0"/>
        <v>4.0573300000000003</v>
      </c>
      <c r="K23" s="49">
        <f t="shared" si="1"/>
        <v>44.829299999999996</v>
      </c>
      <c r="L23" s="49">
        <f t="shared" si="2"/>
        <v>11.048965699117398</v>
      </c>
    </row>
    <row r="24" spans="1:12">
      <c r="A24" s="49">
        <v>0.40344099999999999</v>
      </c>
      <c r="B24" s="49">
        <v>0.43695499999999998</v>
      </c>
      <c r="C24">
        <v>8.9434199999999997</v>
      </c>
      <c r="D24">
        <v>0</v>
      </c>
      <c r="E24" t="s">
        <v>2581</v>
      </c>
      <c r="F24" s="49">
        <f t="shared" si="3"/>
        <v>23</v>
      </c>
      <c r="G24" t="s">
        <v>245</v>
      </c>
      <c r="H24">
        <f>COUNT(A2:A2000)</f>
        <v>26</v>
      </c>
      <c r="J24" s="49">
        <f t="shared" si="0"/>
        <v>4.0344100000000003</v>
      </c>
      <c r="K24" s="49">
        <f t="shared" si="1"/>
        <v>43.695499999999996</v>
      </c>
      <c r="L24" s="49">
        <f t="shared" si="2"/>
        <v>10.830703869958679</v>
      </c>
    </row>
    <row r="25" spans="1:12">
      <c r="A25" s="49">
        <v>0.40286300000000003</v>
      </c>
      <c r="B25" s="49">
        <v>0.42836800000000003</v>
      </c>
      <c r="C25">
        <v>9.3358899999999991</v>
      </c>
      <c r="D25">
        <v>0</v>
      </c>
      <c r="E25" t="s">
        <v>2582</v>
      </c>
      <c r="F25" s="49">
        <f t="shared" si="3"/>
        <v>24</v>
      </c>
      <c r="J25" s="49">
        <f t="shared" si="0"/>
        <v>4.0286300000000006</v>
      </c>
      <c r="K25" s="49">
        <f t="shared" si="1"/>
        <v>42.836800000000004</v>
      </c>
      <c r="L25" s="49">
        <f t="shared" si="2"/>
        <v>10.633093632326622</v>
      </c>
    </row>
    <row r="26" spans="1:12">
      <c r="A26" s="49">
        <v>0.40337699999999999</v>
      </c>
      <c r="B26" s="49">
        <v>0.41168399999999999</v>
      </c>
      <c r="C26">
        <v>9.7427899999999994</v>
      </c>
      <c r="D26">
        <v>0</v>
      </c>
      <c r="E26" t="s">
        <v>2583</v>
      </c>
      <c r="F26" s="49">
        <f t="shared" si="3"/>
        <v>25</v>
      </c>
      <c r="J26" s="49">
        <f t="shared" si="0"/>
        <v>4.0337699999999996</v>
      </c>
      <c r="K26" s="49">
        <f t="shared" si="1"/>
        <v>41.168399999999998</v>
      </c>
      <c r="L26" s="49">
        <f t="shared" si="2"/>
        <v>10.205936382094171</v>
      </c>
    </row>
    <row r="27" spans="1:12">
      <c r="A27" s="49">
        <v>0.39943299999999998</v>
      </c>
      <c r="B27" s="49">
        <v>0.37676700000000002</v>
      </c>
      <c r="C27">
        <v>10.148099999999999</v>
      </c>
      <c r="D27">
        <v>0</v>
      </c>
      <c r="E27" t="s">
        <v>2584</v>
      </c>
      <c r="F27" s="49">
        <f t="shared" si="3"/>
        <v>26</v>
      </c>
      <c r="J27" s="49">
        <f t="shared" si="0"/>
        <v>3.9943299999999997</v>
      </c>
      <c r="K27" s="49">
        <f t="shared" si="1"/>
        <v>37.676700000000004</v>
      </c>
      <c r="L27" s="49">
        <f t="shared" si="2"/>
        <v>9.4325456334353959</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45790.770046296297</v>
      </c>
      <c r="B2" t="s">
        <v>2585</v>
      </c>
      <c r="C2" s="49"/>
      <c r="D2" s="49"/>
      <c r="E2" s="49">
        <v>4.9234099999999996</v>
      </c>
      <c r="F2" s="49">
        <v>2.1476500000000001</v>
      </c>
      <c r="G2" s="49">
        <v>0.44611800000000001</v>
      </c>
      <c r="H2" s="49">
        <v>0</v>
      </c>
      <c r="I2" s="49">
        <v>18.078399999999998</v>
      </c>
      <c r="J2" s="49">
        <v>128</v>
      </c>
      <c r="K2" s="49">
        <v>128</v>
      </c>
      <c r="L2" s="49">
        <v>100</v>
      </c>
      <c r="M2" s="521" t="s">
        <v>1549</v>
      </c>
      <c r="O2" s="565" t="str">
        <f>IF(FH_info!B2="","",TRIM(MID(SUBSTITUTE(FH_info!B2,"^",REPT(" ",LEN(FH_info!B2))),LEN(FH_info!B2)*2-LEN(FH_info!B2)+1,LEN(FH_info!B2))))</f>
        <v>asd</v>
      </c>
      <c r="P2" s="565" t="str">
        <f>IF(FH_info!O2="","",TRIM(MID(SUBSTITUTE(FH_info!O2," ",REPT(" ",LEN(FH_info!O2))),LEN(FH_info!O2)*1-LEN(FH_info!O2)+1,LEN(FH_info!O2))))</f>
        <v>asd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18.078431999999999</v>
      </c>
      <c r="D2">
        <f>MAX(B2:B257)</f>
        <v>128.181702</v>
      </c>
      <c r="G2" t="s">
        <v>1590</v>
      </c>
      <c r="H2">
        <v>4.9234140000000002</v>
      </c>
      <c r="I2">
        <v>18.078431999999999</v>
      </c>
      <c r="J2">
        <v>0</v>
      </c>
      <c r="K2">
        <v>128</v>
      </c>
      <c r="L2">
        <v>128</v>
      </c>
      <c r="M2">
        <v>2.1476470000000001</v>
      </c>
      <c r="N2">
        <v>0.44611800000000001</v>
      </c>
      <c r="O2">
        <v>0.199022</v>
      </c>
    </row>
    <row r="3" spans="1:15">
      <c r="A3">
        <v>0</v>
      </c>
      <c r="B3">
        <v>0</v>
      </c>
      <c r="G3" t="s">
        <v>1591</v>
      </c>
      <c r="H3">
        <v>4.9234140000000002</v>
      </c>
      <c r="I3">
        <v>128.181702</v>
      </c>
      <c r="J3">
        <v>0</v>
      </c>
      <c r="K3">
        <v>6</v>
      </c>
      <c r="L3">
        <v>6</v>
      </c>
      <c r="M3">
        <v>0.66687399999999997</v>
      </c>
      <c r="N3">
        <v>0.52057699999999996</v>
      </c>
      <c r="O3">
        <v>0.27100099999999999</v>
      </c>
    </row>
    <row r="4" spans="1:15">
      <c r="A4">
        <v>0</v>
      </c>
      <c r="B4">
        <v>0</v>
      </c>
    </row>
    <row r="5" spans="1:15">
      <c r="A5">
        <v>0</v>
      </c>
      <c r="B5">
        <v>0</v>
      </c>
    </row>
    <row r="6" spans="1:15">
      <c r="A6">
        <v>0</v>
      </c>
      <c r="B6">
        <v>0</v>
      </c>
    </row>
    <row r="7" spans="1:15">
      <c r="A7">
        <v>7.8431000000000001E-2</v>
      </c>
      <c r="B7">
        <v>85.831367</v>
      </c>
    </row>
    <row r="8" spans="1:15">
      <c r="A8">
        <v>2.3529000000000001E-2</v>
      </c>
      <c r="B8">
        <v>128.181702</v>
      </c>
    </row>
    <row r="9" spans="1:15">
      <c r="A9">
        <v>0</v>
      </c>
      <c r="B9">
        <v>0</v>
      </c>
    </row>
    <row r="10" spans="1:15">
      <c r="A10">
        <v>0</v>
      </c>
      <c r="B10">
        <v>0</v>
      </c>
    </row>
    <row r="11" spans="1:15">
      <c r="A11">
        <v>0.109804</v>
      </c>
      <c r="B11">
        <v>46.853596000000003</v>
      </c>
    </row>
    <row r="12" spans="1:15">
      <c r="A12">
        <v>8.6275000000000004E-2</v>
      </c>
      <c r="B12">
        <v>100.60392</v>
      </c>
    </row>
    <row r="13" spans="1:15">
      <c r="A13">
        <v>7.4510000000000007E-2</v>
      </c>
      <c r="B13">
        <v>89.508492000000004</v>
      </c>
    </row>
    <row r="14" spans="1:15">
      <c r="A14">
        <v>0</v>
      </c>
      <c r="B14">
        <v>32.274509000000002</v>
      </c>
    </row>
    <row r="15" spans="1:15">
      <c r="A15">
        <v>0.261438</v>
      </c>
      <c r="B15">
        <v>17.584313999999999</v>
      </c>
    </row>
    <row r="16" spans="1:15">
      <c r="A16">
        <v>0.27581699999999998</v>
      </c>
      <c r="B16">
        <v>71.671897999999999</v>
      </c>
    </row>
    <row r="17" spans="1:2">
      <c r="A17">
        <v>0.24182999999999999</v>
      </c>
      <c r="B17">
        <v>56.673203000000001</v>
      </c>
    </row>
    <row r="18" spans="1:2">
      <c r="A18">
        <v>0.261438</v>
      </c>
      <c r="B18">
        <v>86.145095999999995</v>
      </c>
    </row>
    <row r="19" spans="1:2">
      <c r="A19">
        <v>0.128105</v>
      </c>
      <c r="B19">
        <v>29.328104</v>
      </c>
    </row>
    <row r="20" spans="1:2">
      <c r="A20">
        <v>6.6667000000000004E-2</v>
      </c>
      <c r="B20">
        <v>53.916339999999998</v>
      </c>
    </row>
    <row r="21" spans="1:2">
      <c r="A21">
        <v>9.2810000000000004E-2</v>
      </c>
      <c r="B21">
        <v>42.756866000000002</v>
      </c>
    </row>
    <row r="22" spans="1:2">
      <c r="A22">
        <v>7.0587999999999998E-2</v>
      </c>
      <c r="B22">
        <v>47.005226</v>
      </c>
    </row>
    <row r="23" spans="1:2">
      <c r="A23">
        <v>0.25097999999999998</v>
      </c>
      <c r="B23">
        <v>38.300654999999999</v>
      </c>
    </row>
    <row r="24" spans="1:2">
      <c r="A24">
        <v>0.19869300000000001</v>
      </c>
      <c r="B24">
        <v>53.087578000000001</v>
      </c>
    </row>
    <row r="25" spans="1:2">
      <c r="A25">
        <v>0.13333300000000001</v>
      </c>
      <c r="B25">
        <v>48.899344999999997</v>
      </c>
    </row>
    <row r="26" spans="1:2">
      <c r="A26">
        <v>9.2810000000000004E-2</v>
      </c>
      <c r="B26">
        <v>29.422222000000001</v>
      </c>
    </row>
    <row r="27" spans="1:2">
      <c r="A27">
        <v>0.16339899999999999</v>
      </c>
      <c r="B27">
        <v>31.521567999999998</v>
      </c>
    </row>
    <row r="28" spans="1:2">
      <c r="A28">
        <v>0.132026</v>
      </c>
      <c r="B28">
        <v>45.639217000000002</v>
      </c>
    </row>
    <row r="29" spans="1:2">
      <c r="A29">
        <v>4.3137000000000002E-2</v>
      </c>
      <c r="B29">
        <v>47.450980999999999</v>
      </c>
    </row>
    <row r="30" spans="1:2">
      <c r="A30">
        <v>2.6144000000000001E-2</v>
      </c>
      <c r="B30">
        <v>43.754246000000002</v>
      </c>
    </row>
    <row r="31" spans="1:2">
      <c r="A31">
        <v>6.4051999999999998E-2</v>
      </c>
      <c r="B31">
        <v>35.198692000000001</v>
      </c>
    </row>
    <row r="32" spans="1:2">
      <c r="A32">
        <v>4.9673000000000002E-2</v>
      </c>
      <c r="B32">
        <v>27.758168999999999</v>
      </c>
    </row>
    <row r="33" spans="1:2">
      <c r="A33">
        <v>0.101961</v>
      </c>
      <c r="B33">
        <v>30.469282</v>
      </c>
    </row>
    <row r="34" spans="1:2">
      <c r="A34">
        <v>0.12548999999999999</v>
      </c>
      <c r="B34">
        <v>36.945098999999999</v>
      </c>
    </row>
    <row r="35" spans="1:2">
      <c r="A35">
        <v>5.3594999999999997E-2</v>
      </c>
      <c r="B35">
        <v>17.512419000000001</v>
      </c>
    </row>
    <row r="36" spans="1:2">
      <c r="A36">
        <v>9.4117999999999993E-2</v>
      </c>
      <c r="B36">
        <v>33.867972999999999</v>
      </c>
    </row>
    <row r="37" spans="1:2">
      <c r="A37">
        <v>5.6209000000000002E-2</v>
      </c>
      <c r="B37">
        <v>18.749020000000002</v>
      </c>
    </row>
    <row r="38" spans="1:2">
      <c r="A38">
        <v>9.6731999999999999E-2</v>
      </c>
      <c r="B38">
        <v>33.958171999999998</v>
      </c>
    </row>
    <row r="39" spans="1:2">
      <c r="A39">
        <v>9.8039000000000001E-2</v>
      </c>
      <c r="B39">
        <v>15.694118</v>
      </c>
    </row>
    <row r="40" spans="1:2">
      <c r="A40">
        <v>0.130719</v>
      </c>
      <c r="B40">
        <v>29.294117</v>
      </c>
    </row>
    <row r="41" spans="1:2">
      <c r="A41">
        <v>0.11372500000000001</v>
      </c>
      <c r="B41">
        <v>20.896730000000002</v>
      </c>
    </row>
    <row r="42" spans="1:2">
      <c r="A42">
        <v>8.3659999999999998E-2</v>
      </c>
      <c r="B42">
        <v>27.673203000000001</v>
      </c>
    </row>
    <row r="43" spans="1:2">
      <c r="A43">
        <v>0.17908499999999999</v>
      </c>
      <c r="B43">
        <v>20.486274999999999</v>
      </c>
    </row>
    <row r="44" spans="1:2">
      <c r="A44">
        <v>0.145098</v>
      </c>
      <c r="B44">
        <v>13.120262</v>
      </c>
    </row>
    <row r="45" spans="1:2">
      <c r="A45">
        <v>7.3203000000000004E-2</v>
      </c>
      <c r="B45">
        <v>12.308496</v>
      </c>
    </row>
    <row r="46" spans="1:2">
      <c r="A46">
        <v>5.7515999999999998E-2</v>
      </c>
      <c r="B46">
        <v>23.904575000000001</v>
      </c>
    </row>
    <row r="47" spans="1:2">
      <c r="A47">
        <v>5.8824000000000001E-2</v>
      </c>
      <c r="B47">
        <v>17.352941999999999</v>
      </c>
    </row>
    <row r="48" spans="1:2">
      <c r="A48">
        <v>0.11372500000000001</v>
      </c>
      <c r="B48">
        <v>22.445751000000001</v>
      </c>
    </row>
    <row r="49" spans="1:2">
      <c r="A49">
        <v>4.5752000000000001E-2</v>
      </c>
      <c r="B49">
        <v>11.166013</v>
      </c>
    </row>
    <row r="50" spans="1:2">
      <c r="A50">
        <v>1.8301000000000001E-2</v>
      </c>
      <c r="B50">
        <v>15.888888</v>
      </c>
    </row>
    <row r="51" spans="1:2">
      <c r="A51">
        <v>9.6731999999999999E-2</v>
      </c>
      <c r="B51">
        <v>15.368627999999999</v>
      </c>
    </row>
    <row r="52" spans="1:2">
      <c r="A52">
        <v>0.118954</v>
      </c>
      <c r="B52">
        <v>20.243137000000001</v>
      </c>
    </row>
    <row r="53" spans="1:2">
      <c r="A53">
        <v>0.13333300000000001</v>
      </c>
      <c r="B53">
        <v>5.1006539999999996</v>
      </c>
    </row>
    <row r="54" spans="1:2">
      <c r="A54">
        <v>0.22875799999999999</v>
      </c>
      <c r="B54">
        <v>23.777777</v>
      </c>
    </row>
    <row r="55" spans="1:2">
      <c r="A55">
        <v>0.25620900000000002</v>
      </c>
      <c r="B55">
        <v>14.001307000000001</v>
      </c>
    </row>
    <row r="56" spans="1:2">
      <c r="A56">
        <v>0.27581699999999998</v>
      </c>
      <c r="B56">
        <v>13.888888</v>
      </c>
    </row>
    <row r="57" spans="1:2">
      <c r="A57">
        <v>0.24444399999999999</v>
      </c>
      <c r="B57">
        <v>8.8117649999999994</v>
      </c>
    </row>
    <row r="58" spans="1:2">
      <c r="A58">
        <v>0.33464100000000002</v>
      </c>
      <c r="B58">
        <v>13.2</v>
      </c>
    </row>
    <row r="59" spans="1:2">
      <c r="A59">
        <v>0.47581699999999999</v>
      </c>
      <c r="B59">
        <v>17.284967000000002</v>
      </c>
    </row>
    <row r="60" spans="1:2">
      <c r="A60">
        <v>0.478431</v>
      </c>
      <c r="B60">
        <v>12.603921</v>
      </c>
    </row>
    <row r="61" spans="1:2">
      <c r="A61">
        <v>0.49673200000000001</v>
      </c>
      <c r="B61">
        <v>12.364705000000001</v>
      </c>
    </row>
    <row r="62" spans="1:2">
      <c r="A62">
        <v>0.31111100000000003</v>
      </c>
      <c r="B62">
        <v>12.08366</v>
      </c>
    </row>
    <row r="63" spans="1:2">
      <c r="A63">
        <v>0.82091499999999995</v>
      </c>
      <c r="B63">
        <v>11.721568</v>
      </c>
    </row>
    <row r="64" spans="1:2">
      <c r="A64">
        <v>1.00915</v>
      </c>
      <c r="B64">
        <v>11.343791</v>
      </c>
    </row>
    <row r="65" spans="1:2">
      <c r="A65">
        <v>1.054902</v>
      </c>
      <c r="B65">
        <v>15.286274000000001</v>
      </c>
    </row>
    <row r="66" spans="1:2">
      <c r="A66">
        <v>0.80261400000000005</v>
      </c>
      <c r="B66">
        <v>11.091504</v>
      </c>
    </row>
    <row r="67" spans="1:2">
      <c r="A67">
        <v>0.94901999999999997</v>
      </c>
      <c r="B67">
        <v>7.1934639999999996</v>
      </c>
    </row>
    <row r="68" spans="1:2">
      <c r="A68">
        <v>1.211765</v>
      </c>
      <c r="B68">
        <v>11.040523</v>
      </c>
    </row>
    <row r="69" spans="1:2">
      <c r="A69">
        <v>1.0653589999999999</v>
      </c>
      <c r="B69">
        <v>10.850981000000001</v>
      </c>
    </row>
    <row r="70" spans="1:2">
      <c r="A70">
        <v>0.96209199999999995</v>
      </c>
      <c r="B70">
        <v>14.193462999999999</v>
      </c>
    </row>
    <row r="71" spans="1:2">
      <c r="A71">
        <v>1.8666670000000001</v>
      </c>
      <c r="B71">
        <v>6.873202</v>
      </c>
    </row>
    <row r="72" spans="1:2">
      <c r="A72">
        <v>1.6470590000000001</v>
      </c>
      <c r="B72">
        <v>13.643136999999999</v>
      </c>
    </row>
    <row r="73" spans="1:2">
      <c r="A73">
        <v>1.580392</v>
      </c>
      <c r="B73">
        <v>9.8169939999999993</v>
      </c>
    </row>
    <row r="74" spans="1:2">
      <c r="A74">
        <v>1.6535949999999999</v>
      </c>
      <c r="B74">
        <v>6.4888890000000004</v>
      </c>
    </row>
    <row r="75" spans="1:2">
      <c r="A75">
        <v>3.1477119999999998</v>
      </c>
      <c r="B75">
        <v>12.712418</v>
      </c>
    </row>
    <row r="76" spans="1:2">
      <c r="A76">
        <v>1.4209149999999999</v>
      </c>
      <c r="B76">
        <v>9.2614380000000001</v>
      </c>
    </row>
    <row r="77" spans="1:2">
      <c r="A77">
        <v>2.3490199999999999</v>
      </c>
      <c r="B77">
        <v>8.8535950000000003</v>
      </c>
    </row>
    <row r="78" spans="1:2">
      <c r="A78">
        <v>2.1817000000000002</v>
      </c>
      <c r="B78">
        <v>9.0235299999999992</v>
      </c>
    </row>
    <row r="79" spans="1:2">
      <c r="A79">
        <v>4.4026149999999999</v>
      </c>
      <c r="B79">
        <v>8.5934640000000009</v>
      </c>
    </row>
    <row r="80" spans="1:2">
      <c r="A80">
        <v>1.8967320000000001</v>
      </c>
      <c r="B80">
        <v>8.2549019999999995</v>
      </c>
    </row>
    <row r="81" spans="1:2">
      <c r="A81">
        <v>3.6091500000000001</v>
      </c>
      <c r="B81">
        <v>8.2745090000000001</v>
      </c>
    </row>
    <row r="82" spans="1:2">
      <c r="A82">
        <v>3.0601310000000002</v>
      </c>
      <c r="B82">
        <v>10.904574999999999</v>
      </c>
    </row>
    <row r="83" spans="1:2">
      <c r="A83">
        <v>6.6287580000000004</v>
      </c>
      <c r="B83">
        <v>5.1490200000000002</v>
      </c>
    </row>
    <row r="84" spans="1:2">
      <c r="A84">
        <v>3.0392160000000001</v>
      </c>
      <c r="B84">
        <v>10.152941</v>
      </c>
    </row>
    <row r="85" spans="1:2">
      <c r="A85">
        <v>4.2967320000000004</v>
      </c>
      <c r="B85">
        <v>2.1346400000000001</v>
      </c>
    </row>
    <row r="86" spans="1:2">
      <c r="A86">
        <v>7.0967320000000003</v>
      </c>
      <c r="B86">
        <v>12.096731999999999</v>
      </c>
    </row>
    <row r="87" spans="1:2">
      <c r="A87">
        <v>0</v>
      </c>
      <c r="B87">
        <v>0</v>
      </c>
    </row>
    <row r="88" spans="1:2">
      <c r="A88">
        <v>9.2052289999999992</v>
      </c>
      <c r="B88">
        <v>11.522876</v>
      </c>
    </row>
    <row r="89" spans="1:2">
      <c r="A89">
        <v>9.2562090000000001</v>
      </c>
      <c r="B89">
        <v>10.650981</v>
      </c>
    </row>
    <row r="90" spans="1:2">
      <c r="A90">
        <v>4.8104570000000004</v>
      </c>
      <c r="B90">
        <v>1.8418300000000001</v>
      </c>
    </row>
    <row r="91" spans="1:2">
      <c r="A91">
        <v>5.177778</v>
      </c>
      <c r="B91">
        <v>8.3137249999999998</v>
      </c>
    </row>
    <row r="92" spans="1:2">
      <c r="A92">
        <v>9.2679740000000006</v>
      </c>
      <c r="B92">
        <v>5.6692809999999998</v>
      </c>
    </row>
    <row r="93" spans="1:2">
      <c r="A93">
        <v>6.0535949999999996</v>
      </c>
      <c r="B93">
        <v>5.5281039999999999</v>
      </c>
    </row>
    <row r="94" spans="1:2">
      <c r="A94">
        <v>9.1856209999999994</v>
      </c>
      <c r="B94">
        <v>5.4326800000000004</v>
      </c>
    </row>
    <row r="95" spans="1:2">
      <c r="A95">
        <v>4.7424840000000001</v>
      </c>
      <c r="B95">
        <v>5.0732030000000004</v>
      </c>
    </row>
    <row r="96" spans="1:2">
      <c r="A96">
        <v>11.172549</v>
      </c>
      <c r="B96">
        <v>5.047059</v>
      </c>
    </row>
    <row r="97" spans="1:2">
      <c r="A97">
        <v>4.9568630000000002</v>
      </c>
      <c r="B97">
        <v>3.2065359999999998</v>
      </c>
    </row>
    <row r="98" spans="1:2">
      <c r="A98">
        <v>7.0379079999999998</v>
      </c>
      <c r="B98">
        <v>6.1111110000000002</v>
      </c>
    </row>
    <row r="99" spans="1:2">
      <c r="A99">
        <v>9.8666669999999996</v>
      </c>
      <c r="B99">
        <v>5.9241830000000002</v>
      </c>
    </row>
    <row r="100" spans="1:2">
      <c r="A100">
        <v>7.0339869999999998</v>
      </c>
      <c r="B100">
        <v>2.8679739999999998</v>
      </c>
    </row>
    <row r="101" spans="1:2">
      <c r="A101">
        <v>9.6888889999999996</v>
      </c>
      <c r="B101">
        <v>4.1751630000000004</v>
      </c>
    </row>
    <row r="102" spans="1:2">
      <c r="A102">
        <v>5.3189539999999997</v>
      </c>
      <c r="B102">
        <v>5.1895420000000003</v>
      </c>
    </row>
    <row r="103" spans="1:2">
      <c r="A103">
        <v>6.6091499999999996</v>
      </c>
      <c r="B103">
        <v>2.4562089999999999</v>
      </c>
    </row>
    <row r="104" spans="1:2">
      <c r="A104">
        <v>7.8640530000000002</v>
      </c>
      <c r="B104">
        <v>6.0274510000000001</v>
      </c>
    </row>
    <row r="105" spans="1:2">
      <c r="A105">
        <v>15.533334</v>
      </c>
      <c r="B105">
        <v>2.264052</v>
      </c>
    </row>
    <row r="106" spans="1:2">
      <c r="A106">
        <v>4.8052289999999998</v>
      </c>
      <c r="B106">
        <v>3.1346400000000001</v>
      </c>
    </row>
    <row r="107" spans="1:2">
      <c r="A107">
        <v>9.1071899999999992</v>
      </c>
      <c r="B107">
        <v>2.1751640000000001</v>
      </c>
    </row>
    <row r="108" spans="1:2">
      <c r="A108">
        <v>10.226144</v>
      </c>
      <c r="B108">
        <v>4.0405230000000003</v>
      </c>
    </row>
    <row r="109" spans="1:2">
      <c r="A109">
        <v>8.2117640000000005</v>
      </c>
      <c r="B109">
        <v>2.077124</v>
      </c>
    </row>
    <row r="110" spans="1:2">
      <c r="A110">
        <v>8.8274509999999999</v>
      </c>
      <c r="B110">
        <v>3.741177</v>
      </c>
    </row>
    <row r="111" spans="1:2">
      <c r="A111">
        <v>7.9764699999999999</v>
      </c>
      <c r="B111">
        <v>2.4810460000000001</v>
      </c>
    </row>
    <row r="112" spans="1:2">
      <c r="A112">
        <v>11.049673</v>
      </c>
      <c r="B112">
        <v>3.2026140000000001</v>
      </c>
    </row>
    <row r="113" spans="1:2">
      <c r="A113">
        <v>8.8326799999999999</v>
      </c>
      <c r="B113">
        <v>1.694118</v>
      </c>
    </row>
    <row r="114" spans="1:2">
      <c r="A114">
        <v>7.3346410000000004</v>
      </c>
      <c r="B114">
        <v>2.1254900000000001</v>
      </c>
    </row>
    <row r="115" spans="1:2">
      <c r="A115">
        <v>11.577778</v>
      </c>
      <c r="B115">
        <v>2.0849669999999998</v>
      </c>
    </row>
    <row r="116" spans="1:2">
      <c r="A116">
        <v>7.2039210000000002</v>
      </c>
      <c r="B116">
        <v>2.6601309999999998</v>
      </c>
    </row>
    <row r="117" spans="1:2">
      <c r="A117">
        <v>8.2888889999999993</v>
      </c>
      <c r="B117">
        <v>1.2366010000000001</v>
      </c>
    </row>
    <row r="118" spans="1:2">
      <c r="A118">
        <v>12.069281</v>
      </c>
      <c r="B118">
        <v>1.9058820000000001</v>
      </c>
    </row>
    <row r="119" spans="1:2">
      <c r="A119">
        <v>5.4418300000000004</v>
      </c>
      <c r="B119">
        <v>2.0065360000000001</v>
      </c>
    </row>
    <row r="120" spans="1:2">
      <c r="A120">
        <v>11.687581</v>
      </c>
      <c r="B120">
        <v>1.196078</v>
      </c>
    </row>
    <row r="121" spans="1:2">
      <c r="A121">
        <v>8.3607849999999999</v>
      </c>
      <c r="B121">
        <v>1.2901959999999999</v>
      </c>
    </row>
    <row r="122" spans="1:2">
      <c r="A122">
        <v>8.1751629999999995</v>
      </c>
      <c r="B122">
        <v>1.8928100000000001</v>
      </c>
    </row>
    <row r="123" spans="1:2">
      <c r="A123">
        <v>11.932026</v>
      </c>
      <c r="B123">
        <v>1.1790849999999999</v>
      </c>
    </row>
    <row r="124" spans="1:2">
      <c r="A124">
        <v>5.3712419999999996</v>
      </c>
      <c r="B124">
        <v>0.61830099999999999</v>
      </c>
    </row>
    <row r="125" spans="1:2">
      <c r="A125">
        <v>13.227449999999999</v>
      </c>
      <c r="B125">
        <v>1.8745099999999999</v>
      </c>
    </row>
    <row r="126" spans="1:2">
      <c r="A126">
        <v>5.762092</v>
      </c>
      <c r="B126">
        <v>0.25097999999999998</v>
      </c>
    </row>
    <row r="127" spans="1:2">
      <c r="A127">
        <v>3.047059</v>
      </c>
      <c r="B127">
        <v>0.91895400000000005</v>
      </c>
    </row>
    <row r="128" spans="1:2">
      <c r="A128">
        <v>18.003921999999999</v>
      </c>
      <c r="B128">
        <v>1.393464</v>
      </c>
    </row>
    <row r="129" spans="1:2">
      <c r="A129">
        <v>0</v>
      </c>
      <c r="B129">
        <v>0</v>
      </c>
    </row>
    <row r="130" spans="1:2">
      <c r="A130">
        <v>18.078431999999999</v>
      </c>
      <c r="B130">
        <v>1.690196</v>
      </c>
    </row>
    <row r="131" spans="1:2">
      <c r="A131">
        <v>0</v>
      </c>
      <c r="B131">
        <v>0</v>
      </c>
    </row>
    <row r="132" spans="1:2">
      <c r="A132">
        <v>13.478432</v>
      </c>
      <c r="B132">
        <v>0.94640500000000005</v>
      </c>
    </row>
    <row r="133" spans="1:2">
      <c r="A133">
        <v>5.4588229999999998</v>
      </c>
      <c r="B133">
        <v>0.63398699999999997</v>
      </c>
    </row>
    <row r="134" spans="1:2">
      <c r="A134">
        <v>5.1751630000000004</v>
      </c>
      <c r="B134">
        <v>0.13986899999999999</v>
      </c>
    </row>
    <row r="135" spans="1:2">
      <c r="A135">
        <v>10.362092000000001</v>
      </c>
      <c r="B135">
        <v>0.91372500000000001</v>
      </c>
    </row>
    <row r="136" spans="1:2">
      <c r="A136">
        <v>3.9333330000000002</v>
      </c>
      <c r="B136">
        <v>0.27973900000000002</v>
      </c>
    </row>
    <row r="137" spans="1:2">
      <c r="A137">
        <v>6.9947710000000001</v>
      </c>
      <c r="B137">
        <v>0.42352899999999999</v>
      </c>
    </row>
    <row r="138" spans="1:2">
      <c r="A138">
        <v>5.878431</v>
      </c>
      <c r="B138">
        <v>0.60392199999999996</v>
      </c>
    </row>
    <row r="139" spans="1:2">
      <c r="A139">
        <v>7.1385620000000003</v>
      </c>
      <c r="B139">
        <v>0.326797</v>
      </c>
    </row>
    <row r="140" spans="1:2">
      <c r="A140">
        <v>6.1529410000000002</v>
      </c>
      <c r="B140">
        <v>0.271895</v>
      </c>
    </row>
    <row r="141" spans="1:2">
      <c r="A141">
        <v>2.7738559999999999</v>
      </c>
      <c r="B141">
        <v>0.35555599999999998</v>
      </c>
    </row>
    <row r="142" spans="1:2">
      <c r="A142">
        <v>4.7738560000000003</v>
      </c>
      <c r="B142">
        <v>0.31503300000000001</v>
      </c>
    </row>
    <row r="143" spans="1:2">
      <c r="A143">
        <v>5.971241</v>
      </c>
      <c r="B143">
        <v>0.14902000000000001</v>
      </c>
    </row>
    <row r="144" spans="1:2">
      <c r="A144">
        <v>3.682353</v>
      </c>
      <c r="B144">
        <v>0.28888900000000001</v>
      </c>
    </row>
    <row r="145" spans="1:2">
      <c r="A145">
        <v>5.6300650000000001</v>
      </c>
      <c r="B145">
        <v>0.21568599999999999</v>
      </c>
    </row>
    <row r="146" spans="1:2">
      <c r="A146">
        <v>3.2013069999999999</v>
      </c>
      <c r="B146">
        <v>0.18823500000000001</v>
      </c>
    </row>
    <row r="147" spans="1:2">
      <c r="A147">
        <v>1.8405229999999999</v>
      </c>
      <c r="B147">
        <v>0.101961</v>
      </c>
    </row>
    <row r="148" spans="1:2">
      <c r="A148">
        <v>4.9869279999999998</v>
      </c>
      <c r="B148">
        <v>0.19215699999999999</v>
      </c>
    </row>
    <row r="149" spans="1:2">
      <c r="A149">
        <v>1.943791</v>
      </c>
      <c r="B149">
        <v>0.104575</v>
      </c>
    </row>
    <row r="150" spans="1:2">
      <c r="A150">
        <v>2.5189539999999999</v>
      </c>
      <c r="B150">
        <v>0.15947700000000001</v>
      </c>
    </row>
    <row r="151" spans="1:2">
      <c r="A151">
        <v>1.8967320000000001</v>
      </c>
      <c r="B151">
        <v>6.6667000000000004E-2</v>
      </c>
    </row>
    <row r="152" spans="1:2">
      <c r="A152">
        <v>1.8313729999999999</v>
      </c>
      <c r="B152">
        <v>0.121569</v>
      </c>
    </row>
    <row r="153" spans="1:2">
      <c r="A153">
        <v>2.8575170000000001</v>
      </c>
      <c r="B153">
        <v>6.2744999999999995E-2</v>
      </c>
    </row>
    <row r="154" spans="1:2">
      <c r="A154">
        <v>0.96078399999999997</v>
      </c>
      <c r="B154">
        <v>6.4051999999999998E-2</v>
      </c>
    </row>
    <row r="155" spans="1:2">
      <c r="A155">
        <v>1.7607839999999999</v>
      </c>
      <c r="B155">
        <v>4.7058999999999997E-2</v>
      </c>
    </row>
    <row r="156" spans="1:2">
      <c r="A156">
        <v>2.9542480000000002</v>
      </c>
      <c r="B156">
        <v>0.105882</v>
      </c>
    </row>
    <row r="157" spans="1:2">
      <c r="A157">
        <v>0.82222200000000001</v>
      </c>
      <c r="B157">
        <v>4.3137000000000002E-2</v>
      </c>
    </row>
    <row r="158" spans="1:2">
      <c r="A158">
        <v>1.8196079999999999</v>
      </c>
      <c r="B158">
        <v>7.8431000000000001E-2</v>
      </c>
    </row>
    <row r="159" spans="1:2">
      <c r="A159">
        <v>2.1450979999999999</v>
      </c>
      <c r="B159">
        <v>5.2288000000000001E-2</v>
      </c>
    </row>
    <row r="160" spans="1:2">
      <c r="A160">
        <v>0.739869</v>
      </c>
      <c r="B160">
        <v>2.7451E-2</v>
      </c>
    </row>
    <row r="161" spans="1:2">
      <c r="A161">
        <v>1.559477</v>
      </c>
      <c r="B161">
        <v>4.0523000000000003E-2</v>
      </c>
    </row>
    <row r="162" spans="1:2">
      <c r="A162">
        <v>0.43529400000000001</v>
      </c>
      <c r="B162">
        <v>3.9216000000000001E-2</v>
      </c>
    </row>
    <row r="163" spans="1:2">
      <c r="A163">
        <v>1.084967</v>
      </c>
      <c r="B163">
        <v>1.1764999999999999E-2</v>
      </c>
    </row>
    <row r="164" spans="1:2">
      <c r="A164">
        <v>1.0104580000000001</v>
      </c>
      <c r="B164">
        <v>1.6993000000000001E-2</v>
      </c>
    </row>
    <row r="165" spans="1:2">
      <c r="A165">
        <v>0.439216</v>
      </c>
      <c r="B165">
        <v>1.3072E-2</v>
      </c>
    </row>
    <row r="166" spans="1:2">
      <c r="A166">
        <v>0.63790800000000003</v>
      </c>
      <c r="B166">
        <v>1.3072E-2</v>
      </c>
    </row>
    <row r="167" spans="1:2">
      <c r="A167">
        <v>0.142484</v>
      </c>
      <c r="B167">
        <v>5.2290000000000001E-3</v>
      </c>
    </row>
    <row r="168" spans="1:2">
      <c r="A168">
        <v>0.52418299999999995</v>
      </c>
      <c r="B168">
        <v>9.1500000000000001E-3</v>
      </c>
    </row>
    <row r="169" spans="1:2">
      <c r="A169">
        <v>0.109804</v>
      </c>
      <c r="B169">
        <v>5.2290000000000001E-3</v>
      </c>
    </row>
    <row r="170" spans="1:2">
      <c r="A170">
        <v>0.23268</v>
      </c>
      <c r="B170">
        <v>1.307E-3</v>
      </c>
    </row>
    <row r="171" spans="1:2">
      <c r="A171">
        <v>0.23921600000000001</v>
      </c>
      <c r="B171">
        <v>6.5360000000000001E-3</v>
      </c>
    </row>
    <row r="172" spans="1:2">
      <c r="A172">
        <v>0</v>
      </c>
      <c r="B172">
        <v>6.5360000000000001E-3</v>
      </c>
    </row>
    <row r="173" spans="1:2">
      <c r="A173">
        <v>0.29411799999999999</v>
      </c>
      <c r="B173">
        <v>0</v>
      </c>
    </row>
    <row r="174" spans="1:2">
      <c r="A174">
        <v>0.32941199999999998</v>
      </c>
      <c r="B174">
        <v>7.8429999999999993E-3</v>
      </c>
    </row>
    <row r="175" spans="1:2">
      <c r="A175">
        <v>5.4901999999999999E-2</v>
      </c>
      <c r="B175">
        <v>1.307E-3</v>
      </c>
    </row>
    <row r="176" spans="1:2">
      <c r="A176">
        <v>0.18562100000000001</v>
      </c>
      <c r="B176">
        <v>3.9220000000000001E-3</v>
      </c>
    </row>
    <row r="177" spans="1:2">
      <c r="A177">
        <v>0</v>
      </c>
      <c r="B177">
        <v>0</v>
      </c>
    </row>
    <row r="178" spans="1:2">
      <c r="A178">
        <v>9.2810000000000004E-2</v>
      </c>
      <c r="B178">
        <v>2.614E-3</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-2.20897899649572
-2.21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-2.2089789964957154</v>
      </c>
      <c r="I4" s="322">
        <f>IF(Measurement!AQ7&lt;&gt;"",NORMSDIST((H6-$B$2)/$B$3)*100,"")</f>
        <v>20.19468952817164</v>
      </c>
      <c r="J4" t="str">
        <f>Measurement!AR7</f>
        <v>주의</v>
      </c>
    </row>
    <row r="5" spans="1:11">
      <c r="B5" s="171">
        <v>-10</v>
      </c>
      <c r="C5" s="171">
        <f>NORMSDIST(($B5-$B$2)/$B$3)*100</f>
        <v>7.1097265868555281E-5</v>
      </c>
      <c r="G5" t="s">
        <v>1539</v>
      </c>
      <c r="H5" s="320">
        <f>IF(Measurement!AQ7&lt;-7,-7,Measurement!AQ7)</f>
        <v>-2.2089789964957154</v>
      </c>
      <c r="I5" s="321">
        <f>IF(Measurement!AQ7&lt;&gt;"",0,"")</f>
        <v>0</v>
      </c>
    </row>
    <row r="6" spans="1:11">
      <c r="B6" s="171">
        <f>B5+0.1</f>
        <v>-9.9</v>
      </c>
      <c r="C6" s="171">
        <f t="shared" ref="C6:C57" si="0">NORMSDIST(($B6-$B$2)/$B$3)*100</f>
        <v>9.1781224195367343E-5</v>
      </c>
      <c r="H6" s="320">
        <f>IF(Measurement!AQ7&lt;-7,-7,Measurement!AQ7)</f>
        <v>-2.2089789964957154</v>
      </c>
      <c r="I6" s="321">
        <f>IF(Measurement!AQ7&lt;&gt;"",NORMSDIST((H6-$B$2)/$B$3)*100,"")</f>
        <v>20.19468952817164</v>
      </c>
    </row>
    <row r="7" spans="1:11">
      <c r="B7" s="171">
        <f t="shared" ref="B7:B70" si="1">B6+0.1</f>
        <v>-9.8000000000000007</v>
      </c>
      <c r="C7" s="171">
        <f t="shared" si="0"/>
        <v>1.1818368021892541E-4</v>
      </c>
      <c r="D7" s="171"/>
      <c r="H7" s="320">
        <f>IF(Measurement!AQ7&lt;&gt;"",-7,"")</f>
        <v>-7</v>
      </c>
      <c r="I7" s="321">
        <f>IF(Measurement!AQ7&lt;&gt;"",NORMSDIST((H6-$B$2)/$B$3)*100,"")</f>
        <v>20.19468952817164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63.54</v>
      </c>
      <c r="V4" t="s">
        <v>1218</v>
      </c>
    </row>
    <row r="5" spans="1:29">
      <c r="B5" s="171">
        <v>0</v>
      </c>
      <c r="C5" s="171">
        <f>NORMSDIST(($B5-$B$2)/$B$3)*100</f>
        <v>1.2153167836658598</v>
      </c>
      <c r="H5">
        <f>info!W36</f>
        <v>63.543479999999995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63.543479999999995</v>
      </c>
      <c r="I6" s="171">
        <f>NORMSDIST((H6-$B$2)/$B$3)*100</f>
        <v>72.909117674668352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72.909117674668352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2.1476500000000001</v>
      </c>
    </row>
    <row r="3" spans="1:11" ht="18">
      <c r="A3" s="71" t="s">
        <v>1065</v>
      </c>
      <c r="B3" s="557">
        <v>0.71290976993199895</v>
      </c>
      <c r="C3" s="523"/>
      <c r="H3" s="561" t="s">
        <v>2223</v>
      </c>
      <c r="I3" s="562">
        <f>IF(I2=0,0,NORMSDIST((I2-$B$2)/$B$3)*100)</f>
        <v>63.584675776159763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2.15</v>
      </c>
    </row>
    <row r="6" spans="1:11">
      <c r="B6" s="23">
        <v>0</v>
      </c>
      <c r="C6" s="23">
        <f>NORMSDIST(($B6-$B$2)/$B$3)*100</f>
        <v>0.38478836223957635</v>
      </c>
      <c r="H6" s="205">
        <f>IF(info!V36&gt;I1,I1,info!V36)</f>
        <v>2.1476500000000001</v>
      </c>
      <c r="I6" s="560">
        <v>0</v>
      </c>
    </row>
    <row r="7" spans="1:11">
      <c r="B7" s="23">
        <f>B5+0.05</f>
        <v>0</v>
      </c>
      <c r="C7" s="23">
        <f t="shared" ref="C7:E58" si="0">NORMSDIST(($B7-$B$2)/$B$3)*100</f>
        <v>0.38478836223957635</v>
      </c>
      <c r="H7" s="205">
        <f>IF(info!V36&gt;I1,I1,info!V36)</f>
        <v>2.1476500000000001</v>
      </c>
      <c r="I7" s="560">
        <f>NORMSDIST((H7-$B$2)/$B$3)*100</f>
        <v>63.584675776159763</v>
      </c>
    </row>
    <row r="8" spans="1:11">
      <c r="B8" s="23">
        <f t="shared" ref="B8:B71" si="1">B7+0.05</f>
        <v>0.05</v>
      </c>
      <c r="C8" s="23">
        <f t="shared" si="0"/>
        <v>0.47295624138584591</v>
      </c>
      <c r="D8" s="171"/>
      <c r="H8" s="205">
        <v>0</v>
      </c>
      <c r="I8" s="560">
        <f>NORMSDIST((H7-$B$2)/$B$3)*100</f>
        <v>63.584675776159763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2.1476500000000001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2.1476500000000001</v>
      </c>
      <c r="I6" s="171">
        <f>NORMSDIST((H6-$B$2)/$B$3)*100</f>
        <v>7.6096273685090948E-2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7.6096273685090948E-2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45790.770046296297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asd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45790.770046296297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asd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2025-05-13T09:29:05Z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