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U2eS^1^1^\"/>
    </mc:Choice>
  </mc:AlternateContent>
  <xr:revisionPtr revIDLastSave="0" documentId="13_ncr:1_{D791387B-C13D-403B-BBCE-C13E84DE020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5"/>
  <c r="Q8" i="40"/>
  <c r="L7" i="46"/>
  <c r="L8" i="37"/>
  <c r="L8" i="41"/>
  <c r="L8" i="36"/>
  <c r="H8" i="33"/>
  <c r="H8" i="39"/>
  <c r="L7" i="42"/>
  <c r="Q8" i="44"/>
  <c r="L8" i="33"/>
  <c r="L8" i="39"/>
  <c r="L8" i="43"/>
  <c r="Q2" i="14"/>
  <c r="H8" i="49"/>
  <c r="H8" i="30"/>
  <c r="Q8" i="33"/>
  <c r="L7" i="37"/>
  <c r="H8" i="38"/>
  <c r="Q8" i="39"/>
  <c r="L7" i="41"/>
  <c r="H8" i="42"/>
  <c r="Q8" i="43"/>
  <c r="L7" i="45"/>
  <c r="H8" i="46"/>
  <c r="L8" i="40"/>
  <c r="L8" i="44"/>
  <c r="L7" i="30"/>
  <c r="Q8" i="36"/>
  <c r="L7"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0"/>
  <c r="O7" i="36"/>
  <c r="O7" i="44"/>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Y11"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6" i="48" l="1"/>
  <c r="L36" i="18"/>
  <c r="A212" i="17"/>
  <c r="C211" i="17"/>
  <c r="B211" i="17" s="1"/>
  <c r="F209" i="11"/>
  <c r="B209" i="11"/>
  <c r="E209" i="11" s="1"/>
  <c r="A210" i="11"/>
  <c r="C212" i="17" l="1"/>
  <c r="B212" i="17" s="1"/>
  <c r="A213" i="17"/>
  <c r="F210" i="11"/>
  <c r="B210" i="11"/>
  <c r="E210" i="11" s="1"/>
  <c r="A211" i="11"/>
  <c r="Y8" i="1" l="1"/>
  <c r="Y7" i="1"/>
  <c r="Y12" i="1"/>
  <c r="Y10" i="1"/>
  <c r="Y16" i="1"/>
  <c r="Y9" i="1"/>
  <c r="Y14" i="1"/>
  <c r="Y13" i="1"/>
  <c r="C213" i="17"/>
  <c r="B213" i="17" s="1"/>
  <c r="A214" i="17"/>
  <c r="F211" i="11"/>
  <c r="A212" i="11"/>
  <c r="B211" i="11"/>
  <c r="E211" i="11" s="1"/>
  <c r="L39" i="48" l="1"/>
  <c r="L39" i="18"/>
  <c r="L38" i="48"/>
  <c r="L38" i="18"/>
  <c r="L41" i="48"/>
  <c r="L41" i="18"/>
  <c r="L35" i="48"/>
  <c r="L35" i="18"/>
  <c r="L34" i="48"/>
  <c r="L34" i="18"/>
  <c r="L37" i="48"/>
  <c r="L37" i="18"/>
  <c r="L32" i="48"/>
  <c r="L32" i="18"/>
  <c r="L33" i="48"/>
  <c r="L33"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CB31" i="11" s="1"/>
  <c r="A508" i="17"/>
  <c r="F505" i="11"/>
  <c r="J28" i="18" l="1"/>
  <c r="J28" i="48"/>
  <c r="C508" i="17"/>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AU20" i="11" s="1"/>
  <c r="F603" i="11"/>
  <c r="AR26" i="11" l="1"/>
  <c r="X21" i="11" s="1"/>
  <c r="AS26" i="11"/>
  <c r="C607" i="17"/>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<sst xmlns="http://schemas.openxmlformats.org/spreadsheetml/2006/main" count="7311" uniqueCount="2585">
  <si>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</si>
  <si>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</si>
  <si>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</si>
  <si>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</si>
  <si>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</si>
  <si>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</si>
  <si>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</si>
  <si>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</si>
  <si>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</si>
  <si>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</si>
  <si>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</si>
  <si>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</si>
  <si>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</si>
  <si>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</si>
  <si>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</si>
  <si>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</si>
  <si>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</si>
  <si>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</si>
  <si>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</si>
  <si>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</si>
  <si>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</si>
  <si>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</si>
  <si>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</si>
  <si>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</si>
  <si>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</si>
  <si>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</si>
  <si>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</si>
  <si>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</si>
  <si>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</si>
  <si>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</si>
  <si>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</si>
  <si>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</si>
  <si>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</si>
  <si>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</si>
  <si>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</si>
  <si>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</si>
  <si>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</si>
  <si>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</si>
  <si>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</si>
  <si>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</si>
  <si>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</si>
  <si>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</si>
  <si>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</si>
  <si>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</si>
  <si>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</si>
  <si>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</si>
  <si>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</si>
  <si>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</si>
  <si>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</si>
  <si>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</si>
  <si>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</si>
  <si>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</si>
  <si>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</si>
  <si>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</si>
  <si>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</si>
  <si>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</si>
  <si>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</si>
  <si>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</si>
  <si>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</si>
  <si>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</si>
  <si>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</si>
  <si>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</si>
  <si>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</si>
  <si>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</si>
  <si>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</si>
  <si>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</si>
  <si>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</si>
  <si>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</si>
  <si>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</si>
  <si>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</si>
  <si>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</si>
  <si>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</si>
  <si>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</si>
  <si>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</si>
  <si>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</si>
  <si>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</si>
  <si>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</si>
  <si>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</si>
  <si>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</si>
  <si>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</si>
  <si>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</si>
  <si>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</si>
  <si>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</si>
  <si>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</si>
  <si>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</si>
  <si>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</si>
  <si>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</si>
  <si>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</si>
  <si>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</si>
  <si>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</si>
  <si>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</si>
  <si>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</si>
  <si>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</si>
  <si>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</si>
  <si>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</si>
  <si>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</si>
  <si>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</si>
  <si>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</si>
  <si>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</si>
  <si>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</si>
  <si>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</si>
  <si>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</si>
  <si>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</si>
  <si>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</si>
  <si>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</si>
  <si>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</si>
  <si>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</si>
  <si>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</si>
  <si>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</si>
  <si>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</si>
  <si>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</si>
  <si>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</si>
  <si>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</si>
  <si>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</si>
  <si>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</si>
  <si>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</si>
  <si>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</si>
  <si>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</si>
  <si>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</si>
  <si>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</si>
  <si>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</si>
  <si>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</si>
  <si>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</si>
  <si>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</si>
  <si>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</si>
  <si>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</si>
  <si>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</si>
  <si>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</si>
  <si>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</si>
  <si>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</si>
  <si>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</si>
  <si>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</si>
  <si>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</si>
  <si>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</si>
  <si>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</si>
  <si>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</si>
  <si>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</si>
  <si>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</si>
  <si>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</si>
  <si>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</si>
  <si>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</si>
  <si>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</si>
  <si>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</si>
  <si>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</si>
  <si>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</si>
  <si>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</si>
  <si>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</si>
  <si>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</si>
  <si>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</si>
  <si>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</si>
  <si>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</si>
  <si>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</si>
  <si>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</si>
  <si>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</si>
  <si>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</si>
  <si>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</si>
  <si>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</si>
  <si>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</si>
  <si>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</si>
  <si>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</si>
  <si>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</si>
  <si>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</si>
  <si>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</si>
  <si>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</si>
  <si>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</si>
  <si>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</si>
  <si>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</si>
  <si>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</si>
  <si>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</si>
  <si>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</si>
  <si>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</si>
  <si>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</si>
  <si>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</si>
  <si>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</si>
  <si>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</si>
  <si>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</si>
  <si>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</si>
  <si>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</si>
  <si>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</si>
  <si>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</si>
  <si>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</si>
  <si>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</si>
  <si>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</si>
  <si>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</si>
  <si>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</si>
  <si>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</si>
  <si>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</si>
  <si>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</si>
  <si>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</si>
  <si>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</si>
  <si>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</si>
  <si>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</si>
  <si>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</si>
  <si>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</si>
  <si>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</si>
  <si>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</si>
  <si>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</si>
  <si>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</si>
  <si>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</si>
  <si>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</si>
  <si>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</si>
  <si>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</si>
  <si>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</si>
  <si>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</si>
  <si>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</si>
  <si>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</si>
  <si>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</si>
  <si>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</si>
  <si>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</si>
  <si>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</si>
  <si>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</si>
  <si>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</si>
  <si>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</si>
  <si>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</si>
  <si>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</si>
  <si>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</si>
  <si>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</si>
  <si>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</si>
  <si>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</si>
  <si>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</si>
  <si>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</si>
  <si>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</si>
  <si>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</si>
  <si>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</si>
  <si>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</si>
  <si>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</si>
  <si>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</si>
  <si>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</si>
  <si>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</si>
  <si>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</si>
  <si>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</si>
  <si>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</si>
  <si>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</si>
  <si>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</si>
  <si>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</si>
  <si>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</si>
  <si>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</si>
  <si>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</si>
  <si>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</si>
  <si>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</si>
  <si>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</si>
  <si>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</si>
  <si>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</si>
  <si>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</si>
  <si>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</si>
  <si>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</si>
  <si>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</si>
  <si>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</si>
  <si>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</si>
  <si>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</si>
  <si>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</si>
  <si>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</si>
  <si>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</si>
  <si>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</si>
  <si>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</si>
  <si>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</si>
  <si>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</si>
  <si>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</si>
  <si>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</si>
  <si>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</si>
  <si>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</si>
  <si>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</si>
  <si>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</si>
  <si>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</si>
  <si>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</si>
  <si>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</si>
  <si>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</si>
  <si>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</si>
  <si>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</si>
  <si>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</si>
  <si>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</si>
  <si>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</si>
  <si>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</si>
  <si>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</si>
  <si>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</si>
  <si>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</si>
  <si>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</si>
  <si>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</si>
  <si>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</si>
  <si>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</si>
  <si>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</si>
  <si>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</si>
  <si>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</si>
  <si>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</si>
  <si>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</si>
  <si>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</si>
  <si>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</si>
  <si>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</si>
  <si>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</si>
  <si>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</si>
  <si>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</si>
  <si>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</si>
  <si>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</si>
  <si>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</si>
  <si>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</si>
  <si>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</si>
  <si>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</si>
  <si>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</si>
  <si>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</si>
  <si>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</si>
  <si>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</si>
  <si>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</si>
  <si>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</si>
  <si>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</si>
  <si>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</si>
  <si>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</si>
  <si>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</si>
  <si>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</si>
  <si>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</si>
  <si>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</si>
  <si>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</si>
  <si>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</si>
  <si>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</si>
  <si>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</si>
  <si>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</si>
  <si>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</si>
  <si>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</si>
  <si>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</si>
  <si>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</si>
  <si>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</si>
  <si>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</si>
  <si>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</si>
  <si>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</si>
  <si>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</si>
  <si>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</si>
  <si>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</si>
  <si>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</si>
  <si>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</si>
  <si>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</si>
  <si>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</si>
  <si>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</si>
  <si>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</si>
  <si>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</si>
  <si>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</si>
  <si>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</si>
  <si>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</si>
  <si>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</si>
  <si>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</si>
  <si>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</si>
  <si>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</si>
  <si>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</si>
  <si>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</si>
  <si>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</si>
  <si>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</si>
  <si>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</si>
  <si>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</si>
  <si>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</si>
  <si>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</si>
  <si>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</si>
  <si>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</si>
  <si>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</si>
  <si>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</si>
  <si>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</si>
  <si>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</si>
  <si>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</si>
  <si>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</si>
  <si>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</si>
  <si>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</si>
  <si>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</si>
  <si>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</si>
  <si>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</si>
  <si>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</si>
  <si>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</si>
  <si>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</si>
  <si>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</si>
  <si>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</si>
  <si>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</si>
  <si>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</si>
  <si>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</si>
  <si>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</si>
  <si>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</si>
  <si>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</si>
  <si>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</si>
  <si>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</si>
  <si>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</si>
  <si>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</si>
  <si>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</si>
  <si>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</si>
  <si>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</si>
  <si>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</si>
  <si>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</si>
  <si>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</si>
  <si>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</si>
  <si>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</si>
  <si>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</si>
  <si>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</si>
  <si>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</si>
  <si>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</si>
  <si>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</si>
  <si>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</si>
  <si>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</si>
  <si>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</si>
  <si>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</si>
  <si>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</si>
  <si>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</si>
  <si>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</si>
  <si>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</si>
  <si>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</si>
  <si>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</si>
  <si>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</si>
  <si>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</si>
  <si>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</si>
  <si>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</si>
  <si>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</si>
  <si>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</si>
  <si>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</si>
  <si>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</si>
  <si>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</si>
  <si>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</si>
  <si>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</si>
  <si>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</si>
  <si>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</si>
  <si>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</si>
  <si>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</si>
  <si>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</si>
  <si>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</si>
  <si>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</si>
  <si>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</si>
  <si>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</si>
  <si>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</si>
  <si>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</si>
  <si>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</si>
  <si>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</si>
  <si>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</si>
  <si>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</si>
  <si>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</si>
  <si>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</si>
  <si>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</si>
  <si>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</si>
  <si>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</si>
  <si>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</si>
  <si>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</si>
  <si>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</si>
  <si>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</si>
  <si>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</si>
  <si>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</si>
  <si>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</si>
  <si>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</si>
  <si>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</si>
  <si>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</si>
  <si>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</si>
  <si>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</si>
  <si>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</si>
  <si>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</si>
  <si>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</si>
  <si>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</si>
  <si>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</si>
  <si>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</si>
  <si>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</si>
  <si>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</si>
  <si>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</si>
  <si>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</si>
  <si>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</si>
  <si>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</si>
  <si>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</si>
  <si>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</si>
  <si>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</si>
  <si>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</si>
  <si>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</si>
  <si>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</si>
  <si>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</si>
  <si>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</si>
  <si>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</si>
  <si>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</si>
  <si>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</si>
  <si>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</si>
  <si>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</si>
  <si>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</si>
  <si>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</si>
  <si>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</si>
  <si>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</si>
  <si>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</si>
  <si>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</si>
  <si>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</si>
  <si>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</si>
  <si>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</si>
  <si>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</si>
  <si>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</si>
  <si>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</si>
  <si>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</si>
  <si>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</si>
  <si>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</si>
  <si>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</si>
  <si>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</si>
  <si>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</si>
  <si>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</si>
  <si>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</si>
  <si>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</si>
  <si>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</si>
  <si>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</si>
  <si>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</si>
  <si>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</si>
  <si>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</si>
  <si>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</si>
  <si>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</si>
  <si>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</si>
  <si>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</si>
  <si>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</si>
  <si>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</si>
  <si>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</si>
  <si>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</si>
  <si>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</si>
  <si>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</si>
  <si>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</si>
  <si>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</si>
  <si>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</si>
  <si>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</si>
  <si>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</si>
  <si>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</si>
  <si>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</si>
  <si>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</si>
  <si>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</si>
  <si>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</si>
  <si>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</si>
  <si>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</si>
  <si>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</si>
  <si>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</si>
  <si>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</si>
  <si>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</si>
  <si>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</si>
  <si>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</si>
  <si>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</si>
  <si>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</si>
  <si>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</si>
  <si>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</si>
  <si>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</si>
  <si>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</si>
  <si>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</si>
  <si>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</si>
  <si>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</si>
  <si>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</si>
  <si>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</si>
  <si>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</si>
  <si>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</si>
  <si>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</si>
  <si>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</si>
  <si>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</si>
  <si>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</si>
  <si>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</si>
  <si>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</si>
  <si>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</si>
  <si>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</si>
  <si>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</si>
  <si>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</si>
  <si>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</si>
  <si>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</si>
  <si>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</si>
  <si>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</si>
  <si>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</si>
  <si>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</si>
  <si>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</si>
  <si>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</si>
  <si>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</si>
  <si>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</si>
  <si>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</si>
  <si>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</si>
  <si>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</si>
  <si>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</si>
  <si>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</si>
  <si>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</si>
  <si>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</si>
  <si>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</si>
  <si>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</si>
  <si>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</si>
  <si>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</si>
  <si>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</si>
  <si>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</si>
  <si>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</si>
  <si>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</si>
  <si>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</si>
  <si>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</si>
  <si>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</si>
  <si>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</si>
  <si>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</si>
  <si>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</si>
  <si>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</si>
  <si>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</si>
  <si>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</si>
  <si>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</si>
  <si>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</si>
  <si>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</si>
  <si>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</si>
  <si>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</si>
  <si>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</si>
  <si>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</si>
  <si>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</si>
  <si>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</si>
  <si>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</si>
  <si>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</si>
  <si>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</si>
  <si>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</si>
  <si>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</si>
  <si>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</si>
  <si>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</si>
  <si>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</si>
  <si>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</si>
  <si>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</si>
  <si>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</si>
  <si>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</si>
  <si>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</si>
  <si>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</si>
  <si>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</si>
  <si>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</si>
  <si>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</si>
  <si>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</si>
  <si>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</si>
  <si>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</si>
  <si>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</si>
  <si>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</si>
  <si>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</si>
  <si>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</si>
  <si>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</si>
  <si>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</si>
  <si>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</si>
  <si>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</si>
  <si>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</si>
  <si>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</si>
  <si>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</si>
  <si>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</si>
  <si>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</si>
  <si>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</si>
  <si>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</si>
  <si>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</si>
  <si>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</si>
  <si>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</si>
  <si>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</si>
  <si>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</si>
  <si>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</si>
  <si>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</si>
  <si>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</si>
  <si>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</si>
  <si>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</si>
  <si>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</si>
  <si>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</si>
  <si>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</si>
  <si>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</si>
  <si>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</si>
  <si>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</si>
  <si>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</si>
  <si>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</si>
  <si>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</si>
  <si>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</si>
  <si>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</si>
  <si>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</si>
  <si>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</si>
  <si>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</si>
  <si>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</si>
  <si>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</si>
  <si>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</si>
  <si>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</si>
  <si>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</si>
  <si>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</si>
  <si>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</si>
  <si>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</si>
  <si>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</si>
  <si>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</si>
  <si>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</si>
  <si>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</si>
  <si>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</si>
  <si>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</si>
  <si>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</si>
  <si>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</si>
  <si>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</si>
  <si>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</si>
  <si>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</si>
  <si>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</si>
  <si>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</si>
  <si>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</si>
  <si>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</si>
  <si>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</si>
  <si>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</si>
  <si>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</si>
  <si>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</si>
  <si>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</si>
  <si>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</si>
  <si>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</si>
  <si>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</si>
  <si>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</si>
  <si>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</si>
  <si>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</si>
  <si>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</si>
  <si>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</si>
  <si>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</si>
  <si>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</si>
  <si>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</si>
  <si>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</si>
  <si>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</si>
  <si>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</si>
  <si>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</si>
  <si>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</si>
  <si>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</si>
  <si>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</si>
  <si>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</si>
  <si>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</si>
  <si>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</si>
  <si>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</si>
  <si>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</si>
  <si>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</si>
  <si>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</si>
  <si>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</si>
  <si>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</si>
  <si>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</si>
  <si>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</si>
  <si>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</si>
  <si>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</si>
  <si>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</si>
  <si>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</si>
  <si>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</si>
  <si>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</si>
  <si>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</si>
  <si>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</si>
  <si>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</si>
  <si>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</si>
  <si>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</si>
  <si>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</si>
  <si>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</si>
  <si>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</si>
  <si>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</si>
  <si>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</si>
  <si>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</si>
  <si>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</si>
  <si>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</si>
  <si>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</si>
  <si>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</si>
  <si>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</si>
  <si>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</si>
  <si>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</si>
  <si>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</si>
  <si>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</si>
  <si>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</si>
  <si>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</si>
  <si>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</si>
  <si>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</si>
  <si>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</si>
  <si>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</si>
  <si>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</si>
  <si>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</si>
  <si>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</si>
  <si>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</si>
  <si>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</si>
  <si>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</si>
  <si>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</si>
  <si>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</si>
  <si>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</si>
  <si>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</si>
  <si>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</si>
  <si>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</si>
  <si>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</si>
  <si>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</si>
  <si>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</si>
  <si>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</si>
  <si>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</si>
  <si>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</si>
  <si>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</si>
  <si>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</si>
  <si>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</si>
  <si>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</si>
  <si>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</si>
  <si>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</si>
  <si>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</si>
  <si>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</si>
  <si>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</si>
  <si>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</si>
  <si>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</si>
  <si>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</si>
  <si>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</si>
  <si>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</si>
  <si>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</si>
  <si>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</si>
  <si>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</si>
  <si>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</si>
  <si>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</si>
  <si>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</si>
  <si>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</si>
  <si>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</si>
  <si>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</si>
  <si>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</si>
  <si>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</si>
  <si>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</si>
  <si>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</si>
  <si>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</si>
  <si>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</si>
  <si>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</si>
  <si>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</si>
  <si>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</si>
  <si>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</si>
  <si>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</si>
  <si>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</si>
  <si>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</si>
  <si>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</si>
  <si>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</si>
  <si>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</si>
  <si>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</si>
  <si>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</si>
  <si>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</si>
  <si>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</si>
  <si>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</si>
  <si>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</si>
  <si>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</si>
  <si>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</si>
  <si>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</si>
  <si>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</si>
  <si>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</si>
  <si>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</si>
  <si>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</si>
  <si>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</si>
  <si>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</si>
  <si>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</si>
  <si>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</si>
  <si>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</si>
  <si>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</si>
  <si>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</si>
  <si>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</si>
  <si>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</si>
  <si>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</si>
  <si>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</si>
  <si>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</si>
  <si>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</si>
  <si>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</si>
  <si>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</si>
  <si>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</si>
  <si>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</si>
  <si>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</si>
  <si>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</si>
  <si>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</si>
  <si>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</si>
  <si>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</si>
  <si>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</si>
  <si>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</si>
  <si>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</si>
  <si>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</si>
  <si>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</si>
  <si>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</si>
  <si>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</si>
  <si>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</si>
  <si>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</si>
  <si>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</si>
  <si>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</si>
  <si>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</si>
  <si>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</si>
  <si>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</si>
  <si>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</si>
  <si>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</si>
  <si>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</si>
  <si>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</si>
  <si>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</si>
  <si>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</si>
  <si>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</si>
  <si>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</si>
  <si>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</si>
  <si>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</si>
  <si>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</si>
  <si>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</si>
  <si>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</si>
  <si>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</si>
  <si>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</si>
  <si>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</si>
  <si>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</si>
  <si>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</si>
  <si>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</si>
  <si>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</si>
  <si>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</si>
  <si>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</si>
  <si>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</si>
  <si>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</si>
  <si>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</si>
  <si>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</si>
  <si>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</si>
  <si>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</si>
  <si>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</si>
  <si>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</si>
  <si>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</si>
  <si>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</si>
  <si>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</si>
  <si>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</si>
  <si>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</si>
  <si>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</si>
  <si>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</si>
  <si>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</si>
  <si>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</si>
  <si>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</si>
  <si>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</si>
  <si>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</si>
  <si>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</si>
  <si>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</si>
  <si>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</si>
  <si>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</si>
  <si>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</si>
  <si>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</si>
  <si>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</si>
  <si>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</si>
  <si>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</si>
  <si>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</si>
  <si>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</si>
  <si>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</si>
  <si>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</si>
  <si>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</si>
  <si>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</si>
  <si>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</si>
  <si>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</si>
  <si>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</si>
  <si>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</si>
  <si>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</si>
  <si>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</si>
  <si>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</si>
  <si>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</si>
  <si>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</si>
  <si>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</si>
  <si>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</si>
  <si>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</si>
  <si>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</si>
  <si>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</si>
  <si>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</si>
  <si>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</si>
  <si>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</si>
  <si>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</si>
  <si>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</si>
  <si>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</si>
  <si>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</si>
  <si>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</si>
  <si>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</si>
  <si>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</si>
  <si>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</si>
  <si>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</si>
  <si>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</si>
  <si>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</si>
  <si>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</si>
  <si>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</si>
  <si>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</si>
  <si>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</si>
  <si>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</si>
  <si>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</si>
  <si>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</si>
  <si>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</si>
  <si>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</si>
  <si>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</si>
  <si>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</si>
  <si>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</si>
  <si>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</si>
  <si>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</si>
  <si>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</si>
  <si>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</si>
  <si>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</si>
  <si>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</si>
  <si>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</si>
  <si>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</si>
  <si>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</si>
  <si>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</si>
  <si>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</si>
  <si>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</si>
  <si>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</si>
  <si>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</si>
  <si>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</si>
  <si>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</si>
  <si>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</si>
  <si>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</si>
  <si>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</si>
  <si>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</si>
  <si>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</si>
  <si>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</si>
  <si>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</si>
  <si>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</si>
  <si>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</si>
  <si>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</si>
  <si>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</si>
  <si>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</si>
  <si>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</si>
  <si>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</si>
  <si>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</si>
  <si>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</si>
  <si>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</si>
  <si>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</si>
  <si>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</si>
  <si>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</si>
  <si>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</si>
  <si>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</si>
  <si>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</si>
  <si>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</si>
  <si>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</si>
  <si>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</si>
  <si>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</si>
  <si>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</si>
  <si>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</si>
  <si>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</si>
  <si>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</si>
  <si>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</si>
  <si>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</si>
  <si>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</si>
  <si>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</si>
  <si>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</si>
  <si>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</si>
  <si>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</si>
  <si>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</si>
  <si>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</si>
  <si>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</si>
  <si>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</si>
  <si>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</si>
  <si>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</si>
  <si>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</si>
  <si>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</si>
  <si>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</si>
  <si>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</si>
  <si>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</si>
  <si>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</si>
  <si>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</si>
  <si>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</si>
  <si>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</si>
  <si>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</si>
  <si>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</si>
  <si>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</si>
  <si>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</si>
  <si>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</si>
  <si>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</si>
  <si>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</si>
  <si>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</si>
  <si>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</si>
  <si>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</si>
  <si>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</si>
  <si>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</si>
  <si>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</si>
  <si>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</si>
  <si>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</si>
  <si>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</si>
  <si>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</si>
  <si>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</si>
  <si>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</si>
  <si>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</si>
  <si>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</si>
  <si>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</si>
  <si>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</si>
  <si>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</si>
  <si>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</si>
  <si>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</si>
  <si>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</si>
  <si>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</si>
  <si>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</si>
  <si>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</si>
  <si>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</si>
  <si>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</si>
  <si>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</si>
  <si>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</si>
  <si>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</si>
  <si>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</si>
  <si>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</si>
  <si>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</si>
  <si>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</si>
  <si>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</si>
  <si>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</si>
  <si>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</si>
  <si>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</si>
  <si>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</si>
  <si>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</si>
  <si>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</si>
  <si>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</si>
  <si>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</si>
  <si>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</si>
  <si>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</si>
  <si>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</si>
  <si>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</si>
  <si>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</si>
  <si>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</si>
  <si>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</si>
  <si>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</si>
  <si>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</si>
  <si>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</si>
  <si>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</si>
  <si>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</si>
  <si>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</si>
  <si>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</si>
  <si>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</si>
  <si>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</si>
  <si>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</si>
  <si>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</si>
  <si>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</si>
  <si>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</si>
  <si>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</si>
  <si>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</si>
  <si>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</si>
  <si>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</si>
  <si>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</si>
  <si>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</si>
  <si>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</si>
  <si>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</si>
  <si>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</si>
  <si>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</si>
  <si>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</si>
  <si>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</si>
  <si>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</si>
  <si>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</si>
  <si>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</si>
  <si>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</si>
  <si>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</si>
  <si>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</si>
  <si>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</si>
  <si>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</si>
  <si>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</si>
  <si>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</si>
  <si>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</si>
  <si>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</si>
  <si>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</si>
  <si>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</si>
  <si>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</si>
  <si>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</si>
  <si>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</si>
  <si>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</si>
  <si>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</si>
  <si>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</si>
  <si>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</si>
  <si>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</si>
  <si>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</si>
  <si>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</si>
  <si>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</si>
  <si>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</si>
  <si>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</si>
  <si>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</si>
  <si>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</si>
  <si>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</si>
  <si>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</si>
  <si>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</si>
  <si>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</si>
  <si>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</si>
  <si>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</si>
  <si>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</si>
  <si>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</si>
  <si>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</si>
  <si>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</si>
  <si>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</si>
  <si>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</si>
  <si>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</si>
  <si>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</si>
  <si>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</si>
  <si>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</si>
  <si>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</si>
  <si>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</si>
  <si>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</si>
  <si>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</si>
  <si>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</si>
  <si>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</si>
  <si>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</si>
  <si>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</si>
  <si>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</si>
  <si>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</si>
  <si>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</si>
  <si>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</si>
  <si>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</si>
  <si>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</si>
  <si>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</si>
  <si>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</si>
  <si>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</si>
  <si>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</si>
  <si>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</si>
  <si>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</si>
  <si>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</si>
  <si>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</si>
  <si>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</si>
  <si>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</si>
  <si>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</si>
  <si>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</si>
  <si>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</si>
  <si>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</si>
  <si>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</si>
  <si>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</si>
  <si>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</si>
  <si>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</si>
  <si>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</si>
  <si>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</si>
  <si>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</si>
  <si>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</si>
  <si>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</si>
  <si>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</si>
  <si>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</si>
  <si>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</si>
  <si>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</si>
  <si>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</si>
  <si>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</si>
  <si>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</si>
  <si>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</si>
  <si>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</si>
  <si>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</si>
  <si>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</si>
  <si>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</si>
  <si>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</si>
  <si>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</si>
  <si>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</si>
  <si>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</si>
  <si>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</si>
  <si>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</si>
  <si>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</si>
  <si>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</si>
  <si>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</si>
  <si>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</si>
  <si>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</si>
  <si>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</si>
  <si>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</si>
  <si>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</si>
  <si>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</si>
  <si>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</si>
  <si>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</si>
  <si>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</si>
  <si>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</si>
  <si>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</si>
  <si>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</si>
  <si>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</si>
  <si>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</si>
  <si>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</si>
  <si>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</si>
  <si>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</si>
  <si>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</si>
  <si>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</si>
  <si>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</si>
  <si>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</si>
  <si>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</si>
  <si>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</si>
  <si>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</si>
  <si>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</si>
  <si>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</si>
  <si>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</si>
  <si>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</si>
  <si>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</si>
  <si>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</si>
  <si>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</si>
  <si>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</si>
  <si>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</si>
  <si>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</si>
  <si>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</si>
  <si>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</si>
  <si>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</si>
  <si>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</si>
  <si>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</si>
  <si>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</si>
  <si>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</si>
  <si>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</si>
  <si>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</si>
  <si>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</si>
  <si>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</si>
  <si>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</si>
  <si>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</si>
  <si>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</si>
  <si>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</si>
  <si>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</si>
  <si>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</si>
  <si>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</si>
  <si>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</si>
  <si>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</si>
  <si>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</si>
  <si>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</si>
  <si>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</si>
  <si>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</si>
  <si>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</si>
  <si>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</si>
  <si>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</si>
  <si>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</si>
  <si>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</si>
  <si>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</si>
  <si>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</si>
  <si>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</si>
  <si>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</si>
  <si>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</si>
  <si>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</si>
  <si>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</si>
  <si>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</si>
  <si>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</si>
  <si>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</si>
  <si>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</si>
  <si>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</si>
  <si>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</si>
  <si>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</si>
  <si>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</si>
  <si>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</si>
  <si>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</si>
  <si>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</si>
  <si>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</si>
  <si>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</si>
  <si>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</si>
  <si>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</si>
  <si>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</si>
  <si>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</si>
  <si>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</si>
  <si>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</si>
  <si>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</si>
  <si>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</si>
  <si>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</si>
  <si>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</si>
  <si>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</si>
  <si>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</si>
  <si>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</si>
  <si>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</si>
  <si>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</si>
  <si>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</si>
  <si>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</si>
  <si>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</si>
  <si>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</si>
  <si>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</si>
  <si>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</si>
  <si>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</si>
  <si>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</si>
  <si>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</si>
  <si>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</si>
  <si>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</si>
  <si>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</si>
  <si>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</si>
  <si>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</si>
  <si>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</si>
  <si>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</si>
  <si>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</si>
  <si>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</si>
  <si>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</si>
  <si>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</si>
  <si>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</si>
  <si>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</si>
  <si>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</si>
  <si>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</si>
  <si>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</si>
  <si>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</si>
  <si>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</si>
  <si>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</si>
  <si>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</si>
  <si>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</si>
  <si>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</si>
  <si>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</si>
  <si>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</si>
  <si>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</si>
  <si>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</si>
  <si>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</si>
  <si>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</si>
  <si>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</si>
  <si>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</si>
  <si>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</si>
  <si>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</si>
  <si>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</si>
  <si>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</si>
  <si>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</si>
  <si>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</si>
  <si>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</si>
  <si>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</si>
  <si>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</si>
  <si>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</si>
  <si>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</si>
  <si>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</si>
  <si>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</si>
  <si>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</si>
  <si>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</si>
  <si>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</si>
  <si>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</si>
  <si>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</si>
  <si>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</si>
  <si>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</si>
  <si>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</si>
  <si>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</si>
  <si>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</si>
  <si>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</si>
  <si>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</si>
  <si>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</si>
  <si>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</si>
  <si>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</si>
  <si>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</si>
  <si>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</si>
  <si>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</si>
  <si>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</si>
  <si>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</si>
  <si>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</si>
  <si>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</si>
  <si>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</si>
  <si>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</si>
  <si>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</si>
  <si>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</si>
  <si>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</si>
  <si>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</si>
  <si>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</si>
  <si>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</si>
  <si>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</si>
  <si>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</si>
  <si>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</si>
  <si>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</si>
  <si>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</si>
  <si>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</si>
  <si>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</si>
  <si>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</si>
  <si>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</si>
  <si>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</si>
  <si>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</si>
  <si>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</si>
  <si>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</si>
  <si>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</si>
  <si>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</si>
  <si>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</si>
  <si>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</si>
  <si>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</si>
  <si>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</si>
  <si>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</si>
  <si>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</si>
  <si>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</si>
  <si>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</si>
  <si>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</si>
  <si>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</si>
  <si>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</si>
  <si>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</si>
  <si>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</si>
  <si>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</si>
  <si>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</si>
  <si>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</si>
  <si>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</si>
  <si>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</si>
  <si>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</si>
  <si>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</si>
  <si>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</si>
  <si>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</si>
  <si>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</si>
  <si>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</si>
  <si>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</si>
  <si>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</si>
  <si>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</si>
  <si>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</si>
  <si>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</si>
  <si>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</si>
  <si>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</si>
  <si>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</si>
  <si>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</si>
  <si>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</si>
  <si>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</si>
  <si>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</si>
  <si>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</si>
  <si>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</si>
  <si>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</si>
  <si>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</si>
  <si>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</si>
  <si>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</si>
  <si>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</si>
  <si>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</si>
  <si>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</si>
  <si>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</si>
  <si>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</si>
  <si>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</si>
  <si>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</si>
  <si>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</si>
  <si>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</si>
  <si>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</si>
  <si>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</si>
  <si>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</si>
  <si>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</si>
  <si>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</si>
  <si>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</si>
  <si>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</si>
  <si>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</si>
  <si>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</si>
  <si>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</si>
  <si>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</si>
  <si>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</si>
  <si>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</si>
  <si>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</si>
  <si>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</si>
  <si>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</si>
  <si>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</si>
  <si>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</si>
  <si>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</si>
  <si>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</si>
  <si>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</si>
  <si>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</si>
  <si>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</si>
  <si>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</si>
  <si>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</si>
  <si>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</si>
  <si>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</si>
  <si>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</si>
  <si>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</si>
  <si>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</si>
  <si>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</si>
  <si>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</si>
  <si>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</si>
  <si>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</si>
  <si>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</si>
  <si>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</si>
  <si>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</si>
  <si>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</si>
  <si>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</si>
  <si>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</si>
  <si>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</si>
  <si>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</si>
  <si>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</si>
  <si>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</si>
  <si>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</si>
  <si>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</si>
  <si>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</si>
  <si>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</si>
  <si>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</si>
  <si>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</si>
  <si>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</si>
  <si>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</si>
  <si>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</si>
  <si>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</si>
  <si>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</si>
  <si>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</si>
  <si>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</si>
  <si>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</si>
  <si>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</si>
  <si>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</si>
  <si>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</si>
  <si>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</si>
  <si>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</si>
  <si>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</si>
  <si>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</si>
  <si>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</si>
  <si>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</si>
  <si>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</si>
  <si>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</si>
  <si>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</si>
  <si>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</si>
  <si>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</si>
  <si>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</si>
  <si>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</si>
  <si>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</si>
  <si>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</si>
  <si>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</si>
  <si>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</si>
  <si>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</si>
  <si>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</si>
  <si>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</si>
  <si>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</si>
  <si>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</si>
  <si>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</si>
  <si>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</si>
  <si>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</si>
  <si>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</si>
  <si>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</si>
  <si>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</si>
  <si>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</si>
  <si>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</si>
  <si>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</si>
  <si>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</si>
  <si>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</si>
  <si>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</si>
  <si>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</si>
  <si>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</si>
  <si>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</si>
  <si>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</si>
  <si>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</si>
  <si>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</si>
  <si>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</si>
  <si>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</si>
  <si>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</si>
  <si>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</si>
  <si>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</si>
  <si>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</si>
  <si>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</si>
  <si>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</si>
  <si>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</si>
  <si>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</si>
  <si>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</si>
  <si>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</si>
  <si>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</si>
  <si>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</si>
  <si>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</si>
  <si>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</si>
  <si>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</si>
  <si>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</si>
  <si>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</si>
  <si>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</si>
  <si>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</si>
  <si>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</si>
  <si>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</si>
  <si>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</si>
  <si>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</si>
  <si>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</si>
  <si>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</si>
  <si>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</si>
  <si>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</si>
  <si>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</si>
  <si>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</si>
  <si>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</si>
  <si>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</si>
  <si>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</si>
  <si>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</si>
  <si>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</si>
  <si>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</si>
  <si>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</si>
  <si>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</si>
  <si>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</si>
  <si>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</si>
  <si>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</si>
  <si>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</si>
  <si>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</si>
  <si>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</si>
  <si>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</si>
  <si>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</si>
  <si>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</si>
  <si>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</si>
  <si>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</si>
  <si>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</si>
  <si>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</si>
  <si>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</si>
  <si>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</si>
  <si>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</si>
  <si>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</si>
  <si>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</si>
  <si>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</si>
  <si>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</si>
  <si>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</si>
  <si>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</si>
  <si>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</si>
  <si>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</si>
  <si>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</si>
  <si>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</si>
  <si>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</si>
  <si>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</si>
  <si>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</si>
  <si>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</si>
  <si>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</si>
  <si>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</si>
  <si>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</si>
  <si>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</si>
  <si>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</si>
  <si>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</si>
  <si>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</si>
  <si>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</si>
  <si>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</si>
  <si>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</si>
  <si>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</si>
  <si>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</si>
  <si>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</si>
  <si>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</si>
  <si>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</si>
  <si>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</si>
  <si>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</si>
  <si>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</si>
  <si>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</si>
  <si>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</si>
  <si>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</si>
  <si>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</si>
  <si>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</si>
  <si>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</si>
  <si>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</si>
  <si>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</si>
  <si>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</si>
  <si>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</si>
  <si>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</si>
  <si>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</si>
  <si>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</si>
  <si>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</si>
  <si>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</si>
  <si>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</si>
  <si>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</si>
  <si>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</si>
  <si>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</si>
  <si>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</si>
  <si>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</si>
  <si>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</si>
  <si>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</si>
  <si>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</si>
  <si>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</si>
  <si>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</si>
  <si>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</si>
  <si>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</si>
  <si>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</si>
  <si>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</si>
  <si>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</si>
  <si>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</si>
  <si>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</si>
  <si>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</si>
  <si>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</si>
  <si>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</si>
  <si>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</si>
  <si>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</si>
  <si>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</si>
  <si>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</si>
  <si>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</si>
  <si>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</si>
  <si>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</si>
  <si>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</si>
  <si>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</si>
  <si>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</si>
  <si>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</si>
  <si>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</si>
  <si>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</si>
  <si>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</si>
  <si>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</si>
  <si>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</si>
  <si>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</si>
  <si>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</si>
  <si>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</si>
  <si>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</si>
  <si>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</si>
  <si>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</si>
  <si>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</si>
  <si>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</si>
  <si>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</si>
  <si>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</si>
  <si>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</si>
  <si>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</si>
  <si>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</si>
  <si>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</si>
  <si>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</si>
  <si>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</si>
  <si>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</si>
  <si>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</si>
  <si>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</si>
  <si>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</si>
  <si>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</si>
  <si>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</si>
  <si>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</si>
  <si>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</si>
  <si>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</si>
  <si>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</si>
  <si>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</si>
  <si>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</si>
  <si>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</si>
  <si>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</si>
  <si>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</si>
  <si>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</si>
  <si>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</si>
  <si>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</si>
  <si>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</si>
  <si>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</si>
  <si>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</si>
  <si>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</si>
  <si>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</si>
  <si>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</si>
  <si>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</si>
  <si>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</si>
  <si>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</si>
  <si>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</si>
  <si>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</si>
  <si>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</si>
  <si>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</si>
  <si>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</si>
  <si>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</si>
  <si>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</si>
  <si>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</si>
  <si>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</si>
  <si>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</si>
  <si>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</si>
  <si>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</si>
  <si>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</si>
  <si>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</si>
  <si>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</si>
  <si>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</si>
  <si>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</si>
  <si>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</si>
  <si>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</si>
  <si>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</si>
  <si>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</si>
  <si>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</si>
  <si>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</si>
  <si>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</si>
  <si>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</si>
  <si>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</si>
  <si>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</si>
  <si>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</si>
  <si>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</si>
  <si>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</si>
  <si>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</si>
  <si>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</si>
  <si>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</si>
  <si>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</si>
  <si>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</si>
  <si>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</si>
  <si>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</si>
  <si>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</si>
  <si>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</si>
  <si>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</si>
  <si>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</si>
  <si>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</si>
  <si>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</si>
  <si>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</si>
  <si>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</si>
  <si>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</si>
  <si>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</si>
  <si>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</si>
  <si>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</si>
  <si>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</si>
  <si>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</si>
  <si>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</si>
  <si>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</si>
  <si>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</si>
  <si>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</si>
  <si>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</si>
  <si>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</si>
  <si>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</si>
  <si>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</si>
  <si>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</si>
  <si>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</si>
  <si>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</si>
  <si>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</si>
  <si>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</si>
  <si>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</si>
  <si>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</si>
  <si>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</si>
  <si>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</si>
  <si>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</si>
  <si>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</si>
  <si>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</si>
  <si>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</si>
  <si>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</si>
  <si>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</si>
  <si>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</si>
  <si>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</si>
  <si>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</si>
  <si>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</si>
  <si>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</si>
  <si>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</si>
  <si>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</si>
  <si>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</si>
  <si>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</si>
  <si>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</si>
  <si>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</si>
  <si>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</si>
  <si>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</si>
  <si>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</si>
  <si>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</si>
  <si>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</si>
  <si>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</si>
  <si>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</si>
  <si>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</si>
  <si>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</si>
  <si>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</si>
  <si>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</si>
  <si>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</si>
  <si>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</si>
  <si>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</si>
  <si>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</si>
  <si>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</si>
  <si>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</si>
  <si>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</si>
  <si>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</si>
  <si>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</si>
  <si>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</si>
  <si>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</si>
  <si>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</si>
  <si>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</si>
  <si>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</si>
  <si>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</si>
  <si>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</si>
  <si>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</si>
  <si>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</si>
  <si>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</si>
  <si>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</si>
  <si>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</si>
  <si>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</si>
  <si>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</si>
  <si>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</si>
  <si>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</si>
  <si>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</si>
  <si>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</si>
  <si>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</si>
  <si>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</si>
  <si>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</si>
  <si>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</si>
  <si>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</si>
  <si>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</si>
  <si>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</si>
  <si>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</si>
  <si>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</si>
  <si>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</si>
  <si>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</si>
  <si>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</si>
  <si>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</si>
  <si>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</si>
  <si>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</si>
  <si>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</si>
  <si>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</si>
  <si>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</si>
  <si>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</si>
  <si>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</si>
  <si>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</si>
  <si>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</si>
  <si>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</si>
  <si>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</si>
  <si>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</si>
  <si>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</si>
  <si>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</si>
  <si>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</si>
  <si>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</si>
  <si>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</si>
  <si>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</si>
  <si>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</si>
  <si>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</si>
  <si>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</si>
  <si>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</si>
  <si>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</si>
  <si>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</si>
  <si>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</si>
  <si>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</si>
  <si>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</si>
  <si>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</si>
  <si>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</si>
  <si>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</si>
  <si>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</si>
  <si>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</si>
  <si>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</si>
  <si>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</si>
  <si>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</si>
  <si>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</si>
  <si>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</si>
  <si>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</si>
  <si>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</si>
  <si>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</si>
  <si>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</si>
  <si>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</si>
  <si>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</si>
  <si>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</si>
  <si>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</si>
  <si>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</si>
  <si>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</si>
  <si>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</si>
  <si>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</si>
  <si>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</si>
  <si>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</si>
  <si>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</si>
  <si>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</si>
  <si>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</si>
  <si>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</si>
  <si>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</si>
  <si>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</si>
  <si>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</si>
  <si>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</si>
  <si>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</si>
  <si>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</si>
  <si>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</si>
  <si>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</si>
  <si>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</si>
  <si>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</si>
  <si>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</si>
  <si>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</si>
  <si>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</si>
  <si>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</si>
  <si>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</si>
  <si>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</si>
  <si>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</si>
  <si>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</si>
  <si>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</si>
  <si>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</si>
  <si>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</si>
  <si>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</si>
  <si>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</si>
  <si>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</si>
  <si>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</si>
  <si>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</si>
  <si>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</si>
  <si>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</si>
  <si>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</si>
  <si>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</si>
  <si>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</si>
  <si>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</si>
  <si>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</si>
  <si>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</si>
  <si>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</si>
  <si>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</si>
  <si>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</si>
  <si>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</si>
  <si>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</si>
  <si>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</si>
  <si>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</si>
  <si>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</si>
  <si>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</si>
  <si>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</si>
  <si>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</si>
  <si>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</si>
  <si>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</si>
  <si>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</si>
  <si>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</si>
  <si>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</si>
  <si>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</si>
  <si>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</si>
  <si>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</si>
  <si>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</si>
  <si>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</si>
  <si>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</si>
  <si>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</si>
  <si>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</si>
  <si>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</si>
  <si>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</si>
  <si>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</si>
  <si>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</si>
  <si>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</si>
  <si>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</si>
  <si>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</si>
  <si>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</si>
  <si>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</si>
  <si>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</si>
  <si>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</si>
  <si>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</si>
  <si>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</si>
  <si>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</si>
  <si>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</si>
  <si>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</si>
  <si>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</si>
  <si>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</si>
  <si>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</si>
  <si>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</si>
  <si>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</si>
  <si>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</si>
  <si>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</si>
  <si>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</si>
  <si>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</si>
  <si>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</si>
  <si>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</si>
  <si>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</si>
  <si>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</si>
  <si>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</si>
  <si>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</si>
  <si>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</si>
  <si>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</si>
  <si>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</si>
  <si>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</si>
  <si>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</si>
  <si>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</si>
  <si>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</si>
  <si>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</si>
  <si>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</si>
  <si>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</si>
  <si>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</si>
  <si>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</si>
  <si>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</si>
  <si>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</si>
  <si>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</si>
  <si>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</si>
  <si>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</si>
  <si>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</si>
  <si>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</si>
  <si>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</si>
  <si>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</si>
  <si>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</si>
  <si>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</si>
  <si>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</si>
  <si>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</si>
  <si>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</si>
  <si>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</si>
  <si>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</si>
  <si>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</si>
  <si>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</si>
  <si>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</si>
  <si>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</si>
  <si>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</si>
  <si>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</si>
  <si>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</si>
  <si>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</si>
  <si>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</si>
  <si>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</si>
  <si>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</si>
  <si>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</si>
  <si>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</si>
  <si>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</si>
  <si>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</si>
  <si>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</si>
  <si>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</si>
  <si>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</si>
  <si>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</si>
  <si>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</si>
  <si>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</si>
  <si>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</si>
  <si>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</si>
  <si>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</si>
  <si>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</si>
  <si>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</si>
  <si>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</si>
  <si>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</si>
  <si>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</si>
  <si>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</si>
  <si>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</si>
  <si>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</si>
  <si>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</si>
  <si>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</si>
  <si>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</si>
  <si>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</si>
  <si>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</si>
  <si>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</si>
  <si>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</si>
  <si>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</si>
  <si>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</si>
  <si>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</si>
  <si>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</si>
  <si>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</si>
  <si>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</si>
  <si>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</si>
  <si>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</si>
  <si>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</si>
  <si>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</si>
  <si>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</si>
  <si>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</si>
  <si>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</si>
  <si>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</si>
  <si>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</si>
  <si>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</si>
  <si>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</si>
  <si>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</si>
  <si>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</si>
  <si>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</si>
  <si>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</si>
  <si>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</si>
  <si>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</si>
  <si>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</si>
  <si>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</si>
  <si>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</si>
  <si>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</si>
  <si>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</si>
  <si>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</si>
  <si>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</si>
  <si>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</si>
  <si>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</si>
  <si>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</si>
  <si>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</si>
  <si>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</si>
  <si>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</si>
  <si>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</si>
  <si>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</si>
  <si>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</si>
  <si>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</si>
  <si>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</si>
  <si>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</si>
  <si>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</si>
  <si>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</si>
  <si>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</si>
  <si>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</si>
  <si>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</si>
  <si>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</si>
  <si>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</si>
  <si>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</si>
  <si>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</si>
  <si>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</si>
  <si>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</si>
  <si>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</si>
  <si>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</si>
  <si>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</si>
  <si>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</si>
  <si>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</si>
  <si>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</si>
  <si>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</si>
  <si>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</si>
  <si>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</si>
  <si>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</si>
  <si>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</si>
  <si>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</si>
  <si>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</si>
  <si>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</si>
  <si>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</si>
  <si>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</si>
  <si>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</si>
  <si>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</si>
  <si>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</si>
  <si>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</si>
  <si>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</si>
  <si>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</si>
  <si>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</si>
  <si>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</si>
  <si>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</si>
  <si>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</si>
  <si>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</si>
  <si>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</si>
  <si>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</si>
  <si>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</si>
  <si>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</si>
  <si>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</si>
  <si>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</si>
  <si>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</si>
  <si>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</si>
  <si>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</si>
  <si>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</si>
  <si>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</si>
  <si>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</si>
  <si>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</si>
  <si>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</si>
  <si>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</si>
  <si>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</si>
  <si>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</si>
  <si>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</si>
  <si>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</si>
  <si>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</si>
  <si>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</si>
  <si>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</si>
  <si>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</si>
  <si>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</si>
  <si>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</si>
  <si>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</si>
  <si>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</si>
  <si>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</si>
  <si>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</si>
  <si>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</si>
  <si>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</si>
  <si>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</si>
  <si>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</si>
  <si>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</si>
  <si>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</si>
  <si>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</si>
  <si>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</si>
  <si>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</si>
  <si>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</si>
  <si>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</si>
  <si>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</si>
  <si>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</si>
  <si>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</si>
  <si>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</si>
  <si>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</si>
  <si>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</si>
  <si>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</si>
  <si>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</si>
  <si>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</si>
  <si>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</si>
  <si>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</si>
  <si>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</si>
  <si>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</si>
  <si>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</si>
  <si>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</si>
  <si>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</si>
  <si>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</si>
  <si>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</si>
  <si>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</si>
  <si>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</si>
  <si>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</si>
  <si>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</si>
  <si>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</si>
  <si>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</si>
  <si>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</si>
  <si>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</si>
  <si>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</si>
  <si>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</si>
  <si>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</si>
  <si>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</si>
  <si>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</si>
  <si>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</si>
  <si>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</si>
  <si>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</si>
  <si>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</si>
  <si>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</si>
  <si>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</si>
  <si>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</si>
  <si>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</si>
  <si>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</si>
  <si>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</si>
  <si>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</si>
  <si>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</si>
  <si>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</si>
  <si>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</si>
  <si>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</si>
  <si>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</si>
  <si>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</si>
  <si>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</si>
  <si>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</si>
  <si>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</si>
  <si>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</si>
  <si>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</si>
  <si>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</si>
  <si>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</si>
  <si>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</si>
  <si>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</si>
  <si>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</si>
  <si>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</si>
  <si>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</si>
  <si>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</si>
  <si>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</si>
  <si>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</si>
  <si>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</si>
  <si>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</si>
  <si>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</si>
  <si>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</si>
  <si>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</si>
  <si>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</si>
  <si>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</si>
  <si>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</si>
  <si>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</si>
  <si>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</si>
  <si>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</si>
  <si>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</si>
  <si>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</si>
  <si>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</si>
  <si>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</si>
  <si>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</si>
  <si>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</si>
  <si>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</si>
  <si>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</si>
  <si>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</si>
  <si>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</si>
  <si>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</si>
  <si>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</si>
  <si>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</si>
  <si>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</si>
  <si>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</si>
  <si>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</si>
  <si>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</si>
  <si>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</si>
  <si>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</si>
  <si>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</si>
  <si>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</si>
  <si>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</si>
  <si>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</si>
  <si>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</si>
  <si>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</si>
  <si>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</si>
  <si>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</si>
  <si>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</si>
  <si>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</si>
  <si>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</si>
  <si>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</si>
  <si>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</si>
  <si>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</si>
  <si>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</si>
  <si>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</si>
  <si>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</si>
  <si>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</si>
  <si>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</si>
  <si>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</si>
  <si>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</si>
  <si>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</si>
  <si>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</si>
  <si>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</si>
  <si>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</si>
  <si>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</si>
  <si>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</si>
  <si>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</si>
  <si>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</si>
  <si>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</si>
  <si>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</si>
  <si>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</si>
  <si>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</si>
  <si>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</si>
  <si>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</si>
  <si>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</si>
  <si>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</si>
  <si>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</si>
  <si>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</si>
  <si>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</si>
  <si>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</si>
  <si>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</si>
  <si>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</si>
  <si>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</si>
  <si>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</si>
  <si>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</si>
  <si>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</si>
  <si>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</si>
  <si>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</si>
  <si>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</si>
  <si>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</si>
  <si>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</si>
  <si>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</si>
  <si>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</si>
  <si>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</si>
  <si>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</si>
  <si>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</si>
  <si>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</si>
  <si>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</si>
  <si>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</si>
  <si>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</si>
  <si>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</si>
  <si>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</si>
  <si>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</si>
  <si>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</si>
  <si>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</si>
  <si>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</si>
  <si>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</si>
  <si>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</si>
  <si>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</si>
  <si>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</si>
  <si>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</si>
  <si>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</si>
  <si>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</si>
  <si>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</si>
  <si>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</si>
  <si>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</si>
  <si>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</si>
  <si>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</si>
  <si>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</si>
  <si>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</si>
  <si>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</si>
  <si>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</si>
  <si>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</si>
  <si>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</si>
  <si>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</si>
  <si>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</si>
  <si>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</si>
  <si>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</si>
  <si>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</si>
  <si>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</si>
  <si>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</si>
  <si>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</si>
  <si>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</si>
  <si>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</si>
  <si>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</si>
  <si>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</si>
  <si>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</si>
  <si>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</si>
  <si>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</si>
  <si>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</si>
  <si>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</si>
  <si>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</si>
  <si>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</si>
  <si>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</si>
  <si>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</si>
  <si>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</si>
  <si>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</si>
  <si>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</si>
  <si>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</si>
  <si>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</si>
  <si>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</si>
  <si>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</si>
  <si>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</si>
  <si>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</si>
  <si>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</si>
  <si>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</si>
  <si>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</si>
  <si>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</si>
  <si>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</si>
  <si>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</si>
  <si>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</si>
  <si>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</si>
  <si>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</si>
  <si>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</si>
  <si>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</si>
  <si>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</si>
  <si>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</si>
  <si>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</si>
  <si>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</si>
  <si>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</si>
  <si>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</si>
  <si>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</si>
  <si>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</si>
  <si>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</si>
  <si>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</si>
  <si>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</si>
  <si>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</si>
  <si>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</si>
  <si>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</si>
  <si>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</si>
  <si>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</si>
  <si>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</si>
  <si>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</si>
  <si>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</si>
  <si>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</si>
  <si>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</si>
  <si>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</si>
  <si>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</si>
  <si>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</si>
  <si>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</si>
  <si>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</si>
  <si>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</si>
  <si>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</si>
  <si>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</si>
  <si>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</si>
  <si>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</si>
  <si>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</si>
  <si>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</si>
  <si>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</si>
  <si>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</si>
  <si>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</si>
  <si>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</si>
  <si>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</si>
  <si>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</si>
  <si>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</si>
  <si>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</si>
  <si>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</si>
  <si>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</si>
  <si>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</si>
  <si>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</si>
  <si>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</si>
  <si>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</si>
  <si>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</si>
  <si>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</si>
  <si>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</si>
  <si>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</si>
  <si>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</si>
  <si>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</si>
  <si>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</si>
  <si>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</si>
  <si>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</si>
  <si>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</si>
  <si>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</si>
  <si>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</si>
  <si>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</si>
  <si>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</si>
  <si>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</si>
  <si>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</si>
  <si>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</si>
  <si>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</si>
  <si>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</si>
  <si>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</si>
  <si>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</si>
  <si>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</si>
  <si>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</si>
  <si>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</si>
  <si>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</si>
  <si>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</si>
  <si>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</si>
  <si>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</si>
  <si>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</si>
  <si>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</si>
  <si>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</si>
  <si>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</si>
  <si>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</si>
  <si>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</si>
  <si>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</si>
  <si>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</si>
  <si>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</si>
  <si>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</si>
  <si>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</si>
  <si>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</si>
  <si>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</si>
  <si>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</si>
  <si>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</si>
  <si>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</si>
  <si>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</si>
  <si>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</si>
  <si>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</si>
  <si>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</si>
  <si>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</si>
  <si>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</si>
  <si>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</si>
  <si>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</si>
  <si>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</si>
  <si>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</si>
  <si>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</si>
  <si>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</si>
  <si>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</si>
  <si>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</si>
  <si>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</si>
  <si>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</si>
  <si>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</si>
  <si>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</si>
  <si>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</si>
  <si>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</si>
  <si>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</si>
  <si>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</si>
  <si>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</si>
  <si>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</si>
  <si>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</si>
  <si>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</si>
  <si>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</si>
  <si>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</si>
  <si>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</si>
  <si>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</si>
  <si>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</si>
  <si>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</si>
  <si>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</si>
  <si>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</si>
  <si>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</si>
  <si>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</si>
  <si>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</si>
  <si>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</si>
  <si>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</si>
  <si>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</si>
  <si>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</si>
  <si>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</si>
  <si>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</si>
  <si>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</si>
  <si>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</si>
  <si>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</si>
  <si>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</si>
  <si>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</si>
  <si>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</si>
  <si>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</si>
  <si>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</si>
  <si>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</si>
  <si>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</si>
  <si>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</si>
  <si>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</si>
  <si>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</si>
  <si>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</si>
  <si>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</si>
  <si>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</si>
  <si>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</si>
  <si>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</si>
  <si>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</si>
  <si>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</si>
  <si>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</si>
  <si>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[0.370629]</t>
  </si>
  <si>
    <t>0 [0.775095]</t>
  </si>
  <si>
    <t>0 [1.177705]</t>
  </si>
  <si>
    <t>0 [1.575822]</t>
  </si>
  <si>
    <t>0 [1.992628]</t>
  </si>
  <si>
    <t>0 [2.398418]</t>
  </si>
  <si>
    <t>0 [2.794723]</t>
  </si>
  <si>
    <t>0 [3.196336]</t>
  </si>
  <si>
    <t>0 [3.606409]</t>
  </si>
  <si>
    <t>0 [4.017769]</t>
  </si>
  <si>
    <t>0 [4.419039]</t>
  </si>
  <si>
    <t>0 [4.831019]</t>
  </si>
  <si>
    <t>0 [5.227927]</t>
  </si>
  <si>
    <t>0 [5.642644]</t>
  </si>
  <si>
    <t>0 [6.058793]</t>
  </si>
  <si>
    <t>0 [6.449511]</t>
  </si>
  <si>
    <t>0 [6.868276]</t>
  </si>
  <si>
    <t>0 [7.260102]</t>
  </si>
  <si>
    <t>0 [7.670736]</t>
  </si>
  <si>
    <t>0 [8.087851]</t>
  </si>
  <si>
    <t>0 [8.478974]</t>
  </si>
  <si>
    <t>0 [8.886900]</t>
  </si>
  <si>
    <t>0 [9.302376]</t>
  </si>
  <si>
    <t>0 [9.701869]</t>
  </si>
  <si>
    <t>vision^U2eS^1^1^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</si>
</sst>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56.495040000000003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4.7723100000000001</c:v>
                </c:pt>
                <c:pt idx="1">
                  <c:v>3.3336500000000004</c:v>
                </c:pt>
              </c:numCache>
            </c:numRef>
          </c:xVal>
          <c:yVal>
            <c:numRef>
              <c:f>info!$W$2:$W$3</c:f>
              <c:numCache>
                <c:formatCode>0.00</c:formatCode>
                <c:ptCount val="2"/>
                <c:pt idx="0">
                  <c:v>27.542100000000001</c:v>
                </c:pt>
                <c:pt idx="1">
                  <c:v>50.139000000000003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3.8911199999999999</c:v>
                </c:pt>
                <c:pt idx="1">
                  <c:v>3.4437499999999996</c:v>
                </c:pt>
              </c:numCache>
            </c:numRef>
          </c:xVal>
          <c:yVal>
            <c:numRef>
              <c:f>info!$W$15:$W$16</c:f>
              <c:numCache>
                <c:formatCode>0.00_ </c:formatCode>
                <c:ptCount val="2"/>
                <c:pt idx="0">
                  <c:v>16.046399999999998</c:v>
                </c:pt>
                <c:pt idx="1">
                  <c:v>50.426000000000002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3.7646168000000007</c:v>
                </c:pt>
              </c:numCache>
            </c:numRef>
          </c:xVal>
          <c:yVal>
            <c:numRef>
              <c:f>info!$N$9</c:f>
              <c:numCache>
                <c:formatCode>0.0</c:formatCode>
                <c:ptCount val="1"/>
                <c:pt idx="0">
                  <c:v>35.664732000000001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39.115299999999998</c:v>
                </c:pt>
                <c:pt idx="1">
                  <c:v>27.4221</c:v>
                </c:pt>
                <c:pt idx="2">
                  <c:v>26.611000000000001</c:v>
                </c:pt>
                <c:pt idx="3">
                  <c:v>32.507300000000001</c:v>
                </c:pt>
                <c:pt idx="4">
                  <c:v>34.818100000000001</c:v>
                </c:pt>
                <c:pt idx="5">
                  <c:v>65.433199999999999</c:v>
                </c:pt>
                <c:pt idx="6">
                  <c:v>26.052199999999999</c:v>
                </c:pt>
                <c:pt idx="7">
                  <c:v>55.605400000000003</c:v>
                </c:pt>
                <c:pt idx="8">
                  <c:v>14.4841</c:v>
                </c:pt>
                <c:pt idx="9">
                  <c:v>27.685300000000002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56.495040000000003</c:v>
                </c:pt>
                <c:pt idx="1">
                  <c:v>56.495040000000003</c:v>
                </c:pt>
                <c:pt idx="2">
                  <c:v>0</c:v>
                </c:pt>
              </c:numCache>
            </c:numRef>
          </c:xVal>
          <c:yVal>
            <c:numRef>
              <c:f>'R2'!$I$5:$I$7</c:f>
              <c:numCache>
                <c:formatCode>0.0_ </c:formatCode>
                <c:ptCount val="3"/>
                <c:pt idx="0">
                  <c:v>0</c:v>
                </c:pt>
                <c:pt idx="1">
                  <c:v>61.507433527177554</c:v>
                </c:pt>
                <c:pt idx="2">
                  <c:v>61.507433527177554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57.93933333333333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1.7381800000000001</c:v>
                </c:pt>
                <c:pt idx="1">
                  <c:v>1.7381800000000001</c:v>
                </c:pt>
                <c:pt idx="2">
                  <c:v>0</c:v>
                </c:pt>
              </c:numCache>
            </c:numRef>
          </c:xVal>
          <c:yVal>
            <c:numRef>
              <c:f>'R3'!$I$6:$I$8</c:f>
              <c:numCache>
                <c:formatCode>0.0_ </c:formatCode>
                <c:ptCount val="3"/>
                <c:pt idx="0">
                  <c:v>0</c:v>
                </c:pt>
                <c:pt idx="1">
                  <c:v>41.021760710487797</c:v>
                </c:pt>
                <c:pt idx="2">
                  <c:v>41.021760710487797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-6.824331759881118</c:v>
                </c:pt>
              </c:numCache>
            </c:numRef>
          </c:xVal>
          <c:yVal>
            <c:numRef>
              <c:f>'R'!$I$4</c:f>
              <c:numCache>
                <c:formatCode>0.00_ </c:formatCode>
                <c:ptCount val="1"/>
                <c:pt idx="0">
                  <c:v>6.950718124717413E-2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56.50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56.495040000000003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4.7723100000000001</c:v>
                </c:pt>
                <c:pt idx="1">
                  <c:v>3.3336500000000004</c:v>
                </c:pt>
              </c:numCache>
            </c:numRef>
          </c:xVal>
          <c:yVal>
            <c:numRef>
              <c:f>info!$W$2:$W$3</c:f>
              <c:numCache>
                <c:formatCode>0.00</c:formatCode>
                <c:ptCount val="2"/>
                <c:pt idx="0">
                  <c:v>27.542100000000001</c:v>
                </c:pt>
                <c:pt idx="1">
                  <c:v>50.139000000000003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3.8911199999999999</c:v>
                </c:pt>
                <c:pt idx="1">
                  <c:v>3.4437499999999996</c:v>
                </c:pt>
              </c:numCache>
            </c:numRef>
          </c:xVal>
          <c:yVal>
            <c:numRef>
              <c:f>info!$W$15:$W$16</c:f>
              <c:numCache>
                <c:formatCode>0.00_ </c:formatCode>
                <c:ptCount val="2"/>
                <c:pt idx="0">
                  <c:v>16.046399999999998</c:v>
                </c:pt>
                <c:pt idx="1">
                  <c:v>50.426000000000002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3.7646168000000007</c:v>
                </c:pt>
              </c:numCache>
            </c:numRef>
          </c:xVal>
          <c:yVal>
            <c:numRef>
              <c:f>info!$N$9</c:f>
              <c:numCache>
                <c:formatCode>0.0</c:formatCode>
                <c:ptCount val="1"/>
                <c:pt idx="0">
                  <c:v>35.664732000000001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39.115299999999998</c:v>
                </c:pt>
                <c:pt idx="1">
                  <c:v>27.4221</c:v>
                </c:pt>
                <c:pt idx="2">
                  <c:v>26.611000000000001</c:v>
                </c:pt>
                <c:pt idx="3">
                  <c:v>32.507300000000001</c:v>
                </c:pt>
                <c:pt idx="4">
                  <c:v>34.818100000000001</c:v>
                </c:pt>
                <c:pt idx="5">
                  <c:v>65.433199999999999</c:v>
                </c:pt>
                <c:pt idx="6">
                  <c:v>26.052199999999999</c:v>
                </c:pt>
                <c:pt idx="7">
                  <c:v>55.605400000000003</c:v>
                </c:pt>
                <c:pt idx="8">
                  <c:v>14.4841</c:v>
                </c:pt>
                <c:pt idx="9">
                  <c:v>27.685300000000002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56.495040000000003</c:v>
                </c:pt>
                <c:pt idx="1">
                  <c:v>56.495040000000003</c:v>
                </c:pt>
                <c:pt idx="2">
                  <c:v>0</c:v>
                </c:pt>
              </c:numCache>
            </c:numRef>
          </c:xVal>
          <c:yVal>
            <c:numRef>
              <c:f>'R2'!$I$5:$I$7</c:f>
              <c:numCache>
                <c:formatCode>0.0_ </c:formatCode>
                <c:ptCount val="3"/>
                <c:pt idx="0">
                  <c:v>0</c:v>
                </c:pt>
                <c:pt idx="1">
                  <c:v>61.507433527177554</c:v>
                </c:pt>
                <c:pt idx="2">
                  <c:v>61.507433527177554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57.93933333333333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1.7381800000000001</c:v>
                </c:pt>
                <c:pt idx="1">
                  <c:v>1.7381800000000001</c:v>
                </c:pt>
                <c:pt idx="2">
                  <c:v>0</c:v>
                </c:pt>
              </c:numCache>
            </c:numRef>
          </c:xVal>
          <c:yVal>
            <c:numRef>
              <c:f>'R3'!$I$6:$I$8</c:f>
              <c:numCache>
                <c:formatCode>0.0_ </c:formatCode>
                <c:ptCount val="3"/>
                <c:pt idx="0">
                  <c:v>0</c:v>
                </c:pt>
                <c:pt idx="1">
                  <c:v>41.021760710487797</c:v>
                </c:pt>
                <c:pt idx="2">
                  <c:v>41.021760710487797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-6.824331759881118</c:v>
                </c:pt>
              </c:numCache>
            </c:numRef>
          </c:xVal>
          <c:yVal>
            <c:numRef>
              <c:f>'R'!$I$4</c:f>
              <c:numCache>
                <c:formatCode>0.00_ </c:formatCode>
                <c:ptCount val="1"/>
                <c:pt idx="0">
                  <c:v>6.950718124717413E-2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FT!$J$2:$J$2000</c:f>
              <c:numCache>
                <c:formatCode>General</c:formatCode>
                <c:ptCount val="1999"/>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4.8329599999999999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4.8329599999999999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4.8329599999999999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4.8329599999999999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4.8329599999999999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4.8329599999999999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4.8329599999999999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4.8329599999999999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4.8329599999999999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4.8329599999999999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4.8329599999999999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4.8329599999999999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4.8329599999999999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4.8329599999999999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4.8329599999999999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4.8329599999999999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4.8329599999999999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4.8329599999999999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4.8329599999999999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4.8329599999999999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4.8329599999999999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4.8329599999999999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4.8329599999999999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4.8329599999999999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FT!$K$2:$K$2000</c:f>
              <c:numCache>
                <c:formatCode>General</c:formatCode>
                <c:ptCount val="1999"/>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28.349299999999999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28.349299999999999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28.349299999999999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28.349299999999999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28.349299999999999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28.349299999999999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28.349299999999999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28.349299999999999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28.349299999999999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28.349299999999999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28.349299999999999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28.349299999999999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28.349299999999999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28.349299999999999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28.349299999999999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28.349299999999999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28.349299999999999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28.349299999999999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28.349299999999999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28.349299999999999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28.349299999999999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28.349299999999999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28.349299999999999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28.349299999999999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FT!$L$2:$L$2000</c:f>
              <c:numCache>
                <c:formatCode>General</c:formatCode>
                <c:ptCount val="1999"/>
                <c:pt idx="0">
                  <c:v>5.8658254982453819</c:v>
                </c:pt>
                <c:pt idx="1">
                  <c:v>5.7712302847048917</c:v>
                </c:pt>
                <c:pt idx="2">
                  <c:v>5.5870700196714331</c:v>
                </c:pt>
                <c:pt idx="3">
                  <c:v>5.4008569791268703</c:v>
                </c:pt>
                <c:pt idx="4">
                  <c:v>5.0276022063885142</c:v>
                </c:pt>
                <c:pt idx="5">
                  <c:v>4.587664491231001</c:v>
                </c:pt>
                <c:pt idx="6">
                  <c:v>4.1741878354116899</c:v>
                </c:pt>
                <c:pt idx="7">
                  <c:v>4.123851230494048</c:v>
                </c:pt>
                <c:pt idx="8">
                  <c:v>4.7522596748661483</c:v>
                </c:pt>
                <c:pt idx="9">
                  <c:v>5.8030332929270152</c:v>
                </c:pt>
                <c:pt idx="10">
                  <c:v>7.3814605750573294</c:v>
                </c:pt>
                <c:pt idx="11">
                  <c:v>9.6394979048761762</c:v>
                </c:pt>
                <c:pt idx="12">
                  <c:v>10.349528601147883</c:v>
                </c:pt>
                <c:pt idx="13">
                  <c:v>11.201468037217039</c:v>
                </c:pt>
                <c:pt idx="14">
                  <c:v>12.070893914841694</c:v>
                </c:pt>
                <c:pt idx="15">
                  <c:v>12.959092905471143</c:v>
                </c:pt>
                <c:pt idx="16">
                  <c:v>13.7185614953439</c:v>
                </c:pt>
                <c:pt idx="17">
                  <c:v>14.35352625937835</c:v>
                </c:pt>
                <c:pt idx="18">
                  <c:v>14.642758620689657</c:v>
                </c:pt>
                <c:pt idx="19">
                  <c:v>14.739904546213637</c:v>
                </c:pt>
                <c:pt idx="20">
                  <c:v>14.918933675164983</c:v>
                </c:pt>
                <c:pt idx="21">
                  <c:v>15.040271174238447</c:v>
                </c:pt>
                <c:pt idx="22">
                  <c:v>15.108799345841094</c:v>
                </c:pt>
                <c:pt idx="23">
                  <c:v>15.281161620489964</c:v>
                </c:pt>
                <c:pt idx="24">
                  <c:v>15.486654526454432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1.7031311410978647E-2</c:v>
                </c:pt>
                <c:pt idx="7">
                  <c:v>0</c:v>
                </c:pt>
                <c:pt idx="8">
                  <c:v>2.8254519848028296E-2</c:v>
                </c:pt>
                <c:pt idx="9">
                  <c:v>0</c:v>
                </c:pt>
                <c:pt idx="10">
                  <c:v>0</c:v>
                </c:pt>
                <c:pt idx="11">
                  <c:v>3.4805122494432073E-2</c:v>
                </c:pt>
                <c:pt idx="12">
                  <c:v>0</c:v>
                </c:pt>
                <c:pt idx="13">
                  <c:v>3.4761234115026858E-2</c:v>
                </c:pt>
                <c:pt idx="14">
                  <c:v>0</c:v>
                </c:pt>
                <c:pt idx="15">
                  <c:v>0</c:v>
                </c:pt>
                <c:pt idx="16">
                  <c:v>3.6420804401938955E-2</c:v>
                </c:pt>
                <c:pt idx="17">
                  <c:v>0</c:v>
                </c:pt>
                <c:pt idx="18">
                  <c:v>0</c:v>
                </c:pt>
                <c:pt idx="19">
                  <c:v>4.5722520634088819E-2</c:v>
                </c:pt>
                <c:pt idx="20">
                  <c:v>0</c:v>
                </c:pt>
                <c:pt idx="21">
                  <c:v>5.3714135988471107E-2</c:v>
                </c:pt>
                <c:pt idx="22">
                  <c:v>0</c:v>
                </c:pt>
                <c:pt idx="23">
                  <c:v>0</c:v>
                </c:pt>
                <c:pt idx="24">
                  <c:v>5.450019651513166E-2</c:v>
                </c:pt>
                <c:pt idx="25">
                  <c:v>0</c:v>
                </c:pt>
                <c:pt idx="26">
                  <c:v>6.1181710991746366E-2</c:v>
                </c:pt>
                <c:pt idx="27">
                  <c:v>0</c:v>
                </c:pt>
                <c:pt idx="28">
                  <c:v>0</c:v>
                </c:pt>
                <c:pt idx="29">
                  <c:v>9.354120267260578E-2</c:v>
                </c:pt>
                <c:pt idx="30">
                  <c:v>0</c:v>
                </c:pt>
                <c:pt idx="31">
                  <c:v>9.5200772959517885E-2</c:v>
                </c:pt>
                <c:pt idx="32">
                  <c:v>0</c:v>
                </c:pt>
                <c:pt idx="33">
                  <c:v>0</c:v>
                </c:pt>
                <c:pt idx="34">
                  <c:v>0.10699168085942617</c:v>
                </c:pt>
                <c:pt idx="35">
                  <c:v>0</c:v>
                </c:pt>
                <c:pt idx="36">
                  <c:v>0</c:v>
                </c:pt>
                <c:pt idx="37">
                  <c:v>9.5069762871741126E-2</c:v>
                </c:pt>
                <c:pt idx="38">
                  <c:v>0</c:v>
                </c:pt>
                <c:pt idx="39">
                  <c:v>0.14336859688195991</c:v>
                </c:pt>
                <c:pt idx="40">
                  <c:v>0</c:v>
                </c:pt>
                <c:pt idx="41">
                  <c:v>0</c:v>
                </c:pt>
                <c:pt idx="42">
                  <c:v>0.14961352024105856</c:v>
                </c:pt>
                <c:pt idx="43">
                  <c:v>0</c:v>
                </c:pt>
                <c:pt idx="44">
                  <c:v>0.1930653085287567</c:v>
                </c:pt>
                <c:pt idx="45">
                  <c:v>0</c:v>
                </c:pt>
                <c:pt idx="46">
                  <c:v>0</c:v>
                </c:pt>
                <c:pt idx="47">
                  <c:v>0.2204464168740993</c:v>
                </c:pt>
                <c:pt idx="48">
                  <c:v>0</c:v>
                </c:pt>
                <c:pt idx="49">
                  <c:v>0.219441897026071</c:v>
                </c:pt>
                <c:pt idx="50">
                  <c:v>0</c:v>
                </c:pt>
                <c:pt idx="51">
                  <c:v>0</c:v>
                </c:pt>
                <c:pt idx="52">
                  <c:v>0.20830603956504651</c:v>
                </c:pt>
                <c:pt idx="53">
                  <c:v>0</c:v>
                </c:pt>
                <c:pt idx="54">
                  <c:v>0</c:v>
                </c:pt>
                <c:pt idx="55">
                  <c:v>0.22345964889296474</c:v>
                </c:pt>
                <c:pt idx="56">
                  <c:v>0</c:v>
                </c:pt>
                <c:pt idx="57">
                  <c:v>0.19267227826542643</c:v>
                </c:pt>
                <c:pt idx="58">
                  <c:v>0</c:v>
                </c:pt>
                <c:pt idx="59">
                  <c:v>0</c:v>
                </c:pt>
                <c:pt idx="60">
                  <c:v>0.21184331193501899</c:v>
                </c:pt>
                <c:pt idx="61">
                  <c:v>0</c:v>
                </c:pt>
                <c:pt idx="62">
                  <c:v>0.1905322284815931</c:v>
                </c:pt>
                <c:pt idx="63">
                  <c:v>0</c:v>
                </c:pt>
                <c:pt idx="64">
                  <c:v>0</c:v>
                </c:pt>
                <c:pt idx="65">
                  <c:v>0.22935510284291891</c:v>
                </c:pt>
                <c:pt idx="66">
                  <c:v>0</c:v>
                </c:pt>
                <c:pt idx="67">
                  <c:v>0.26712956897681123</c:v>
                </c:pt>
                <c:pt idx="68">
                  <c:v>0</c:v>
                </c:pt>
                <c:pt idx="69">
                  <c:v>0</c:v>
                </c:pt>
                <c:pt idx="70">
                  <c:v>0.33066946154853927</c:v>
                </c:pt>
                <c:pt idx="71">
                  <c:v>0</c:v>
                </c:pt>
                <c:pt idx="72">
                  <c:v>0</c:v>
                </c:pt>
                <c:pt idx="73">
                  <c:v>0.44115354382287436</c:v>
                </c:pt>
                <c:pt idx="74">
                  <c:v>0</c:v>
                </c:pt>
                <c:pt idx="75">
                  <c:v>0.63024695401545916</c:v>
                </c:pt>
                <c:pt idx="76">
                  <c:v>0</c:v>
                </c:pt>
                <c:pt idx="77">
                  <c:v>0</c:v>
                </c:pt>
                <c:pt idx="78">
                  <c:v>0.72265164417660155</c:v>
                </c:pt>
                <c:pt idx="79">
                  <c:v>0</c:v>
                </c:pt>
                <c:pt idx="80">
                  <c:v>0.83117057513428538</c:v>
                </c:pt>
                <c:pt idx="81">
                  <c:v>0</c:v>
                </c:pt>
                <c:pt idx="82">
                  <c:v>0</c:v>
                </c:pt>
                <c:pt idx="83">
                  <c:v>0.88903445565308525</c:v>
                </c:pt>
                <c:pt idx="84">
                  <c:v>0</c:v>
                </c:pt>
                <c:pt idx="85">
                  <c:v>0</c:v>
                </c:pt>
                <c:pt idx="86">
                  <c:v>0.86213480938032228</c:v>
                </c:pt>
                <c:pt idx="87">
                  <c:v>0</c:v>
                </c:pt>
                <c:pt idx="88">
                  <c:v>0.92746298965020302</c:v>
                </c:pt>
                <c:pt idx="89">
                  <c:v>0</c:v>
                </c:pt>
                <c:pt idx="90">
                  <c:v>0</c:v>
                </c:pt>
                <c:pt idx="91">
                  <c:v>1</c:v>
                </c:pt>
                <c:pt idx="92">
                  <c:v>0</c:v>
                </c:pt>
                <c:pt idx="93">
                  <c:v>0.92523581815799827</c:v>
                </c:pt>
                <c:pt idx="94">
                  <c:v>0</c:v>
                </c:pt>
                <c:pt idx="95">
                  <c:v>0</c:v>
                </c:pt>
                <c:pt idx="96">
                  <c:v>0.94475632123673525</c:v>
                </c:pt>
                <c:pt idx="97">
                  <c:v>0</c:v>
                </c:pt>
                <c:pt idx="98">
                  <c:v>0.85287567142669984</c:v>
                </c:pt>
                <c:pt idx="99">
                  <c:v>0</c:v>
                </c:pt>
                <c:pt idx="100">
                  <c:v>0</c:v>
                </c:pt>
                <c:pt idx="101">
                  <c:v>0.73282785274466133</c:v>
                </c:pt>
                <c:pt idx="102">
                  <c:v>0</c:v>
                </c:pt>
                <c:pt idx="103">
                  <c:v>0</c:v>
                </c:pt>
                <c:pt idx="104">
                  <c:v>0.69596816454867028</c:v>
                </c:pt>
                <c:pt idx="105">
                  <c:v>0</c:v>
                </c:pt>
                <c:pt idx="106">
                  <c:v>0.64623018472422378</c:v>
                </c:pt>
                <c:pt idx="107">
                  <c:v>0</c:v>
                </c:pt>
                <c:pt idx="108">
                  <c:v>0</c:v>
                </c:pt>
                <c:pt idx="109">
                  <c:v>0.66430957683741643</c:v>
                </c:pt>
                <c:pt idx="110">
                  <c:v>0</c:v>
                </c:pt>
                <c:pt idx="111">
                  <c:v>0.59596488929647584</c:v>
                </c:pt>
                <c:pt idx="112">
                  <c:v>0</c:v>
                </c:pt>
                <c:pt idx="113">
                  <c:v>0</c:v>
                </c:pt>
                <c:pt idx="114">
                  <c:v>0.59858509105201096</c:v>
                </c:pt>
                <c:pt idx="115">
                  <c:v>0</c:v>
                </c:pt>
                <c:pt idx="116">
                  <c:v>0.45154919428796014</c:v>
                </c:pt>
                <c:pt idx="117">
                  <c:v>0</c:v>
                </c:pt>
                <c:pt idx="118">
                  <c:v>0</c:v>
                </c:pt>
                <c:pt idx="119">
                  <c:v>0.37329031835451326</c:v>
                </c:pt>
                <c:pt idx="120">
                  <c:v>0</c:v>
                </c:pt>
                <c:pt idx="121">
                  <c:v>0</c:v>
                </c:pt>
                <c:pt idx="122">
                  <c:v>0.29669428796017289</c:v>
                </c:pt>
                <c:pt idx="123">
                  <c:v>0</c:v>
                </c:pt>
                <c:pt idx="124">
                  <c:v>0.28555843049914842</c:v>
                </c:pt>
                <c:pt idx="125">
                  <c:v>0</c:v>
                </c:pt>
                <c:pt idx="126">
                  <c:v>0</c:v>
                </c:pt>
                <c:pt idx="127">
                  <c:v>0.2656010087776759</c:v>
                </c:pt>
                <c:pt idx="128">
                  <c:v>0</c:v>
                </c:pt>
                <c:pt idx="129">
                  <c:v>0.27809085549587315</c:v>
                </c:pt>
                <c:pt idx="130">
                  <c:v>0</c:v>
                </c:pt>
                <c:pt idx="131">
                  <c:v>0</c:v>
                </c:pt>
                <c:pt idx="132">
                  <c:v>0.24830767719114372</c:v>
                </c:pt>
                <c:pt idx="133">
                  <c:v>0</c:v>
                </c:pt>
                <c:pt idx="134">
                  <c:v>0.16367516048735753</c:v>
                </c:pt>
                <c:pt idx="135">
                  <c:v>0</c:v>
                </c:pt>
                <c:pt idx="136">
                  <c:v>0</c:v>
                </c:pt>
                <c:pt idx="137">
                  <c:v>0.14900203065636056</c:v>
                </c:pt>
                <c:pt idx="138">
                  <c:v>0</c:v>
                </c:pt>
                <c:pt idx="139">
                  <c:v>0</c:v>
                </c:pt>
                <c:pt idx="140">
                  <c:v>0.12576968426568846</c:v>
                </c:pt>
                <c:pt idx="141">
                  <c:v>0</c:v>
                </c:pt>
                <c:pt idx="142">
                  <c:v>7.048342722389625E-2</c:v>
                </c:pt>
                <c:pt idx="143">
                  <c:v>0</c:v>
                </c:pt>
                <c:pt idx="144">
                  <c:v>0</c:v>
                </c:pt>
                <c:pt idx="145">
                  <c:v>4.5067470195205024E-2</c:v>
                </c:pt>
                <c:pt idx="146">
                  <c:v>0</c:v>
                </c:pt>
                <c:pt idx="147">
                  <c:v>3.3975173588366304E-2</c:v>
                </c:pt>
                <c:pt idx="148">
                  <c:v>0</c:v>
                </c:pt>
                <c:pt idx="149">
                  <c:v>0</c:v>
                </c:pt>
                <c:pt idx="150">
                  <c:v>3.4979693436394607E-2</c:v>
                </c:pt>
                <c:pt idx="151">
                  <c:v>0</c:v>
                </c:pt>
                <c:pt idx="152">
                  <c:v>1.9869874230315734E-2</c:v>
                </c:pt>
                <c:pt idx="153">
                  <c:v>0</c:v>
                </c:pt>
                <c:pt idx="154">
                  <c:v>0</c:v>
                </c:pt>
                <c:pt idx="155">
                  <c:v>1.1878258875933448E-2</c:v>
                </c:pt>
                <c:pt idx="156">
                  <c:v>0</c:v>
                </c:pt>
                <c:pt idx="157">
                  <c:v>0</c:v>
                </c:pt>
                <c:pt idx="158">
                  <c:v>1.0393456046115549E-2</c:v>
                </c:pt>
                <c:pt idx="159">
                  <c:v>0</c:v>
                </c:pt>
                <c:pt idx="160">
                  <c:v>2.9695630813572644E-3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0.21144474692168078</c:v>
                </c:pt>
                <c:pt idx="4">
                  <c:v>0</c:v>
                </c:pt>
                <c:pt idx="5">
                  <c:v>0</c:v>
                </c:pt>
                <c:pt idx="6">
                  <c:v>0.40102163920402578</c:v>
                </c:pt>
                <c:pt idx="7">
                  <c:v>0</c:v>
                </c:pt>
                <c:pt idx="8">
                  <c:v>0.49135224331576827</c:v>
                </c:pt>
                <c:pt idx="9">
                  <c:v>0</c:v>
                </c:pt>
                <c:pt idx="10">
                  <c:v>0</c:v>
                </c:pt>
                <c:pt idx="11">
                  <c:v>0.5977538253646546</c:v>
                </c:pt>
                <c:pt idx="12">
                  <c:v>0</c:v>
                </c:pt>
                <c:pt idx="13">
                  <c:v>0.71616338036720828</c:v>
                </c:pt>
                <c:pt idx="14">
                  <c:v>0</c:v>
                </c:pt>
                <c:pt idx="15">
                  <c:v>0</c:v>
                </c:pt>
                <c:pt idx="16">
                  <c:v>0.8385020817997515</c:v>
                </c:pt>
                <c:pt idx="17">
                  <c:v>0</c:v>
                </c:pt>
                <c:pt idx="18">
                  <c:v>0</c:v>
                </c:pt>
                <c:pt idx="19">
                  <c:v>0.93950684918900962</c:v>
                </c:pt>
                <c:pt idx="20">
                  <c:v>0</c:v>
                </c:pt>
                <c:pt idx="21">
                  <c:v>1</c:v>
                </c:pt>
                <c:pt idx="22">
                  <c:v>0</c:v>
                </c:pt>
                <c:pt idx="23">
                  <c:v>0</c:v>
                </c:pt>
                <c:pt idx="24">
                  <c:v>0.97714880702837192</c:v>
                </c:pt>
                <c:pt idx="25">
                  <c:v>0</c:v>
                </c:pt>
                <c:pt idx="26">
                  <c:v>0.8573106518356356</c:v>
                </c:pt>
                <c:pt idx="27">
                  <c:v>0</c:v>
                </c:pt>
                <c:pt idx="28">
                  <c:v>0</c:v>
                </c:pt>
                <c:pt idx="29">
                  <c:v>0.68118059561399169</c:v>
                </c:pt>
                <c:pt idx="30">
                  <c:v>0</c:v>
                </c:pt>
                <c:pt idx="31">
                  <c:v>0.50683782373360842</c:v>
                </c:pt>
                <c:pt idx="32">
                  <c:v>0</c:v>
                </c:pt>
                <c:pt idx="33">
                  <c:v>0</c:v>
                </c:pt>
                <c:pt idx="34">
                  <c:v>0.37504534321477523</c:v>
                </c:pt>
                <c:pt idx="35">
                  <c:v>0</c:v>
                </c:pt>
                <c:pt idx="36">
                  <c:v>0</c:v>
                </c:pt>
                <c:pt idx="37">
                  <c:v>0.29032602213217346</c:v>
                </c:pt>
                <c:pt idx="38">
                  <c:v>0</c:v>
                </c:pt>
                <c:pt idx="39">
                  <c:v>0.23979790074896074</c:v>
                </c:pt>
                <c:pt idx="40">
                  <c:v>0</c:v>
                </c:pt>
                <c:pt idx="41">
                  <c:v>0</c:v>
                </c:pt>
                <c:pt idx="42">
                  <c:v>0.20723939228207441</c:v>
                </c:pt>
                <c:pt idx="43">
                  <c:v>0</c:v>
                </c:pt>
                <c:pt idx="44">
                  <c:v>0.18275145269516274</c:v>
                </c:pt>
                <c:pt idx="45">
                  <c:v>0</c:v>
                </c:pt>
                <c:pt idx="46">
                  <c:v>0</c:v>
                </c:pt>
                <c:pt idx="47">
                  <c:v>0.16137630464547514</c:v>
                </c:pt>
                <c:pt idx="48">
                  <c:v>0</c:v>
                </c:pt>
                <c:pt idx="49">
                  <c:v>0.14379421501671663</c:v>
                </c:pt>
                <c:pt idx="50">
                  <c:v>0</c:v>
                </c:pt>
                <c:pt idx="51">
                  <c:v>0</c:v>
                </c:pt>
                <c:pt idx="52">
                  <c:v>0.12930224512453395</c:v>
                </c:pt>
                <c:pt idx="53">
                  <c:v>0</c:v>
                </c:pt>
                <c:pt idx="54">
                  <c:v>0</c:v>
                </c:pt>
                <c:pt idx="55">
                  <c:v>0.11764887465570643</c:v>
                </c:pt>
                <c:pt idx="56">
                  <c:v>0</c:v>
                </c:pt>
                <c:pt idx="57">
                  <c:v>0.10845069445670362</c:v>
                </c:pt>
                <c:pt idx="58">
                  <c:v>0</c:v>
                </c:pt>
                <c:pt idx="59">
                  <c:v>0</c:v>
                </c:pt>
                <c:pt idx="60">
                  <c:v>0.10269925412094996</c:v>
                </c:pt>
                <c:pt idx="61">
                  <c:v>0</c:v>
                </c:pt>
                <c:pt idx="62">
                  <c:v>9.8949484553427322E-2</c:v>
                </c:pt>
                <c:pt idx="63">
                  <c:v>0</c:v>
                </c:pt>
                <c:pt idx="64">
                  <c:v>0</c:v>
                </c:pt>
                <c:pt idx="65">
                  <c:v>9.6117054011999783E-2</c:v>
                </c:pt>
                <c:pt idx="66">
                  <c:v>0</c:v>
                </c:pt>
                <c:pt idx="67">
                  <c:v>9.3499017627971262E-2</c:v>
                </c:pt>
                <c:pt idx="68">
                  <c:v>0</c:v>
                </c:pt>
                <c:pt idx="69">
                  <c:v>0</c:v>
                </c:pt>
                <c:pt idx="70">
                  <c:v>9.1315946171096979E-2</c:v>
                </c:pt>
                <c:pt idx="71">
                  <c:v>0</c:v>
                </c:pt>
                <c:pt idx="72">
                  <c:v>0</c:v>
                </c:pt>
                <c:pt idx="73">
                  <c:v>8.7908368658531244E-2</c:v>
                </c:pt>
                <c:pt idx="74">
                  <c:v>0</c:v>
                </c:pt>
                <c:pt idx="75">
                  <c:v>8.350099473143778E-2</c:v>
                </c:pt>
                <c:pt idx="76">
                  <c:v>0</c:v>
                </c:pt>
                <c:pt idx="77">
                  <c:v>0</c:v>
                </c:pt>
                <c:pt idx="78">
                  <c:v>7.8811203514571895E-2</c:v>
                </c:pt>
                <c:pt idx="79">
                  <c:v>0</c:v>
                </c:pt>
                <c:pt idx="80">
                  <c:v>7.3773025077364662E-2</c:v>
                </c:pt>
                <c:pt idx="81">
                  <c:v>0</c:v>
                </c:pt>
                <c:pt idx="82">
                  <c:v>0</c:v>
                </c:pt>
                <c:pt idx="83">
                  <c:v>6.9058490305017622E-2</c:v>
                </c:pt>
                <c:pt idx="84">
                  <c:v>0</c:v>
                </c:pt>
                <c:pt idx="85">
                  <c:v>0</c:v>
                </c:pt>
                <c:pt idx="86">
                  <c:v>6.2888586414744749E-2</c:v>
                </c:pt>
                <c:pt idx="87">
                  <c:v>0</c:v>
                </c:pt>
                <c:pt idx="88">
                  <c:v>5.7951413756066814E-2</c:v>
                </c:pt>
                <c:pt idx="89">
                  <c:v>0</c:v>
                </c:pt>
                <c:pt idx="90">
                  <c:v>0</c:v>
                </c:pt>
                <c:pt idx="91">
                  <c:v>5.2490642169445927E-2</c:v>
                </c:pt>
                <c:pt idx="92">
                  <c:v>0</c:v>
                </c:pt>
                <c:pt idx="93">
                  <c:v>4.6850518457729175E-2</c:v>
                </c:pt>
                <c:pt idx="94">
                  <c:v>0</c:v>
                </c:pt>
                <c:pt idx="95">
                  <c:v>0</c:v>
                </c:pt>
                <c:pt idx="96">
                  <c:v>4.1156802777526875E-2</c:v>
                </c:pt>
                <c:pt idx="97">
                  <c:v>0</c:v>
                </c:pt>
                <c:pt idx="98">
                  <c:v>3.563006126033709E-2</c:v>
                </c:pt>
                <c:pt idx="99">
                  <c:v>0</c:v>
                </c:pt>
                <c:pt idx="100">
                  <c:v>0</c:v>
                </c:pt>
                <c:pt idx="101">
                  <c:v>3.0762981942779686E-2</c:v>
                </c:pt>
                <c:pt idx="102">
                  <c:v>0</c:v>
                </c:pt>
                <c:pt idx="103">
                  <c:v>0</c:v>
                </c:pt>
                <c:pt idx="104">
                  <c:v>2.596393194193846E-2</c:v>
                </c:pt>
                <c:pt idx="105">
                  <c:v>0</c:v>
                </c:pt>
                <c:pt idx="106">
                  <c:v>2.1707043173908119E-2</c:v>
                </c:pt>
                <c:pt idx="107">
                  <c:v>0</c:v>
                </c:pt>
                <c:pt idx="108">
                  <c:v>0</c:v>
                </c:pt>
                <c:pt idx="109">
                  <c:v>1.8000560913706221E-2</c:v>
                </c:pt>
                <c:pt idx="110">
                  <c:v>0</c:v>
                </c:pt>
                <c:pt idx="111">
                  <c:v>1.4735226377357422E-2</c:v>
                </c:pt>
                <c:pt idx="112">
                  <c:v>0</c:v>
                </c:pt>
                <c:pt idx="113">
                  <c:v>0</c:v>
                </c:pt>
                <c:pt idx="114">
                  <c:v>1.191516761367044E-2</c:v>
                </c:pt>
                <c:pt idx="115">
                  <c:v>0</c:v>
                </c:pt>
                <c:pt idx="116">
                  <c:v>9.5981000016824511E-3</c:v>
                </c:pt>
                <c:pt idx="117">
                  <c:v>0</c:v>
                </c:pt>
                <c:pt idx="118">
                  <c:v>0</c:v>
                </c:pt>
                <c:pt idx="119">
                  <c:v>7.6809537384597967E-3</c:v>
                </c:pt>
                <c:pt idx="120">
                  <c:v>0</c:v>
                </c:pt>
                <c:pt idx="121">
                  <c:v>0</c:v>
                </c:pt>
                <c:pt idx="122">
                  <c:v>5.9740751299131745E-3</c:v>
                </c:pt>
                <c:pt idx="123">
                  <c:v>0</c:v>
                </c:pt>
                <c:pt idx="124">
                  <c:v>4.5681683855784607E-3</c:v>
                </c:pt>
                <c:pt idx="125">
                  <c:v>0</c:v>
                </c:pt>
                <c:pt idx="126">
                  <c:v>0</c:v>
                </c:pt>
                <c:pt idx="127">
                  <c:v>3.5065223588620804E-3</c:v>
                </c:pt>
                <c:pt idx="128">
                  <c:v>0</c:v>
                </c:pt>
                <c:pt idx="129">
                  <c:v>2.5850552839582889E-3</c:v>
                </c:pt>
                <c:pt idx="130">
                  <c:v>0</c:v>
                </c:pt>
                <c:pt idx="131">
                  <c:v>0</c:v>
                </c:pt>
                <c:pt idx="132">
                  <c:v>1.9789896910685466E-3</c:v>
                </c:pt>
                <c:pt idx="133">
                  <c:v>0</c:v>
                </c:pt>
                <c:pt idx="134">
                  <c:v>1.4904266110859991E-3</c:v>
                </c:pt>
                <c:pt idx="135">
                  <c:v>0</c:v>
                </c:pt>
                <c:pt idx="136">
                  <c:v>0</c:v>
                </c:pt>
                <c:pt idx="137">
                  <c:v>1.0884443300877005E-3</c:v>
                </c:pt>
                <c:pt idx="138">
                  <c:v>0</c:v>
                </c:pt>
                <c:pt idx="139">
                  <c:v>0</c:v>
                </c:pt>
                <c:pt idx="140">
                  <c:v>7.7716625862527585E-4</c:v>
                </c:pt>
                <c:pt idx="141">
                  <c:v>0</c:v>
                </c:pt>
                <c:pt idx="142">
                  <c:v>5.9369690732056395E-4</c:v>
                </c:pt>
                <c:pt idx="143">
                  <c:v>0</c:v>
                </c:pt>
                <c:pt idx="144">
                  <c:v>0</c:v>
                </c:pt>
                <c:pt idx="145">
                  <c:v>4.1229003433451255E-4</c:v>
                </c:pt>
                <c:pt idx="146">
                  <c:v>0</c:v>
                </c:pt>
                <c:pt idx="147">
                  <c:v>3.1127807146242475E-4</c:v>
                </c:pt>
                <c:pt idx="148">
                  <c:v>0</c:v>
                </c:pt>
                <c:pt idx="149">
                  <c:v>0</c:v>
                </c:pt>
                <c:pt idx="150">
                  <c:v>2.0820672244306873E-4</c:v>
                </c:pt>
                <c:pt idx="151">
                  <c:v>0</c:v>
                </c:pt>
                <c:pt idx="152">
                  <c:v>1.2368685569178416E-4</c:v>
                </c:pt>
                <c:pt idx="153">
                  <c:v>0</c:v>
                </c:pt>
                <c:pt idx="154">
                  <c:v>0</c:v>
                </c:pt>
                <c:pt idx="155">
                  <c:v>1.0513382733801655E-4</c:v>
                </c:pt>
                <c:pt idx="156">
                  <c:v>0</c:v>
                </c:pt>
                <c:pt idx="157">
                  <c:v>0</c:v>
                </c:pt>
                <c:pt idx="158">
                  <c:v>5.5659085061302867E-5</c:v>
                </c:pt>
                <c:pt idx="159">
                  <c:v>0</c:v>
                </c:pt>
                <c:pt idx="160">
                  <c:v>4.741381004374931E-5</c:v>
                </c:pt>
                <c:pt idx="161">
                  <c:v>0</c:v>
                </c:pt>
                <c:pt idx="162">
                  <c:v>0</c:v>
                </c:pt>
                <c:pt idx="163">
                  <c:v>1.8553028353767624E-5</c:v>
                </c:pt>
                <c:pt idx="164">
                  <c:v>0</c:v>
                </c:pt>
                <c:pt idx="165">
                  <c:v>1.8553028353767624E-5</c:v>
                </c:pt>
                <c:pt idx="166">
                  <c:v>0</c:v>
                </c:pt>
                <c:pt idx="167">
                  <c:v>0</c:v>
                </c:pt>
                <c:pt idx="168">
                  <c:v>4.1234105516248545E-6</c:v>
                </c:pt>
                <c:pt idx="169">
                  <c:v>0</c:v>
                </c:pt>
                <c:pt idx="170">
                  <c:v>4.1234105516248545E-6</c:v>
                </c:pt>
                <c:pt idx="171">
                  <c:v>0</c:v>
                </c:pt>
                <c:pt idx="172">
                  <c:v>0</c:v>
                </c:pt>
                <c:pt idx="173">
                  <c:v>4.1234105516248545E-6</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(39.2 , 41)
의욕 없는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39.184974709437427</c:v>
                </c:pt>
              </c:numCache>
            </c:numRef>
          </c:xVal>
          <c:yVal>
            <c:numRef>
              <c:f>info!$W$20:$W$21</c:f>
              <c:numCache>
                <c:formatCode>General</c:formatCode>
                <c:ptCount val="2"/>
                <c:pt idx="0">
                  <c:v>50</c:v>
                </c:pt>
                <c:pt idx="1">
                  <c:v>41.021760710487797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44.5809</c:v>
                      </c:pt>
                    </c:numCache>
                  </c:numRef>
                </c:xVal>
                <c:yVal>
                  <c:numRef>
                    <c:extLst>
                      <c:ext uri="{02D57815-91ED-43cb-92C2-25804820EDAC}">
                        <c15:formulaRef>
                          <c15:sqref>info!$W$18</c15:sqref>
                        </c15:formulaRef>
                      </c:ext>
                    </c:extLst>
                    <c:numCache>
                      <c:formatCode>General</c:formatCode>
                      <c:ptCount val="1"/>
                      <c:pt idx="0">
                        <c:v>47.057700000000004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(39.2 , 41)
의욕 없는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39.184974709437427</c:v>
                </c:pt>
              </c:numCache>
            </c:numRef>
          </c:xVal>
          <c:yVal>
            <c:numRef>
              <c:f>info!$W$20:$W$21</c:f>
              <c:numCache>
                <c:formatCode>General</c:formatCode>
                <c:ptCount val="2"/>
                <c:pt idx="0">
                  <c:v>50</c:v>
                </c:pt>
                <c:pt idx="1">
                  <c:v>41.021760710487797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39.115299999999998</c:v>
                </c:pt>
                <c:pt idx="1">
                  <c:v>27.4221</c:v>
                </c:pt>
                <c:pt idx="2">
                  <c:v>26.611000000000001</c:v>
                </c:pt>
                <c:pt idx="3">
                  <c:v>32.507300000000001</c:v>
                </c:pt>
                <c:pt idx="4">
                  <c:v>34.818100000000001</c:v>
                </c:pt>
                <c:pt idx="5">
                  <c:v>65.433199999999999</c:v>
                </c:pt>
                <c:pt idx="6">
                  <c:v>26.052199999999999</c:v>
                </c:pt>
                <c:pt idx="7">
                  <c:v>55.605400000000003</c:v>
                </c:pt>
                <c:pt idx="8">
                  <c:v>14.4841</c:v>
                </c:pt>
                <c:pt idx="9">
                  <c:v>27.685300000000002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0.46416770050987055</c:v>
                </c:pt>
                <c:pt idx="1">
                  <c:v>0.32062926731434327</c:v>
                </c:pt>
                <c:pt idx="2">
                  <c:v>0.21520303217578618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1.7031311410978647E-2</c:v>
                </c:pt>
                <c:pt idx="7">
                  <c:v>0</c:v>
                </c:pt>
                <c:pt idx="8">
                  <c:v>2.8254519848028296E-2</c:v>
                </c:pt>
                <c:pt idx="9">
                  <c:v>0</c:v>
                </c:pt>
                <c:pt idx="10">
                  <c:v>0</c:v>
                </c:pt>
                <c:pt idx="11">
                  <c:v>3.4805122494432073E-2</c:v>
                </c:pt>
                <c:pt idx="12">
                  <c:v>0</c:v>
                </c:pt>
                <c:pt idx="13">
                  <c:v>3.4761234115026858E-2</c:v>
                </c:pt>
                <c:pt idx="14">
                  <c:v>0</c:v>
                </c:pt>
                <c:pt idx="15">
                  <c:v>0</c:v>
                </c:pt>
                <c:pt idx="16">
                  <c:v>3.6420804401938955E-2</c:v>
                </c:pt>
                <c:pt idx="17">
                  <c:v>0</c:v>
                </c:pt>
                <c:pt idx="18">
                  <c:v>0</c:v>
                </c:pt>
                <c:pt idx="19">
                  <c:v>4.5722520634088819E-2</c:v>
                </c:pt>
                <c:pt idx="20">
                  <c:v>0</c:v>
                </c:pt>
                <c:pt idx="21">
                  <c:v>5.3714135988471107E-2</c:v>
                </c:pt>
                <c:pt idx="22">
                  <c:v>0</c:v>
                </c:pt>
                <c:pt idx="23">
                  <c:v>0</c:v>
                </c:pt>
                <c:pt idx="24">
                  <c:v>5.450019651513166E-2</c:v>
                </c:pt>
                <c:pt idx="25">
                  <c:v>0</c:v>
                </c:pt>
                <c:pt idx="26">
                  <c:v>6.1181710991746366E-2</c:v>
                </c:pt>
                <c:pt idx="27">
                  <c:v>0</c:v>
                </c:pt>
                <c:pt idx="28">
                  <c:v>0</c:v>
                </c:pt>
                <c:pt idx="29">
                  <c:v>9.354120267260578E-2</c:v>
                </c:pt>
                <c:pt idx="30">
                  <c:v>0</c:v>
                </c:pt>
                <c:pt idx="31">
                  <c:v>9.5200772959517885E-2</c:v>
                </c:pt>
                <c:pt idx="32">
                  <c:v>0</c:v>
                </c:pt>
                <c:pt idx="33">
                  <c:v>0</c:v>
                </c:pt>
                <c:pt idx="34">
                  <c:v>0.10699168085942617</c:v>
                </c:pt>
                <c:pt idx="35">
                  <c:v>0</c:v>
                </c:pt>
                <c:pt idx="36">
                  <c:v>0</c:v>
                </c:pt>
                <c:pt idx="37">
                  <c:v>9.5069762871741126E-2</c:v>
                </c:pt>
                <c:pt idx="38">
                  <c:v>0</c:v>
                </c:pt>
                <c:pt idx="39">
                  <c:v>0.14336859688195991</c:v>
                </c:pt>
                <c:pt idx="40">
                  <c:v>0</c:v>
                </c:pt>
                <c:pt idx="41">
                  <c:v>0</c:v>
                </c:pt>
                <c:pt idx="42">
                  <c:v>0.14961352024105856</c:v>
                </c:pt>
                <c:pt idx="43">
                  <c:v>0</c:v>
                </c:pt>
                <c:pt idx="44">
                  <c:v>0.1930653085287567</c:v>
                </c:pt>
                <c:pt idx="45">
                  <c:v>0</c:v>
                </c:pt>
                <c:pt idx="46">
                  <c:v>0</c:v>
                </c:pt>
                <c:pt idx="47">
                  <c:v>0.2204464168740993</c:v>
                </c:pt>
                <c:pt idx="48">
                  <c:v>0</c:v>
                </c:pt>
                <c:pt idx="49">
                  <c:v>0.219441897026071</c:v>
                </c:pt>
                <c:pt idx="50">
                  <c:v>0</c:v>
                </c:pt>
                <c:pt idx="51">
                  <c:v>0</c:v>
                </c:pt>
                <c:pt idx="52">
                  <c:v>0.20830603956504651</c:v>
                </c:pt>
                <c:pt idx="53">
                  <c:v>0</c:v>
                </c:pt>
                <c:pt idx="54">
                  <c:v>0</c:v>
                </c:pt>
                <c:pt idx="55">
                  <c:v>0.22345964889296474</c:v>
                </c:pt>
                <c:pt idx="56">
                  <c:v>0</c:v>
                </c:pt>
                <c:pt idx="57">
                  <c:v>0.19267227826542643</c:v>
                </c:pt>
                <c:pt idx="58">
                  <c:v>0</c:v>
                </c:pt>
                <c:pt idx="59">
                  <c:v>0</c:v>
                </c:pt>
                <c:pt idx="60">
                  <c:v>0.21184331193501899</c:v>
                </c:pt>
                <c:pt idx="61">
                  <c:v>0</c:v>
                </c:pt>
                <c:pt idx="62">
                  <c:v>0.1905322284815931</c:v>
                </c:pt>
                <c:pt idx="63">
                  <c:v>0</c:v>
                </c:pt>
                <c:pt idx="64">
                  <c:v>0</c:v>
                </c:pt>
                <c:pt idx="65">
                  <c:v>0.22935510284291891</c:v>
                </c:pt>
                <c:pt idx="66">
                  <c:v>0</c:v>
                </c:pt>
                <c:pt idx="67">
                  <c:v>0.26712956897681123</c:v>
                </c:pt>
                <c:pt idx="68">
                  <c:v>0</c:v>
                </c:pt>
                <c:pt idx="69">
                  <c:v>0</c:v>
                </c:pt>
                <c:pt idx="70">
                  <c:v>0.33066946154853927</c:v>
                </c:pt>
                <c:pt idx="71">
                  <c:v>0</c:v>
                </c:pt>
                <c:pt idx="72">
                  <c:v>0</c:v>
                </c:pt>
                <c:pt idx="73">
                  <c:v>0.44115354382287436</c:v>
                </c:pt>
                <c:pt idx="74">
                  <c:v>0</c:v>
                </c:pt>
                <c:pt idx="75">
                  <c:v>0.63024695401545916</c:v>
                </c:pt>
                <c:pt idx="76">
                  <c:v>0</c:v>
                </c:pt>
                <c:pt idx="77">
                  <c:v>0</c:v>
                </c:pt>
                <c:pt idx="78">
                  <c:v>0.72265164417660155</c:v>
                </c:pt>
                <c:pt idx="79">
                  <c:v>0</c:v>
                </c:pt>
                <c:pt idx="80">
                  <c:v>0.83117057513428538</c:v>
                </c:pt>
                <c:pt idx="81">
                  <c:v>0</c:v>
                </c:pt>
                <c:pt idx="82">
                  <c:v>0</c:v>
                </c:pt>
                <c:pt idx="83">
                  <c:v>0.88903445565308525</c:v>
                </c:pt>
                <c:pt idx="84">
                  <c:v>0</c:v>
                </c:pt>
                <c:pt idx="85">
                  <c:v>0</c:v>
                </c:pt>
                <c:pt idx="86">
                  <c:v>0.86213480938032228</c:v>
                </c:pt>
                <c:pt idx="87">
                  <c:v>0</c:v>
                </c:pt>
                <c:pt idx="88">
                  <c:v>0.92746298965020302</c:v>
                </c:pt>
                <c:pt idx="89">
                  <c:v>0</c:v>
                </c:pt>
                <c:pt idx="90">
                  <c:v>0</c:v>
                </c:pt>
                <c:pt idx="91">
                  <c:v>1</c:v>
                </c:pt>
                <c:pt idx="92">
                  <c:v>0</c:v>
                </c:pt>
                <c:pt idx="93">
                  <c:v>0.92523581815799827</c:v>
                </c:pt>
                <c:pt idx="94">
                  <c:v>0</c:v>
                </c:pt>
                <c:pt idx="95">
                  <c:v>0</c:v>
                </c:pt>
                <c:pt idx="96">
                  <c:v>0.94475632123673525</c:v>
                </c:pt>
                <c:pt idx="97">
                  <c:v>0</c:v>
                </c:pt>
                <c:pt idx="98">
                  <c:v>0.85287567142669984</c:v>
                </c:pt>
                <c:pt idx="99">
                  <c:v>0</c:v>
                </c:pt>
                <c:pt idx="100">
                  <c:v>0</c:v>
                </c:pt>
                <c:pt idx="101">
                  <c:v>0.73282785274466133</c:v>
                </c:pt>
                <c:pt idx="102">
                  <c:v>0</c:v>
                </c:pt>
                <c:pt idx="103">
                  <c:v>0</c:v>
                </c:pt>
                <c:pt idx="104">
                  <c:v>0.69596816454867028</c:v>
                </c:pt>
                <c:pt idx="105">
                  <c:v>0</c:v>
                </c:pt>
                <c:pt idx="106">
                  <c:v>0.64623018472422378</c:v>
                </c:pt>
                <c:pt idx="107">
                  <c:v>0</c:v>
                </c:pt>
                <c:pt idx="108">
                  <c:v>0</c:v>
                </c:pt>
                <c:pt idx="109">
                  <c:v>0.66430957683741643</c:v>
                </c:pt>
                <c:pt idx="110">
                  <c:v>0</c:v>
                </c:pt>
                <c:pt idx="111">
                  <c:v>0.59596488929647584</c:v>
                </c:pt>
                <c:pt idx="112">
                  <c:v>0</c:v>
                </c:pt>
                <c:pt idx="113">
                  <c:v>0</c:v>
                </c:pt>
                <c:pt idx="114">
                  <c:v>0.59858509105201096</c:v>
                </c:pt>
                <c:pt idx="115">
                  <c:v>0</c:v>
                </c:pt>
                <c:pt idx="116">
                  <c:v>0.45154919428796014</c:v>
                </c:pt>
                <c:pt idx="117">
                  <c:v>0</c:v>
                </c:pt>
                <c:pt idx="118">
                  <c:v>0</c:v>
                </c:pt>
                <c:pt idx="119">
                  <c:v>0.37329031835451326</c:v>
                </c:pt>
                <c:pt idx="120">
                  <c:v>0</c:v>
                </c:pt>
                <c:pt idx="121">
                  <c:v>0</c:v>
                </c:pt>
                <c:pt idx="122">
                  <c:v>0.29669428796017289</c:v>
                </c:pt>
                <c:pt idx="123">
                  <c:v>0</c:v>
                </c:pt>
                <c:pt idx="124">
                  <c:v>0.28555843049914842</c:v>
                </c:pt>
                <c:pt idx="125">
                  <c:v>0</c:v>
                </c:pt>
                <c:pt idx="126">
                  <c:v>0</c:v>
                </c:pt>
                <c:pt idx="127">
                  <c:v>0.2656010087776759</c:v>
                </c:pt>
                <c:pt idx="128">
                  <c:v>0</c:v>
                </c:pt>
                <c:pt idx="129">
                  <c:v>0.27809085549587315</c:v>
                </c:pt>
                <c:pt idx="130">
                  <c:v>0</c:v>
                </c:pt>
                <c:pt idx="131">
                  <c:v>0</c:v>
                </c:pt>
                <c:pt idx="132">
                  <c:v>0.24830767719114372</c:v>
                </c:pt>
                <c:pt idx="133">
                  <c:v>0</c:v>
                </c:pt>
                <c:pt idx="134">
                  <c:v>0.16367516048735753</c:v>
                </c:pt>
                <c:pt idx="135">
                  <c:v>0</c:v>
                </c:pt>
                <c:pt idx="136">
                  <c:v>0</c:v>
                </c:pt>
                <c:pt idx="137">
                  <c:v>0.14900203065636056</c:v>
                </c:pt>
                <c:pt idx="138">
                  <c:v>0</c:v>
                </c:pt>
                <c:pt idx="139">
                  <c:v>0</c:v>
                </c:pt>
                <c:pt idx="140">
                  <c:v>0.12576968426568846</c:v>
                </c:pt>
                <c:pt idx="141">
                  <c:v>0</c:v>
                </c:pt>
                <c:pt idx="142">
                  <c:v>7.048342722389625E-2</c:v>
                </c:pt>
                <c:pt idx="143">
                  <c:v>0</c:v>
                </c:pt>
                <c:pt idx="144">
                  <c:v>0</c:v>
                </c:pt>
                <c:pt idx="145">
                  <c:v>4.5067470195205024E-2</c:v>
                </c:pt>
                <c:pt idx="146">
                  <c:v>0</c:v>
                </c:pt>
                <c:pt idx="147">
                  <c:v>3.3975173588366304E-2</c:v>
                </c:pt>
                <c:pt idx="148">
                  <c:v>0</c:v>
                </c:pt>
                <c:pt idx="149">
                  <c:v>0</c:v>
                </c:pt>
                <c:pt idx="150">
                  <c:v>3.4979693436394607E-2</c:v>
                </c:pt>
                <c:pt idx="151">
                  <c:v>0</c:v>
                </c:pt>
                <c:pt idx="152">
                  <c:v>1.9869874230315734E-2</c:v>
                </c:pt>
                <c:pt idx="153">
                  <c:v>0</c:v>
                </c:pt>
                <c:pt idx="154">
                  <c:v>0</c:v>
                </c:pt>
                <c:pt idx="155">
                  <c:v>1.1878258875933448E-2</c:v>
                </c:pt>
                <c:pt idx="156">
                  <c:v>0</c:v>
                </c:pt>
                <c:pt idx="157">
                  <c:v>0</c:v>
                </c:pt>
                <c:pt idx="158">
                  <c:v>1.0393456046115549E-2</c:v>
                </c:pt>
                <c:pt idx="159">
                  <c:v>0</c:v>
                </c:pt>
                <c:pt idx="160">
                  <c:v>2.9695630813572644E-3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extLst xmlns:c15="http://schemas.microsoft.com/office/drawing/2012/chart"/>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4.8329599999999999</c:v>
                </c:pt>
              </c:numCache>
            </c:numRef>
          </c:xVal>
          <c:yVal>
            <c:numRef>
              <c:f>[0]!FT_PH01</c:f>
              <c:numCache>
                <c:formatCode>0.00</c:formatCode>
                <c:ptCount val="1"/>
                <c:pt idx="0">
                  <c:v>28.349299999999999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4.8329599999999999</c:v>
                </c:pt>
              </c:numCache>
            </c:numRef>
          </c:xVal>
          <c:yVal>
            <c:numRef>
              <c:f>[0]!FT_PH02</c:f>
              <c:numCache>
                <c:formatCode>0.00</c:formatCode>
                <c:ptCount val="1"/>
                <c:pt idx="0">
                  <c:v>28.349299999999999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4.8329599999999999</c:v>
                </c:pt>
              </c:numCache>
            </c:numRef>
          </c:xVal>
          <c:yVal>
            <c:numRef>
              <c:f>[0]!FT_PH03</c:f>
              <c:numCache>
                <c:formatCode>0.00</c:formatCode>
                <c:ptCount val="1"/>
                <c:pt idx="0">
                  <c:v>28.349299999999999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4.8329599999999999</c:v>
                </c:pt>
              </c:numCache>
            </c:numRef>
          </c:xVal>
          <c:yVal>
            <c:numRef>
              <c:f>[0]!FT_PH04</c:f>
              <c:numCache>
                <c:formatCode>0.00</c:formatCode>
                <c:ptCount val="1"/>
                <c:pt idx="0">
                  <c:v>28.349299999999999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4.8329599999999999</c:v>
                </c:pt>
              </c:numCache>
            </c:numRef>
          </c:xVal>
          <c:yVal>
            <c:numRef>
              <c:f>[0]!FT_PH05</c:f>
              <c:numCache>
                <c:formatCode>0.00</c:formatCode>
                <c:ptCount val="1"/>
                <c:pt idx="0">
                  <c:v>28.349299999999999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4.8329599999999999</c:v>
                </c:pt>
              </c:numCache>
            </c:numRef>
          </c:xVal>
          <c:yVal>
            <c:numRef>
              <c:f>[0]!FT_PH06</c:f>
              <c:numCache>
                <c:formatCode>0.00</c:formatCode>
                <c:ptCount val="1"/>
                <c:pt idx="0">
                  <c:v>28.349299999999999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4.8329599999999999</c:v>
                </c:pt>
              </c:numCache>
            </c:numRef>
          </c:xVal>
          <c:yVal>
            <c:numRef>
              <c:f>[0]!FT_PH07</c:f>
              <c:numCache>
                <c:formatCode>0.00</c:formatCode>
                <c:ptCount val="1"/>
                <c:pt idx="0">
                  <c:v>28.349299999999999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4.8329599999999999</c:v>
                </c:pt>
              </c:numCache>
            </c:numRef>
          </c:xVal>
          <c:yVal>
            <c:numRef>
              <c:f>[0]!FT_PH08</c:f>
              <c:numCache>
                <c:formatCode>0.00</c:formatCode>
                <c:ptCount val="1"/>
                <c:pt idx="0">
                  <c:v>28.349299999999999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4.8329599999999999</c:v>
                </c:pt>
              </c:numCache>
            </c:numRef>
          </c:xVal>
          <c:yVal>
            <c:numRef>
              <c:f>[0]!FT_PH09</c:f>
              <c:numCache>
                <c:formatCode>0.00</c:formatCode>
                <c:ptCount val="1"/>
                <c:pt idx="0">
                  <c:v>28.349299999999999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4.8329599999999999</c:v>
                </c:pt>
              </c:numCache>
            </c:numRef>
          </c:xVal>
          <c:yVal>
            <c:numRef>
              <c:f>[0]!FT_PH10</c:f>
              <c:numCache>
                <c:formatCode>0.00</c:formatCode>
                <c:ptCount val="1"/>
                <c:pt idx="0">
                  <c:v>28.349299999999999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4.8329599999999999</c:v>
                </c:pt>
              </c:numCache>
            </c:numRef>
          </c:xVal>
          <c:yVal>
            <c:numRef>
              <c:f>[0]!FT_PH11</c:f>
              <c:numCache>
                <c:formatCode>0.00</c:formatCode>
                <c:ptCount val="1"/>
                <c:pt idx="0">
                  <c:v>28.349299999999999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4.8329599999999999</c:v>
                </c:pt>
              </c:numCache>
            </c:numRef>
          </c:xVal>
          <c:yVal>
            <c:numRef>
              <c:f>[0]!FT_PH12</c:f>
              <c:numCache>
                <c:formatCode>0.00</c:formatCode>
                <c:ptCount val="1"/>
                <c:pt idx="0">
                  <c:v>28.349299999999999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4.8329599999999999</c:v>
                </c:pt>
              </c:numCache>
            </c:numRef>
          </c:xVal>
          <c:yVal>
            <c:numRef>
              <c:f>[0]!FT_PH13</c:f>
              <c:numCache>
                <c:formatCode>0.00</c:formatCode>
                <c:ptCount val="1"/>
                <c:pt idx="0">
                  <c:v>28.349299999999999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4.8329599999999999</c:v>
                </c:pt>
              </c:numCache>
            </c:numRef>
          </c:xVal>
          <c:yVal>
            <c:numRef>
              <c:f>[0]!FT_PH14</c:f>
              <c:numCache>
                <c:formatCode>0.00</c:formatCode>
                <c:ptCount val="1"/>
                <c:pt idx="0">
                  <c:v>28.349299999999999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4.8329599999999999</c:v>
                </c:pt>
              </c:numCache>
            </c:numRef>
          </c:xVal>
          <c:yVal>
            <c:numRef>
              <c:f>[0]!FT_PH15</c:f>
              <c:numCache>
                <c:formatCode>0.00</c:formatCode>
                <c:ptCount val="1"/>
                <c:pt idx="0">
                  <c:v>28.349299999999999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4.8329599999999999</c:v>
                </c:pt>
              </c:numCache>
            </c:numRef>
          </c:xVal>
          <c:yVal>
            <c:numRef>
              <c:f>[0]!FT_PH16</c:f>
              <c:numCache>
                <c:formatCode>0.00</c:formatCode>
                <c:ptCount val="1"/>
                <c:pt idx="0">
                  <c:v>28.349299999999999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4.8329599999999999</c:v>
                </c:pt>
              </c:numCache>
            </c:numRef>
          </c:xVal>
          <c:yVal>
            <c:numRef>
              <c:f>[0]!FT_PH17</c:f>
              <c:numCache>
                <c:formatCode>0.00</c:formatCode>
                <c:ptCount val="1"/>
                <c:pt idx="0">
                  <c:v>28.349299999999999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4.8329599999999999</c:v>
                </c:pt>
              </c:numCache>
            </c:numRef>
          </c:xVal>
          <c:yVal>
            <c:numRef>
              <c:f>[0]!FT_PH18</c:f>
              <c:numCache>
                <c:formatCode>0.00</c:formatCode>
                <c:ptCount val="1"/>
                <c:pt idx="0">
                  <c:v>28.349299999999999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4.8329599999999999</c:v>
                </c:pt>
              </c:numCache>
            </c:numRef>
          </c:xVal>
          <c:yVal>
            <c:numRef>
              <c:f>[0]!FT_PH19</c:f>
              <c:numCache>
                <c:formatCode>0.00</c:formatCode>
                <c:ptCount val="1"/>
                <c:pt idx="0">
                  <c:v>28.349299999999999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4.8329599999999999</c:v>
                </c:pt>
              </c:numCache>
            </c:numRef>
          </c:xVal>
          <c:yVal>
            <c:numRef>
              <c:f>[0]!FT_PH20</c:f>
              <c:numCache>
                <c:formatCode>0.00</c:formatCode>
                <c:ptCount val="1"/>
                <c:pt idx="0">
                  <c:v>28.349299999999999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4.8329599999999999</c:v>
                </c:pt>
              </c:numCache>
            </c:numRef>
          </c:xVal>
          <c:yVal>
            <c:numRef>
              <c:f>[0]!FT_PH21</c:f>
              <c:numCache>
                <c:formatCode>0.00</c:formatCode>
                <c:ptCount val="1"/>
                <c:pt idx="0">
                  <c:v>28.349299999999999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4.8329599999999999</c:v>
                </c:pt>
              </c:numCache>
            </c:numRef>
          </c:xVal>
          <c:yVal>
            <c:numRef>
              <c:f>[0]!FT_PH22</c:f>
              <c:numCache>
                <c:formatCode>0.00</c:formatCode>
                <c:ptCount val="1"/>
                <c:pt idx="0">
                  <c:v>28.349299999999999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4.8329599999999999</c:v>
                </c:pt>
              </c:numCache>
            </c:numRef>
          </c:xVal>
          <c:yVal>
            <c:numRef>
              <c:f>[0]!FT_PH23</c:f>
              <c:numCache>
                <c:formatCode>0.00</c:formatCode>
                <c:ptCount val="1"/>
                <c:pt idx="0">
                  <c:v>28.349299999999999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4.8329599999999999</c:v>
                </c:pt>
              </c:numCache>
            </c:numRef>
          </c:xVal>
          <c:yVal>
            <c:numRef>
              <c:f>[0]!FT_PH24</c:f>
              <c:numCache>
                <c:formatCode>0.00</c:formatCode>
                <c:ptCount val="1"/>
                <c:pt idx="0">
                  <c:v>28.349299999999999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4.8329599999999999</c:v>
                </c:pt>
              </c:numCache>
            </c:numRef>
          </c:xVal>
          <c:yVal>
            <c:numRef>
              <c:f>info!$H$2</c:f>
              <c:numCache>
                <c:formatCode>0.00</c:formatCode>
                <c:ptCount val="1"/>
                <c:pt idx="0">
                  <c:v>28.349299999999999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0.3399276027451385</c:v>
                </c:pt>
                <c:pt idx="1">
                  <c:v>0.32955066288166601</c:v>
                </c:pt>
                <c:pt idx="2">
                  <c:v>0.33052173437319537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[0]!FT_E</c:f>
              <c:numCache>
                <c:formatCode>0.00</c:formatCode>
                <c:ptCount val="25"/>
                <c:pt idx="0">
                  <c:v>4.8329599999999999</c:v>
                </c:pt>
                <c:pt idx="1">
                  <c:v>4.7723100000000001</c:v>
                </c:pt>
                <c:pt idx="2">
                  <c:v>4.7022500000000003</c:v>
                </c:pt>
                <c:pt idx="3">
                  <c:v>4.6068800000000003</c:v>
                </c:pt>
                <c:pt idx="4">
                  <c:v>4.4742800000000003</c:v>
                </c:pt>
                <c:pt idx="5">
                  <c:v>4.3117799999999997</c:v>
                </c:pt>
                <c:pt idx="6">
                  <c:v>4.1106199999999999</c:v>
                </c:pt>
                <c:pt idx="7">
                  <c:v>3.8911199999999999</c:v>
                </c:pt>
                <c:pt idx="8">
                  <c:v>3.7018599999999999</c:v>
                </c:pt>
                <c:pt idx="9">
                  <c:v>3.5472999999999999</c:v>
                </c:pt>
                <c:pt idx="10">
                  <c:v>3.4013999999999998</c:v>
                </c:pt>
                <c:pt idx="11">
                  <c:v>3.2671099999999997</c:v>
                </c:pt>
                <c:pt idx="12">
                  <c:v>3.3888499999999997</c:v>
                </c:pt>
                <c:pt idx="13">
                  <c:v>3.4876499999999999</c:v>
                </c:pt>
                <c:pt idx="14">
                  <c:v>3.5977700000000001</c:v>
                </c:pt>
                <c:pt idx="15">
                  <c:v>3.5974200000000001</c:v>
                </c:pt>
                <c:pt idx="16">
                  <c:v>3.5609200000000003</c:v>
                </c:pt>
                <c:pt idx="17">
                  <c:v>3.4987499999999998</c:v>
                </c:pt>
                <c:pt idx="18">
                  <c:v>3.4437499999999996</c:v>
                </c:pt>
                <c:pt idx="19">
                  <c:v>3.41317</c:v>
                </c:pt>
                <c:pt idx="20">
                  <c:v>3.3700799999999997</c:v>
                </c:pt>
                <c:pt idx="21">
                  <c:v>3.3336500000000004</c:v>
                </c:pt>
                <c:pt idx="22">
                  <c:v>3.3019500000000002</c:v>
                </c:pt>
                <c:pt idx="23">
                  <c:v>3.2671600000000001</c:v>
                </c:pt>
                <c:pt idx="24">
                  <c:v>3.2344299999999997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4.8329599999999999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4.8329599999999999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4.8329599999999999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4.8329599999999999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4.8329599999999999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4.8329599999999999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4.8329599999999999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4.8329599999999999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4.8329599999999999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4.8329599999999999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4.8329599999999999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4.8329599999999999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4.8329599999999999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4.8329599999999999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4.8329599999999999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4.8329599999999999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4.8329599999999999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4.8329599999999999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4.8329599999999999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4.8329599999999999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4.8329599999999999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4.8329599999999999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4.8329599999999999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4.8329599999999999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0.37062899999999999</c:v>
                </c:pt>
                <c:pt idx="2">
                  <c:v>0.77509499999999998</c:v>
                </c:pt>
                <c:pt idx="3">
                  <c:v>1.17771</c:v>
                </c:pt>
                <c:pt idx="4">
                  <c:v>1.57582</c:v>
                </c:pt>
                <c:pt idx="5">
                  <c:v>1.9926299999999999</c:v>
                </c:pt>
                <c:pt idx="6">
                  <c:v>2.3984200000000002</c:v>
                </c:pt>
                <c:pt idx="7">
                  <c:v>2.7947199999999999</c:v>
                </c:pt>
                <c:pt idx="8">
                  <c:v>3.1963400000000002</c:v>
                </c:pt>
                <c:pt idx="9">
                  <c:v>3.6064099999999999</c:v>
                </c:pt>
                <c:pt idx="10">
                  <c:v>4.0177699999999996</c:v>
                </c:pt>
                <c:pt idx="11">
                  <c:v>4.4190399999999999</c:v>
                </c:pt>
                <c:pt idx="12">
                  <c:v>4.8310199999999996</c:v>
                </c:pt>
                <c:pt idx="13">
                  <c:v>5.2279299999999997</c:v>
                </c:pt>
                <c:pt idx="14">
                  <c:v>5.6426400000000001</c:v>
                </c:pt>
                <c:pt idx="15">
                  <c:v>6.0587900000000001</c:v>
                </c:pt>
                <c:pt idx="16">
                  <c:v>6.4495100000000001</c:v>
                </c:pt>
                <c:pt idx="17">
                  <c:v>6.8682800000000004</c:v>
                </c:pt>
                <c:pt idx="18">
                  <c:v>7.2601000000000004</c:v>
                </c:pt>
                <c:pt idx="19">
                  <c:v>7.6707400000000003</c:v>
                </c:pt>
                <c:pt idx="20">
                  <c:v>8.0878499999999995</c:v>
                </c:pt>
                <c:pt idx="21">
                  <c:v>8.4789700000000003</c:v>
                </c:pt>
                <c:pt idx="22">
                  <c:v>8.8869000000000007</c:v>
                </c:pt>
                <c:pt idx="23">
                  <c:v>9.3023799999999994</c:v>
                </c:pt>
                <c:pt idx="24">
                  <c:v>9.7018699999999995</c:v>
                </c:pt>
              </c:numCache>
            </c:numRef>
          </c:xVal>
          <c:yVal>
            <c:numRef>
              <c:f>[0]!FT_PH</c:f>
              <c:numCache>
                <c:formatCode>0.00</c:formatCode>
                <c:ptCount val="25"/>
                <c:pt idx="0">
                  <c:v>28.349299999999999</c:v>
                </c:pt>
                <c:pt idx="1">
                  <c:v>27.542100000000001</c:v>
                </c:pt>
                <c:pt idx="2">
                  <c:v>26.271799999999999</c:v>
                </c:pt>
                <c:pt idx="3">
                  <c:v>24.8811</c:v>
                </c:pt>
                <c:pt idx="4">
                  <c:v>22.494900000000001</c:v>
                </c:pt>
                <c:pt idx="5">
                  <c:v>19.781000000000002</c:v>
                </c:pt>
                <c:pt idx="6">
                  <c:v>17.1585</c:v>
                </c:pt>
                <c:pt idx="7">
                  <c:v>16.046399999999998</c:v>
                </c:pt>
                <c:pt idx="8">
                  <c:v>17.592199999999998</c:v>
                </c:pt>
                <c:pt idx="9">
                  <c:v>20.585100000000001</c:v>
                </c:pt>
                <c:pt idx="10">
                  <c:v>25.107299999999999</c:v>
                </c:pt>
                <c:pt idx="11">
                  <c:v>31.493300000000001</c:v>
                </c:pt>
                <c:pt idx="12">
                  <c:v>35.073</c:v>
                </c:pt>
                <c:pt idx="13">
                  <c:v>39.066800000000001</c:v>
                </c:pt>
                <c:pt idx="14">
                  <c:v>43.4283</c:v>
                </c:pt>
                <c:pt idx="15">
                  <c:v>46.619300000000003</c:v>
                </c:pt>
                <c:pt idx="16">
                  <c:v>48.850700000000003</c:v>
                </c:pt>
                <c:pt idx="17">
                  <c:v>50.2194</c:v>
                </c:pt>
                <c:pt idx="18">
                  <c:v>50.426000000000002</c:v>
                </c:pt>
                <c:pt idx="19">
                  <c:v>50.309800000000003</c:v>
                </c:pt>
                <c:pt idx="20">
                  <c:v>50.277999999999999</c:v>
                </c:pt>
                <c:pt idx="21">
                  <c:v>50.139000000000003</c:v>
                </c:pt>
                <c:pt idx="22">
                  <c:v>49.888500000000001</c:v>
                </c:pt>
                <c:pt idx="23">
                  <c:v>49.925999999999995</c:v>
                </c:pt>
                <c:pt idx="24">
                  <c:v>50.090500000000006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28.349299999999999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28.349299999999999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28.349299999999999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28.349299999999999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28.349299999999999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28.349299999999999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28.349299999999999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28.349299999999999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28.349299999999999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28.349299999999999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28.349299999999999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28.349299999999999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28.349299999999999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28.349299999999999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28.349299999999999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28.349299999999999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28.349299999999999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28.349299999999999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28.349299999999999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28.349299999999999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28.349299999999999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28.349299999999999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28.349299999999999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28.349299999999999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-6.824331759881118</c:v>
                </c:pt>
                <c:pt idx="1">
                  <c:v>-6.824331759881118</c:v>
                </c:pt>
                <c:pt idx="2">
                  <c:v>-7</c:v>
                </c:pt>
              </c:numCache>
            </c:numRef>
          </c:xVal>
          <c:yVal>
            <c:numRef>
              <c:f>'R'!$I$5:$I$7</c:f>
              <c:numCache>
                <c:formatCode>0.0_ </c:formatCode>
                <c:ptCount val="3"/>
                <c:pt idx="0">
                  <c:v>0</c:v>
                </c:pt>
                <c:pt idx="1">
                  <c:v>6.950718124717413E-2</c:v>
                </c:pt>
                <c:pt idx="2">
                  <c:v>6.950718124717413E-2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-6.824331759881118</c:v>
                </c:pt>
              </c:numCache>
            </c:numRef>
          </c:xVal>
          <c:yVal>
            <c:numRef>
              <c:f>'R'!$I$4</c:f>
              <c:numCache>
                <c:formatCode>0.00_ </c:formatCode>
                <c:ptCount val="1"/>
                <c:pt idx="0">
                  <c:v>6.950718124717413E-2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56.495040000000003</c:v>
                </c:pt>
                <c:pt idx="1">
                  <c:v>56.495040000000003</c:v>
                </c:pt>
                <c:pt idx="2">
                  <c:v>0</c:v>
                </c:pt>
              </c:numCache>
            </c:numRef>
          </c:xVal>
          <c:yVal>
            <c:numRef>
              <c:f>'R2'!$I$5:$I$7</c:f>
              <c:numCache>
                <c:formatCode>0.0_ </c:formatCode>
                <c:ptCount val="3"/>
                <c:pt idx="0">
                  <c:v>0</c:v>
                </c:pt>
                <c:pt idx="1">
                  <c:v>61.507433527177554</c:v>
                </c:pt>
                <c:pt idx="2">
                  <c:v>61.507433527177554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1.7381800000000001</c:v>
                </c:pt>
                <c:pt idx="1">
                  <c:v>1.7381800000000001</c:v>
                </c:pt>
                <c:pt idx="2">
                  <c:v>0</c:v>
                </c:pt>
              </c:numCache>
            </c:numRef>
          </c:xVal>
          <c:yVal>
            <c:numRef>
              <c:f>'R3'!$I$6:$I$8</c:f>
              <c:numCache>
                <c:formatCode>0.0_ </c:formatCode>
                <c:ptCount val="3"/>
                <c:pt idx="0">
                  <c:v>0</c:v>
                </c:pt>
                <c:pt idx="1">
                  <c:v>41.021760710487797</c:v>
                </c:pt>
                <c:pt idx="2">
                  <c:v>41.021760710487797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1.7381800000000001</c:v>
                </c:pt>
                <c:pt idx="1">
                  <c:v>1.7381800000000001</c:v>
                </c:pt>
                <c:pt idx="2">
                  <c:v>0</c:v>
                </c:pt>
              </c:numCache>
            </c:numRef>
          </c:xVal>
          <c:yVal>
            <c:numRef>
              <c:f>'R4'!$I$5:$I$7</c:f>
              <c:numCache>
                <c:formatCode>0.0_ </c:formatCode>
                <c:ptCount val="3"/>
                <c:pt idx="0">
                  <c:v>0</c:v>
                </c:pt>
                <c:pt idx="1">
                  <c:v>5.7224675653210814E-2</c:v>
                </c:pt>
                <c:pt idx="2">
                  <c:v>5.7224675653210814E-2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0.52013501689855723</c:v>
                </c:pt>
                <c:pt idx="1">
                  <c:v>0.35928934561695453</c:v>
                </c:pt>
                <c:pt idx="2">
                  <c:v>0.12057563748448821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0.40722614932337908</c:v>
                </c:pt>
                <c:pt idx="1">
                  <c:v>0.3947947926808576</c:v>
                </c:pt>
                <c:pt idx="2">
                  <c:v>0.19797905799576324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(39.2 , 41)
의욕 없는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39.184974709437427</c:v>
                      </c:pt>
                    </c:numCache>
                  </c:numRef>
                </c:xVal>
                <c:yVal>
                  <c:numRef>
                    <c:extLst>
                      <c:ext uri="{02D57815-91ED-43cb-92C2-25804820EDAC}">
                        <c15:formulaRef>
                          <c15:sqref>info!$W$20:$W$21</c15:sqref>
                        </c15:formulaRef>
                      </c:ext>
                    </c:extLst>
                    <c:numCache>
                      <c:formatCode>General</c:formatCode>
                      <c:ptCount val="2"/>
                      <c:pt idx="0">
                        <c:v>50</c:v>
                      </c:pt>
                      <c:pt idx="1">
                        <c:v>41.021760710487797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(44.6 , 52.9)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44.5809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47.057700000000004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U2eS%5e1%5e1%5e\2025-05-01%2019_50_0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U2eS%5e1%5e1%5e\2025-05-01%2019_50_0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24521E9-81CF-B787-3B43-83368FD178A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230D543-34FC-2390-C64B-B69F5664AE2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45778.826550925929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U2eS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45778.826550925929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U2eS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-6.824331759881118</v>
      </c>
      <c r="I20" s="862"/>
      <c r="J20" s="311" t="str">
        <f>lang!B174</f>
        <v>정보량</v>
      </c>
      <c r="K20" s="236">
        <f ca="1">info!N9</f>
        <v>35.664732000000001</v>
      </c>
      <c r="L20" s="312" t="str">
        <f>lang!B175</f>
        <v>에너지</v>
      </c>
      <c r="M20" s="863">
        <f ca="1">info!M9</f>
        <v>3.7646168000000007</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25.220199999999998</v>
      </c>
      <c r="N32" s="816"/>
      <c r="O32" s="817">
        <f>Measurement!N7</f>
        <v>39.115299999999998</v>
      </c>
      <c r="P32" s="818"/>
      <c r="Q32" s="819">
        <f>Measurement!T7</f>
        <v>57.592399999999998</v>
      </c>
      <c r="R32" s="820"/>
    </row>
    <row r="33" spans="3:18" ht="12.75" customHeight="1">
      <c r="C33" s="77"/>
      <c r="I33" s="502">
        <f>Measurement!L8</f>
        <v>3</v>
      </c>
      <c r="J33" s="139" t="str">
        <f>lang!B15</f>
        <v>스트레스</v>
      </c>
      <c r="K33" s="90" t="s">
        <v>226</v>
      </c>
      <c r="L33" s="504" t="str">
        <f>Measurement!Y8</f>
        <v>보통</v>
      </c>
      <c r="M33" s="792">
        <f>Measurement!R8</f>
        <v>8.06752</v>
      </c>
      <c r="N33" s="793"/>
      <c r="O33" s="806">
        <f>Measurement!N8</f>
        <v>27.4221</v>
      </c>
      <c r="P33" s="807"/>
      <c r="Q33" s="792">
        <f>Measurement!T8</f>
        <v>55.722099999999998</v>
      </c>
      <c r="R33" s="808"/>
    </row>
    <row r="34" spans="3:18" ht="12.75" customHeight="1">
      <c r="C34" s="77"/>
      <c r="I34" s="502">
        <f>Measurement!L9</f>
        <v>3</v>
      </c>
      <c r="J34" s="139" t="str">
        <f>lang!B16</f>
        <v>불안</v>
      </c>
      <c r="K34" s="90" t="s">
        <v>227</v>
      </c>
      <c r="L34" s="504" t="str">
        <f>Measurement!Y9</f>
        <v>보통</v>
      </c>
      <c r="M34" s="792">
        <f>Measurement!R9</f>
        <v>17.173999999999999</v>
      </c>
      <c r="N34" s="793"/>
      <c r="O34" s="806">
        <f>Measurement!N9</f>
        <v>26.611000000000001</v>
      </c>
      <c r="P34" s="807"/>
      <c r="Q34" s="792">
        <f>Measurement!T9</f>
        <v>52.300699999999999</v>
      </c>
      <c r="R34" s="808"/>
    </row>
    <row r="35" spans="3:18" ht="12.75" customHeight="1">
      <c r="C35" s="77"/>
      <c r="I35" s="502">
        <f>Measurement!L10</f>
        <v>3</v>
      </c>
      <c r="J35" s="139" t="str">
        <f>lang!B17</f>
        <v>의심</v>
      </c>
      <c r="K35" s="90" t="s">
        <v>225</v>
      </c>
      <c r="L35" s="504" t="str">
        <f>Measurement!Y10</f>
        <v>보통</v>
      </c>
      <c r="M35" s="792">
        <f>Measurement!R10</f>
        <v>27.824400000000001</v>
      </c>
      <c r="N35" s="793"/>
      <c r="O35" s="806">
        <f>Measurement!N10</f>
        <v>32.507300000000001</v>
      </c>
      <c r="P35" s="807"/>
      <c r="Q35" s="792">
        <f>Measurement!T10</f>
        <v>40.782499999999999</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34.818100000000001</v>
      </c>
      <c r="P36" s="807"/>
      <c r="Q36" s="792">
        <f>Measurement!T11</f>
        <v>63.712699999999998</v>
      </c>
      <c r="R36" s="808"/>
    </row>
    <row r="37" spans="3:18" ht="12.75" customHeight="1">
      <c r="C37" s="77"/>
      <c r="I37" s="502">
        <f>Measurement!L12</f>
        <v>3</v>
      </c>
      <c r="J37" s="139" t="str">
        <f>lang!B19</f>
        <v>카리스마</v>
      </c>
      <c r="K37" s="90" t="s">
        <v>229</v>
      </c>
      <c r="L37" s="504" t="str">
        <f>Measurement!Y12</f>
        <v>보통</v>
      </c>
      <c r="M37" s="792">
        <f>Measurement!R12</f>
        <v>31.725899999999999</v>
      </c>
      <c r="N37" s="793"/>
      <c r="O37" s="806">
        <f>Measurement!N12</f>
        <v>65.433199999999999</v>
      </c>
      <c r="P37" s="807"/>
      <c r="Q37" s="792">
        <f>Measurement!T12</f>
        <v>84.025199999999998</v>
      </c>
      <c r="R37" s="808"/>
    </row>
    <row r="38" spans="3:18" ht="12.75" customHeight="1">
      <c r="C38" s="77"/>
      <c r="I38" s="502">
        <f>Measurement!L13</f>
        <v>3</v>
      </c>
      <c r="J38" s="139" t="str">
        <f>lang!B20</f>
        <v>에너지</v>
      </c>
      <c r="K38" s="90" t="s">
        <v>2170</v>
      </c>
      <c r="L38" s="504" t="str">
        <f>Measurement!Y13</f>
        <v>보통</v>
      </c>
      <c r="M38" s="792">
        <f>Measurement!R13</f>
        <v>11.068300000000001</v>
      </c>
      <c r="N38" s="793"/>
      <c r="O38" s="806">
        <f>Measurement!N13</f>
        <v>26.052199999999999</v>
      </c>
      <c r="P38" s="807"/>
      <c r="Q38" s="792">
        <f>Measurement!T13</f>
        <v>37.425800000000002</v>
      </c>
      <c r="R38" s="808"/>
    </row>
    <row r="39" spans="3:18" ht="12.75" customHeight="1">
      <c r="C39" s="77"/>
      <c r="I39" s="502">
        <f>Measurement!L14</f>
        <v>3</v>
      </c>
      <c r="J39" s="139" t="str">
        <f>lang!B21</f>
        <v>자기조절</v>
      </c>
      <c r="K39" s="90" t="s">
        <v>230</v>
      </c>
      <c r="L39" s="504" t="str">
        <f>Measurement!Y14</f>
        <v>보통</v>
      </c>
      <c r="M39" s="792">
        <f>Measurement!R14</f>
        <v>15.8629</v>
      </c>
      <c r="N39" s="793"/>
      <c r="O39" s="806">
        <f>Measurement!N14</f>
        <v>55.605400000000003</v>
      </c>
      <c r="P39" s="807"/>
      <c r="Q39" s="792">
        <f>Measurement!T14</f>
        <v>60.547400000000003</v>
      </c>
      <c r="R39" s="808"/>
    </row>
    <row r="40" spans="3:18" ht="12.75" customHeight="1">
      <c r="C40" s="77"/>
      <c r="I40" s="502">
        <f>Measurement!L15</f>
        <v>2</v>
      </c>
      <c r="J40" s="139" t="str">
        <f>lang!B22</f>
        <v>억제</v>
      </c>
      <c r="K40" s="91" t="s">
        <v>248</v>
      </c>
      <c r="L40" s="504" t="str">
        <f>Measurement!Y15</f>
        <v>낮음</v>
      </c>
      <c r="M40" s="792">
        <f>Measurement!R15</f>
        <v>12.2135</v>
      </c>
      <c r="N40" s="793"/>
      <c r="O40" s="806">
        <f>Measurement!N15</f>
        <v>14.4841</v>
      </c>
      <c r="P40" s="807"/>
      <c r="Q40" s="792">
        <f>Measurement!T15</f>
        <v>21.731999999999999</v>
      </c>
      <c r="R40" s="808"/>
    </row>
    <row r="41" spans="3:18" ht="12.75" customHeight="1" thickBot="1">
      <c r="C41" s="77"/>
      <c r="I41" s="502">
        <f>Measurement!L16</f>
        <v>3</v>
      </c>
      <c r="J41" s="140" t="str">
        <f>lang!B23</f>
        <v>신경성</v>
      </c>
      <c r="K41" s="92" t="s">
        <v>231</v>
      </c>
      <c r="L41" s="504" t="str">
        <f>Measurement!Y16</f>
        <v>보통</v>
      </c>
      <c r="M41" s="794">
        <f>Measurement!R16</f>
        <v>1.34721</v>
      </c>
      <c r="N41" s="795"/>
      <c r="O41" s="796">
        <f>Measurement!N16</f>
        <v>27.685300000000002</v>
      </c>
      <c r="P41" s="797"/>
      <c r="Q41" s="794">
        <f>Measurement!T16</f>
        <v>29.273299999999999</v>
      </c>
      <c r="R41" s="798"/>
    </row>
    <row r="42" spans="3:18" ht="29.25" customHeight="1" thickBot="1">
      <c r="C42" s="77"/>
      <c r="I42" s="84"/>
      <c r="J42" s="780" t="str">
        <f>lang!B215</f>
        <v>감정변이도</v>
      </c>
      <c r="K42" s="781"/>
      <c r="L42" s="319" t="str">
        <f>info!V43</f>
        <v>보통</v>
      </c>
      <c r="M42" s="782">
        <f>info!W43</f>
        <v>27.464400000000001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1.7381800000000001</v>
      </c>
      <c r="E44" s="249" t="s">
        <v>1072</v>
      </c>
      <c r="G44" s="289"/>
      <c r="H44" s="289"/>
      <c r="I44" s="290"/>
      <c r="J44" s="802">
        <f>info!$W$36</f>
        <v>56.495040000000003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45778.826550925929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U2eS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-6.824331759881118</v>
      </c>
      <c r="I20" s="862"/>
      <c r="J20" s="311" t="str">
        <f>lang!B174</f>
        <v>정보량</v>
      </c>
      <c r="K20" s="236">
        <f ca="1">info!N9</f>
        <v>35.664732000000001</v>
      </c>
      <c r="L20" s="312" t="str">
        <f>lang!B175</f>
        <v>에너지</v>
      </c>
      <c r="M20" s="863">
        <f ca="1">info!M9</f>
        <v>3.7646168000000007</v>
      </c>
      <c r="N20" s="864"/>
      <c r="O20" s="846" t="str">
        <f>lang!B180</f>
        <v>유형</v>
      </c>
      <c r="P20" s="865"/>
      <c r="Q20" s="846" t="str">
        <f>IF(info!CB24&lt;&gt;"", info!CB24,"")</f>
        <v>4</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불편한 정서 상태이고, 심리정보 변화가 증가하고 있어 정서상태가 좋아질 수 있다. 에너지 대사량은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25.220199999999998</v>
      </c>
      <c r="N32" s="816"/>
      <c r="O32" s="817">
        <f>Measurement!N7</f>
        <v>39.115299999999998</v>
      </c>
      <c r="P32" s="818"/>
      <c r="Q32" s="819">
        <f>Measurement!T7</f>
        <v>57.592399999999998</v>
      </c>
      <c r="R32" s="820"/>
    </row>
    <row r="33" spans="3:18" ht="12.75" customHeight="1">
      <c r="C33" s="77"/>
      <c r="I33" s="502">
        <f>Measurement!L8</f>
        <v>3</v>
      </c>
      <c r="J33" s="139" t="str">
        <f>lang!B15</f>
        <v>스트레스</v>
      </c>
      <c r="K33" s="90" t="s">
        <v>226</v>
      </c>
      <c r="L33" s="504" t="str">
        <f>Measurement!Y8</f>
        <v>보통</v>
      </c>
      <c r="M33" s="792">
        <f>Measurement!R8</f>
        <v>8.06752</v>
      </c>
      <c r="N33" s="793"/>
      <c r="O33" s="806">
        <f>Measurement!N8</f>
        <v>27.4221</v>
      </c>
      <c r="P33" s="807"/>
      <c r="Q33" s="792">
        <f>Measurement!T8</f>
        <v>55.722099999999998</v>
      </c>
      <c r="R33" s="808"/>
    </row>
    <row r="34" spans="3:18" ht="12.75" customHeight="1">
      <c r="C34" s="77"/>
      <c r="I34" s="502">
        <f>Measurement!L9</f>
        <v>3</v>
      </c>
      <c r="J34" s="139" t="str">
        <f>lang!B16</f>
        <v>불안</v>
      </c>
      <c r="K34" s="90" t="s">
        <v>227</v>
      </c>
      <c r="L34" s="504" t="str">
        <f>Measurement!Y9</f>
        <v>보통</v>
      </c>
      <c r="M34" s="792">
        <f>Measurement!R9</f>
        <v>17.173999999999999</v>
      </c>
      <c r="N34" s="793"/>
      <c r="O34" s="806">
        <f>Measurement!N9</f>
        <v>26.611000000000001</v>
      </c>
      <c r="P34" s="807"/>
      <c r="Q34" s="792">
        <f>Measurement!T9</f>
        <v>52.300699999999999</v>
      </c>
      <c r="R34" s="808"/>
    </row>
    <row r="35" spans="3:18" ht="12.75" customHeight="1">
      <c r="C35" s="77"/>
      <c r="I35" s="502">
        <f>Measurement!L10</f>
        <v>3</v>
      </c>
      <c r="J35" s="139" t="str">
        <f>lang!B17</f>
        <v>의심</v>
      </c>
      <c r="K35" s="90" t="s">
        <v>225</v>
      </c>
      <c r="L35" s="504" t="str">
        <f>Measurement!Y10</f>
        <v>보통</v>
      </c>
      <c r="M35" s="792">
        <f>Measurement!R10</f>
        <v>27.824400000000001</v>
      </c>
      <c r="N35" s="793"/>
      <c r="O35" s="806">
        <f>Measurement!N10</f>
        <v>32.507300000000001</v>
      </c>
      <c r="P35" s="807"/>
      <c r="Q35" s="792">
        <f>Measurement!T10</f>
        <v>40.782499999999999</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34.818100000000001</v>
      </c>
      <c r="P36" s="807"/>
      <c r="Q36" s="792">
        <f>Measurement!T11</f>
        <v>63.712699999999998</v>
      </c>
      <c r="R36" s="808"/>
    </row>
    <row r="37" spans="3:18" ht="12.75" customHeight="1">
      <c r="C37" s="77"/>
      <c r="I37" s="502">
        <f>Measurement!L12</f>
        <v>3</v>
      </c>
      <c r="J37" s="139" t="str">
        <f>lang!B19</f>
        <v>카리스마</v>
      </c>
      <c r="K37" s="90" t="s">
        <v>229</v>
      </c>
      <c r="L37" s="504" t="str">
        <f>Measurement!Y12</f>
        <v>보통</v>
      </c>
      <c r="M37" s="792">
        <f>Measurement!R12</f>
        <v>31.725899999999999</v>
      </c>
      <c r="N37" s="793"/>
      <c r="O37" s="806">
        <f>Measurement!N12</f>
        <v>65.433199999999999</v>
      </c>
      <c r="P37" s="807"/>
      <c r="Q37" s="792">
        <f>Measurement!T12</f>
        <v>84.025199999999998</v>
      </c>
      <c r="R37" s="808"/>
    </row>
    <row r="38" spans="3:18" ht="12.75" customHeight="1">
      <c r="C38" s="77"/>
      <c r="I38" s="502">
        <f>Measurement!L13</f>
        <v>3</v>
      </c>
      <c r="J38" s="139" t="str">
        <f>lang!B20</f>
        <v>에너지</v>
      </c>
      <c r="K38" s="90" t="s">
        <v>2170</v>
      </c>
      <c r="L38" s="504" t="str">
        <f>Measurement!Y13</f>
        <v>보통</v>
      </c>
      <c r="M38" s="792">
        <f>Measurement!R13</f>
        <v>11.068300000000001</v>
      </c>
      <c r="N38" s="793"/>
      <c r="O38" s="806">
        <f>Measurement!N13</f>
        <v>26.052199999999999</v>
      </c>
      <c r="P38" s="807"/>
      <c r="Q38" s="792">
        <f>Measurement!T13</f>
        <v>37.425800000000002</v>
      </c>
      <c r="R38" s="808"/>
    </row>
    <row r="39" spans="3:18" ht="12.75" customHeight="1">
      <c r="C39" s="77"/>
      <c r="I39" s="502">
        <f>Measurement!L14</f>
        <v>3</v>
      </c>
      <c r="J39" s="139" t="str">
        <f>lang!B21</f>
        <v>자기조절</v>
      </c>
      <c r="K39" s="90" t="s">
        <v>230</v>
      </c>
      <c r="L39" s="504" t="str">
        <f>Measurement!Y14</f>
        <v>보통</v>
      </c>
      <c r="M39" s="792">
        <f>Measurement!R14</f>
        <v>15.8629</v>
      </c>
      <c r="N39" s="793"/>
      <c r="O39" s="806">
        <f>Measurement!N14</f>
        <v>55.605400000000003</v>
      </c>
      <c r="P39" s="807"/>
      <c r="Q39" s="792">
        <f>Measurement!T14</f>
        <v>60.547400000000003</v>
      </c>
      <c r="R39" s="808"/>
    </row>
    <row r="40" spans="3:18" ht="12.75" customHeight="1">
      <c r="C40" s="77"/>
      <c r="I40" s="502">
        <f>Measurement!L15</f>
        <v>2</v>
      </c>
      <c r="J40" s="139" t="str">
        <f>lang!B22</f>
        <v>억제</v>
      </c>
      <c r="K40" s="91" t="s">
        <v>248</v>
      </c>
      <c r="L40" s="504" t="str">
        <f>Measurement!Y15</f>
        <v>낮음</v>
      </c>
      <c r="M40" s="792">
        <f>Measurement!R15</f>
        <v>12.2135</v>
      </c>
      <c r="N40" s="793"/>
      <c r="O40" s="806">
        <f>Measurement!N15</f>
        <v>14.4841</v>
      </c>
      <c r="P40" s="807"/>
      <c r="Q40" s="792">
        <f>Measurement!T15</f>
        <v>21.731999999999999</v>
      </c>
      <c r="R40" s="808"/>
    </row>
    <row r="41" spans="3:18" ht="12.75" customHeight="1" thickBot="1">
      <c r="C41" s="77"/>
      <c r="I41" s="502">
        <f>Measurement!L16</f>
        <v>3</v>
      </c>
      <c r="J41" s="140" t="str">
        <f>lang!B23</f>
        <v>신경성</v>
      </c>
      <c r="K41" s="92" t="s">
        <v>231</v>
      </c>
      <c r="L41" s="504" t="str">
        <f>Measurement!Y16</f>
        <v>보통</v>
      </c>
      <c r="M41" s="794">
        <f>Measurement!R16</f>
        <v>1.34721</v>
      </c>
      <c r="N41" s="795"/>
      <c r="O41" s="796">
        <f>Measurement!N16</f>
        <v>27.685300000000002</v>
      </c>
      <c r="P41" s="797"/>
      <c r="Q41" s="794">
        <f>Measurement!T16</f>
        <v>29.273299999999999</v>
      </c>
      <c r="R41" s="798"/>
    </row>
    <row r="42" spans="3:18" ht="29.25" customHeight="1" thickBot="1">
      <c r="C42" s="77"/>
      <c r="I42" s="84"/>
      <c r="J42" s="780" t="str">
        <f>lang!B215</f>
        <v>감정변이도</v>
      </c>
      <c r="K42" s="781"/>
      <c r="L42" s="319" t="str">
        <f>info!V43</f>
        <v>보통</v>
      </c>
      <c r="M42" s="782">
        <f>info!W43</f>
        <v>27.464400000000001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1.7381800000000001</v>
      </c>
      <c r="E44" s="249" t="s">
        <v>1195</v>
      </c>
      <c r="G44" s="289"/>
      <c r="H44" s="289"/>
      <c r="I44" s="290"/>
      <c r="J44" s="802">
        <f>info!$W$36</f>
        <v>56.495040000000003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45778.826550925929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U2eS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(0.17,0.45)</v>
      </c>
      <c r="S18" s="966"/>
      <c r="T18" s="967"/>
    </row>
    <row r="19" spans="2:22" ht="16.5" customHeight="1">
      <c r="C19" s="136" t="str">
        <f>lang!B328</f>
        <v>최소값</v>
      </c>
      <c r="D19" s="105">
        <f ca="1">info!M7</f>
        <v>16.046399999999998</v>
      </c>
      <c r="E19" s="94" t="str">
        <f>lang!B330</f>
        <v>평균값</v>
      </c>
      <c r="F19" s="971">
        <f ca="1">info!N9</f>
        <v>35.664732000000001</v>
      </c>
      <c r="G19" s="972"/>
      <c r="H19" s="912" t="str">
        <f>lang!B329</f>
        <v>최대값</v>
      </c>
      <c r="I19" s="913"/>
      <c r="J19" s="105">
        <f ca="1">info!M8</f>
        <v>50.426000000000002</v>
      </c>
      <c r="K19" s="137" t="str">
        <f>lang!B328</f>
        <v>최소값</v>
      </c>
      <c r="L19" s="105">
        <f ca="1">info!M5</f>
        <v>3.2344299999999997</v>
      </c>
      <c r="M19" s="94" t="str">
        <f>lang!B330</f>
        <v>평균값</v>
      </c>
      <c r="N19" s="971">
        <f ca="1">info!M9</f>
        <v>3.7646168000000007</v>
      </c>
      <c r="O19" s="972">
        <f>info!T9</f>
        <v>1</v>
      </c>
      <c r="P19" s="94" t="str">
        <f>lang!B329</f>
        <v>최대값</v>
      </c>
      <c r="Q19" s="105">
        <f ca="1">info!M6</f>
        <v>4.8329599999999999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9.9194437886197093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1.7381770000000001</v>
      </c>
      <c r="N47" s="986"/>
      <c r="O47" s="451"/>
      <c r="P47" s="491" t="s">
        <v>1101</v>
      </c>
      <c r="Q47" s="987">
        <f>hist!M3</f>
        <v>0.58176899999999998</v>
      </c>
      <c r="R47" s="986"/>
      <c r="S47" s="451"/>
      <c r="T47" s="452"/>
    </row>
    <row r="48" spans="3:20" ht="18" customHeight="1">
      <c r="C48" s="931"/>
      <c r="D48" s="910"/>
      <c r="E48" s="910"/>
      <c r="F48" s="355"/>
      <c r="G48" s="355"/>
      <c r="H48" s="356"/>
      <c r="I48" s="356"/>
      <c r="J48" s="951"/>
      <c r="K48" s="951"/>
      <c r="L48" s="936"/>
      <c r="M48" s="988">
        <f>hist!N2</f>
        <v>0.49646400000000002</v>
      </c>
      <c r="N48" s="989"/>
      <c r="O48" s="451"/>
      <c r="P48" s="491" t="s">
        <v>1102</v>
      </c>
      <c r="Q48" s="986">
        <f>hist!N3</f>
        <v>0.42395500000000003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0.246476</v>
      </c>
      <c r="N49" s="991"/>
      <c r="O49" s="453"/>
      <c r="P49" s="454" t="s">
        <v>1588</v>
      </c>
      <c r="Q49" s="992">
        <f>hist!O3</f>
        <v>0.17973800000000001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vision^U2eS^1^1^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39.184974709437427</v>
      </c>
      <c r="CK4" s="422">
        <f>info!W21</f>
        <v>41.021760710487797</v>
      </c>
      <c r="CL4">
        <f>100-M!B19*100</f>
        <v>47.057700000000004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45778.826550925929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27.464400000000001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7</v>
      </c>
      <c r="BX6" s="220">
        <f t="shared" si="0"/>
        <v>9</v>
      </c>
      <c r="BY6" s="220">
        <f t="shared" si="0"/>
        <v>2</v>
      </c>
      <c r="BZ6" s="220">
        <f t="shared" si="0"/>
        <v>1</v>
      </c>
      <c r="CA6" s="220">
        <f t="shared" si="0"/>
        <v>6</v>
      </c>
      <c r="CB6" s="220">
        <f t="shared" si="0"/>
        <v>3</v>
      </c>
      <c r="CC6" s="220">
        <f t="shared" si="0"/>
        <v>8</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39.115299999999998</v>
      </c>
      <c r="O7" s="48">
        <f>M!C5*1</f>
        <v>6.6978200000000001</v>
      </c>
      <c r="P7" s="48">
        <f>M!D5*1</f>
        <v>17.1233</v>
      </c>
      <c r="Q7" s="48">
        <f>M!E5*1</f>
        <v>20</v>
      </c>
      <c r="R7" s="48">
        <f>IF(M!B5="","",M!F5*1)</f>
        <v>25.220199999999998</v>
      </c>
      <c r="S7" s="48">
        <f>M!G5*1</f>
        <v>50</v>
      </c>
      <c r="T7" s="48">
        <f>IF(M!B5="","",M!H5*1)</f>
        <v>57.592399999999998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-0.26144458563261586</v>
      </c>
      <c r="AI7" s="98">
        <v>2.5024862326905418E-2</v>
      </c>
      <c r="AJ7" s="98">
        <v>-7.7313821231156016E-2</v>
      </c>
      <c r="AK7" s="98">
        <v>0.50012525104428274</v>
      </c>
      <c r="AL7" s="98">
        <v>-8.545985269705475E-2</v>
      </c>
      <c r="AM7" s="98">
        <f>$AH7*AI7+$AH8*AI8+$AH9*AI9+$AH10*AI10+$AH11*AI11+$AH12*AI12+$AH13*AI13+$AH14*AI14+$AH15*AI15+$AH16*AI16</f>
        <v>6.9463155917196082E-2</v>
      </c>
      <c r="AN7" s="98">
        <f t="shared" ref="AN7:AP7" si="2">$AH7*AJ7+$AH8*AJ8+$AH9*AJ9+$AH10*AJ10+$AH11*AJ11+$AH12*AJ12+$AH13*AJ13+$AH14*AJ14+$AH15*AJ15+$AH16*AJ16</f>
        <v>1.4475958791492742</v>
      </c>
      <c r="AO7" s="98">
        <f t="shared" si="2"/>
        <v>-5.4548369178731078E-2</v>
      </c>
      <c r="AP7" s="98">
        <f t="shared" si="2"/>
        <v>-6.5194880795896912</v>
      </c>
      <c r="AQ7" s="335">
        <f>IF(SUM(N7:N16)&gt;0, 0.8608*AM7+0.333*AN7+0.104*AO7+1.129*AP7,"")</f>
        <v>-6.824331759881118</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39.115299999999998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231.99938825859999</v>
      </c>
      <c r="BL7" s="56">
        <f t="shared" ref="BL7:BT7" si="3">BB7*$AY7+BB8*$AY8+BB9*$AY9+BB10*$AY10+BB11*$AY11+BB12*$AY12+BB13*$AY13+BB14</f>
        <v>229.45581020059996</v>
      </c>
      <c r="BM7" s="56">
        <f t="shared" si="3"/>
        <v>223.5127059475999</v>
      </c>
      <c r="BN7" s="56">
        <f t="shared" si="3"/>
        <v>235.13960561279993</v>
      </c>
      <c r="BO7" s="56">
        <f t="shared" si="3"/>
        <v>237.22167626139992</v>
      </c>
      <c r="BP7" s="56">
        <f t="shared" si="3"/>
        <v>230.47312739099993</v>
      </c>
      <c r="BQ7" s="56">
        <f t="shared" si="3"/>
        <v>233.51298731480006</v>
      </c>
      <c r="BR7" s="56">
        <f t="shared" si="3"/>
        <v>226.81020105659991</v>
      </c>
      <c r="BS7" s="56">
        <f t="shared" si="3"/>
        <v>232.53450192940005</v>
      </c>
      <c r="BT7" s="56">
        <f t="shared" si="3"/>
        <v>222.41913662420001</v>
      </c>
      <c r="BU7" s="56">
        <f>EXP(BK7)+EXP(BL7)+EXP(BM7)+EXP(BN7)+EXP(BO7)+EXP(BP7)+EXP(BQ7)+EXP(BR7)+EXP(BS7)+EXP(BT7)</f>
        <v>1.231817612732328E+103</v>
      </c>
      <c r="BV7" s="56">
        <f>IF(SUM($AY$7:$AY$13)&gt;0,EXP(BK7)/$BU$7,"")</f>
        <v>4.6292188856233802E-3</v>
      </c>
      <c r="BW7" s="56">
        <f t="shared" ref="BW7:CE7" si="4">IF(SUM($AY$7:$AY$13)&gt;0,EXP(BL7)/$BU$7,"")</f>
        <v>3.6378584902085849E-4</v>
      </c>
      <c r="BX7" s="56">
        <f t="shared" si="4"/>
        <v>9.5452744270387141E-7</v>
      </c>
      <c r="BY7" s="56">
        <f t="shared" si="4"/>
        <v>0.10697610597250558</v>
      </c>
      <c r="BZ7" s="56">
        <f t="shared" si="4"/>
        <v>0.85806182110019924</v>
      </c>
      <c r="CA7" s="56">
        <f t="shared" si="4"/>
        <v>1.006146089229737E-3</v>
      </c>
      <c r="CB7" s="56">
        <f t="shared" si="4"/>
        <v>2.1030782606941242E-2</v>
      </c>
      <c r="CC7" s="56">
        <f t="shared" si="4"/>
        <v>2.5815013044507311E-5</v>
      </c>
      <c r="CD7" s="56">
        <f t="shared" si="4"/>
        <v>7.9050501715763003E-3</v>
      </c>
      <c r="CE7" s="56">
        <f t="shared" si="4"/>
        <v>3.1978441646849858E-7</v>
      </c>
      <c r="CF7" s="418" t="s">
        <v>1870</v>
      </c>
      <c r="CG7" s="221">
        <f>IF(SUM($AY$7:$AY$13)&gt;0,HLOOKUP(1,$BV$6:$CE$7,2,FALSE),"")</f>
        <v>0.85806182110019924</v>
      </c>
      <c r="CH7" s="221">
        <f>IF(SUM($AY$7:$AY$13)&gt;0,HLOOKUP(2,$BV$6:$CE$7,2,FALSE),"")</f>
        <v>0.10697610597250558</v>
      </c>
      <c r="CI7" s="425" t="str">
        <f>"( "&amp;IF(CG7&lt;&gt;"",ROUND(CG7*100,0),"")&amp;" , "&amp;IF(CH7&lt;&gt;"",ROUND(CH7*100,0),"")&amp;" )"</f>
        <v>( 86 , 11 )</v>
      </c>
      <c r="CJ7" s="420">
        <f>CG7</f>
        <v>0.85806182110019924</v>
      </c>
      <c r="CK7" s="420">
        <f>CH7</f>
        <v>0.10697610597250558</v>
      </c>
      <c r="CL7" s="425" t="str">
        <f>CI7</f>
        <v>( 86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39.115299999999998</v>
      </c>
      <c r="DJ7" s="265">
        <f>(DI7-$DB7)/$DC7</f>
        <v>0.40662831237896913</v>
      </c>
      <c r="DK7" s="266">
        <f>IF(DH7=1,(DJ7-DF7)^2,0)</f>
        <v>0.54722337377005525</v>
      </c>
      <c r="DL7" s="267">
        <f>IF(DH7=1,(DJ7-DG7)^2,0)</f>
        <v>2.6429163723012525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27.4221</v>
      </c>
      <c r="O8" s="48">
        <f>M!C6*1</f>
        <v>12.460900000000001</v>
      </c>
      <c r="P8" s="48">
        <f>M!D6*1</f>
        <v>45.441299999999998</v>
      </c>
      <c r="Q8" s="48">
        <f>M!E6*1</f>
        <v>20</v>
      </c>
      <c r="R8" s="48">
        <f>IF(M!B6="","",M!F6*1)</f>
        <v>8.06752</v>
      </c>
      <c r="S8" s="48">
        <f>M!G6*1</f>
        <v>40</v>
      </c>
      <c r="T8" s="48">
        <f>IF(M!B6="","",M!H6*1)</f>
        <v>55.722099999999998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-3.6419738656817427E-2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27.4221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27.4221</v>
      </c>
      <c r="DJ8" s="265">
        <f t="shared" ref="DJ8:DJ14" si="8">(DI8-$DB8)/$DC8</f>
        <v>-0.64719523732258843</v>
      </c>
      <c r="DK8" s="273">
        <f t="shared" ref="DK8:DK14" si="9">IF(DH8=1,(DJ8-DF8)^2,0)</f>
        <v>0.69796726967254574</v>
      </c>
      <c r="DL8" s="274">
        <f t="shared" ref="DL8:DL14" si="10">IF(DH8=1,(DJ8-DG8)^2,0)</f>
        <v>0.84400312271072175</v>
      </c>
    </row>
    <row r="9" spans="2:119" s="5" customFormat="1" ht="24.75" customHeight="1" thickBot="1">
      <c r="B9" s="62" t="str">
        <f>CONCATENATE(M7,"
(20 ~ 50)")</f>
        <v>적극/공격성
(20 ~ 50)</v>
      </c>
      <c r="C9" s="63">
        <f>R7</f>
        <v>25.220199999999998</v>
      </c>
      <c r="D9" s="64">
        <f>N7</f>
        <v>39.115299999999998</v>
      </c>
      <c r="E9" s="65">
        <f>T7</f>
        <v>57.592399999999998</v>
      </c>
      <c r="F9" s="65">
        <f>P7</f>
        <v>17.1233</v>
      </c>
      <c r="G9" s="66" t="str">
        <f>CONCATENATE(M8,"
(20 ~ 40)")</f>
        <v>스트레스
(20 ~ 40)</v>
      </c>
      <c r="H9" s="63">
        <f>R8</f>
        <v>8.06752</v>
      </c>
      <c r="I9" s="67">
        <f>N8</f>
        <v>27.4221</v>
      </c>
      <c r="J9" s="63">
        <f>T8</f>
        <v>55.722099999999998</v>
      </c>
      <c r="K9" s="68">
        <f>P8</f>
        <v>45.441299999999998</v>
      </c>
      <c r="L9" s="1">
        <f>IF(M!B7="","",IF(N9&lt;U9,1,IF(N9&lt;V9,2,IF(N9&lt;W9,3,IF(N9&lt;X9,4,5)))))</f>
        <v>3</v>
      </c>
      <c r="M9" s="162" t="str">
        <f>lang!B16</f>
        <v>불안</v>
      </c>
      <c r="N9" s="48">
        <f>IF(M!B7="","",M!B7*1)</f>
        <v>26.611000000000001</v>
      </c>
      <c r="O9" s="48">
        <f>M!C7*1</f>
        <v>8.8369099999999996</v>
      </c>
      <c r="P9" s="48">
        <f>M!D7*1</f>
        <v>33.207799999999999</v>
      </c>
      <c r="Q9" s="48">
        <f>M!E7*1</f>
        <v>15</v>
      </c>
      <c r="R9" s="48">
        <f>IF(M!B7="","",M!F7*1)</f>
        <v>17.173999999999999</v>
      </c>
      <c r="S9" s="48">
        <f>M!G7*1</f>
        <v>40</v>
      </c>
      <c r="T9" s="48">
        <f>IF(M!B7="","",M!H7*1)</f>
        <v>52.300699999999999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0.58744160693742875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26.611000000000001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26.611000000000001</v>
      </c>
      <c r="DJ9" s="265">
        <f t="shared" si="8"/>
        <v>-0.26942552538654285</v>
      </c>
      <c r="DK9" s="273">
        <f t="shared" si="9"/>
        <v>0.9001455687409603</v>
      </c>
      <c r="DL9" s="274">
        <f t="shared" si="10"/>
        <v>0.1829359935461132</v>
      </c>
      <c r="DM9"/>
      <c r="DN9"/>
    </row>
    <row r="10" spans="2:119" s="4" customFormat="1" ht="30.3" thickBot="1">
      <c r="B10" s="57" t="str">
        <f>CONCATENATE(M9,"
(15 ~ 40)")</f>
        <v>불안
(15 ~ 40)</v>
      </c>
      <c r="C10" s="17">
        <f>R9</f>
        <v>17.173999999999999</v>
      </c>
      <c r="D10" s="41">
        <f>N9</f>
        <v>26.611000000000001</v>
      </c>
      <c r="E10" s="43">
        <f>T9</f>
        <v>52.300699999999999</v>
      </c>
      <c r="F10" s="43">
        <f>P9</f>
        <v>33.207799999999999</v>
      </c>
      <c r="G10" s="59" t="str">
        <f>CONCATENATE(M10,"
(20 ~ 50)")</f>
        <v>의심
(20 ~ 50)</v>
      </c>
      <c r="H10" s="17">
        <f>R10</f>
        <v>27.824400000000001</v>
      </c>
      <c r="I10" s="42">
        <f>N10</f>
        <v>32.507300000000001</v>
      </c>
      <c r="J10" s="17">
        <f>T10</f>
        <v>40.782499999999999</v>
      </c>
      <c r="K10" s="18">
        <f>P10</f>
        <v>12.6557</v>
      </c>
      <c r="L10" s="1">
        <f>IF(M!B8="","",IF(N10&lt;U10,1,IF(N10&lt;V10,2,IF(N10&lt;W10,3,IF(N10&lt;X10,4,5)))))</f>
        <v>3</v>
      </c>
      <c r="M10" s="162" t="str">
        <f>lang!B17</f>
        <v>의심</v>
      </c>
      <c r="N10" s="48">
        <f>IF(M!B8="","",M!B8*1)</f>
        <v>32.507300000000001</v>
      </c>
      <c r="O10" s="48">
        <f>M!C8*1</f>
        <v>4.1140299999999996</v>
      </c>
      <c r="P10" s="48">
        <f>M!D8*1</f>
        <v>12.6557</v>
      </c>
      <c r="Q10" s="48">
        <f>M!E8*1</f>
        <v>20</v>
      </c>
      <c r="R10" s="48">
        <f>IF(M!B8="","",M!F8*1)</f>
        <v>27.824400000000001</v>
      </c>
      <c r="S10" s="48">
        <f>M!G8*1</f>
        <v>50</v>
      </c>
      <c r="T10" s="48">
        <f>IF(M!B8="","",M!H8*1)</f>
        <v>40.782499999999999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0.77662404531022033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34.818100000000001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34.818100000000001</v>
      </c>
      <c r="DJ10" s="265">
        <f t="shared" si="8"/>
        <v>-3.5974273745012249</v>
      </c>
      <c r="DK10" s="273">
        <f t="shared" si="9"/>
        <v>11.155290766479128</v>
      </c>
      <c r="DL10" s="274">
        <f t="shared" si="10"/>
        <v>4.1338806278852998</v>
      </c>
      <c r="DM10"/>
      <c r="DN10"/>
    </row>
    <row r="11" spans="2:119" s="4" customFormat="1" ht="24.75" customHeight="1" thickBot="1">
      <c r="B11" s="57" t="str">
        <f>CONCATENATE(M11,"
(50 ~ 100)")</f>
        <v>밸런스
(50 ~ 100)</v>
      </c>
      <c r="C11" s="17">
        <f>R11</f>
        <v>0</v>
      </c>
      <c r="D11" s="42">
        <f>N11</f>
        <v>34.818100000000001</v>
      </c>
      <c r="E11" s="17">
        <f>T11</f>
        <v>63.712699999999998</v>
      </c>
      <c r="F11" s="17">
        <f>P11</f>
        <v>48.081200000000003</v>
      </c>
      <c r="G11" s="59" t="str">
        <f>CONCATENATE(M12,"
(40 ~ 100)")</f>
        <v>카리스마
(40 ~ 100)</v>
      </c>
      <c r="H11" s="17">
        <f>R12</f>
        <v>31.725899999999999</v>
      </c>
      <c r="I11" s="42">
        <f>N12</f>
        <v>65.433199999999999</v>
      </c>
      <c r="J11" s="17">
        <f>T12</f>
        <v>84.025199999999998</v>
      </c>
      <c r="K11" s="18">
        <f>P12</f>
        <v>22.267299999999999</v>
      </c>
      <c r="L11" s="1">
        <f>IF(M!B9="","",IF(N11&lt;U11,1,IF(N11&lt;V11,2,IF(N11&lt;W11,3,IF(N11&lt;X11,4,5)))))</f>
        <v>1</v>
      </c>
      <c r="M11" s="162" t="str">
        <f>lang!B18</f>
        <v>밸런스</v>
      </c>
      <c r="N11" s="48">
        <f>IF(M!B9="","",M!B9*1)</f>
        <v>34.818100000000001</v>
      </c>
      <c r="O11" s="48">
        <f>M!C9*1</f>
        <v>16.741</v>
      </c>
      <c r="P11" s="48">
        <f>M!D9*1</f>
        <v>48.081200000000003</v>
      </c>
      <c r="Q11" s="48">
        <f>M!E9*1</f>
        <v>50</v>
      </c>
      <c r="R11" s="48">
        <f>IF(M!B9="","",M!F9*1)</f>
        <v>0</v>
      </c>
      <c r="S11" s="48">
        <f>M!G9*1</f>
        <v>100</v>
      </c>
      <c r="T11" s="48">
        <f>IF(M!B9="","",M!H9*1)</f>
        <v>63.712699999999998</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-7.530019852345557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65.433199999999999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65.433199999999999</v>
      </c>
      <c r="DJ11" s="265">
        <f t="shared" si="8"/>
        <v>-5.5167022387780006E-2</v>
      </c>
      <c r="DK11" s="273">
        <f t="shared" si="9"/>
        <v>1.1354781346117089</v>
      </c>
      <c r="DL11" s="274">
        <f t="shared" si="10"/>
        <v>0.1031723550903986</v>
      </c>
      <c r="DM11"/>
      <c r="DN11"/>
    </row>
    <row r="12" spans="2:119" s="4" customFormat="1" ht="24.75" customHeight="1" thickBot="1">
      <c r="B12" s="57" t="str">
        <f>CONCATENATE(M13,"
(10 ~ 50)")</f>
        <v>에너지
(10 ~ 50)</v>
      </c>
      <c r="C12" s="17">
        <f>R13</f>
        <v>11.068300000000001</v>
      </c>
      <c r="D12" s="41">
        <f>N13</f>
        <v>26.052199999999999</v>
      </c>
      <c r="E12" s="43">
        <f>T13</f>
        <v>37.425800000000002</v>
      </c>
      <c r="F12" s="43">
        <f>P13</f>
        <v>26.031700000000001</v>
      </c>
      <c r="G12" s="59" t="str">
        <f>CONCATENATE(M14,"
(50 ~ 100)")</f>
        <v>자기조절
(50 ~ 100)</v>
      </c>
      <c r="H12" s="17">
        <f>R14</f>
        <v>15.8629</v>
      </c>
      <c r="I12" s="42">
        <f>N14</f>
        <v>55.605400000000003</v>
      </c>
      <c r="J12" s="17">
        <f>T14</f>
        <v>60.547400000000003</v>
      </c>
      <c r="K12" s="18">
        <f>P14</f>
        <v>15.4621</v>
      </c>
      <c r="L12" s="1">
        <f>IF(M!B10="","",IF(N12&lt;U12,1,IF(N12&lt;V12,2,IF(N12&lt;W12,3,IF(N12&lt;X12,4,5)))))</f>
        <v>3</v>
      </c>
      <c r="M12" s="162" t="str">
        <f>lang!B19</f>
        <v>카리스마</v>
      </c>
      <c r="N12" s="48">
        <f>IF(M!B10="","",M!B10*1)</f>
        <v>65.433199999999999</v>
      </c>
      <c r="O12" s="48">
        <f>M!C10*1</f>
        <v>14.5702</v>
      </c>
      <c r="P12" s="48">
        <f>M!D10*1</f>
        <v>22.267299999999999</v>
      </c>
      <c r="Q12" s="48">
        <f>M!E10*1</f>
        <v>40</v>
      </c>
      <c r="R12" s="48">
        <f>IF(M!B10="","",M!F10*1)</f>
        <v>31.725899999999999</v>
      </c>
      <c r="S12" s="48">
        <f>M!G10*1</f>
        <v>100</v>
      </c>
      <c r="T12" s="48">
        <f>IF(M!B10="","",M!H10*1)</f>
        <v>84.025199999999998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-0.98378182729386232</v>
      </c>
      <c r="AI12" s="98">
        <v>0.31913434649697919</v>
      </c>
      <c r="AJ12" s="98">
        <v>3.8587997439955973E-2</v>
      </c>
      <c r="AK12" s="98">
        <v>1.0272327081707585E-2</v>
      </c>
      <c r="AL12" s="98">
        <v>1.9404033844491575E-2</v>
      </c>
      <c r="AM12" s="101"/>
      <c r="AN12" s="101"/>
      <c r="AO12" s="101"/>
      <c r="AP12" s="101"/>
      <c r="AX12" s="171"/>
      <c r="AY12" s="219">
        <f>N13</f>
        <v>26.052199999999999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26.052199999999999</v>
      </c>
      <c r="DJ12" s="265">
        <f t="shared" si="8"/>
        <v>1.2664496690050877</v>
      </c>
      <c r="DK12" s="273">
        <f t="shared" si="9"/>
        <v>0.38607270999435872</v>
      </c>
      <c r="DL12" s="274">
        <f t="shared" si="10"/>
        <v>0.85575197827795524</v>
      </c>
      <c r="DM12"/>
      <c r="DN12"/>
    </row>
    <row r="13" spans="2:119" ht="24.75" customHeight="1" thickBot="1">
      <c r="B13" s="58" t="str">
        <f>CONCATENATE(M15,"
(10 ~ 25)")</f>
        <v>억제
(10 ~ 25)</v>
      </c>
      <c r="C13" s="44">
        <f>R15</f>
        <v>12.2135</v>
      </c>
      <c r="D13" s="45">
        <f>N15</f>
        <v>14.4841</v>
      </c>
      <c r="E13" s="46">
        <f>T15</f>
        <v>21.731999999999999</v>
      </c>
      <c r="F13" s="46">
        <f>P15</f>
        <v>19.1143</v>
      </c>
      <c r="G13" s="60" t="str">
        <f>CONCATENATE(M16,"
(10 ~ 50)")</f>
        <v>신경성
(10 ~ 50)</v>
      </c>
      <c r="H13" s="44">
        <f>R16</f>
        <v>1.34721</v>
      </c>
      <c r="I13" s="45">
        <f>N16</f>
        <v>27.685300000000002</v>
      </c>
      <c r="J13" s="46">
        <f>T16</f>
        <v>29.273299999999999</v>
      </c>
      <c r="K13" s="47">
        <f>P16</f>
        <v>35.259500000000003</v>
      </c>
      <c r="L13" s="1">
        <f>IF(M!B11="","",IF(N13&lt;U13,1,IF(N13&lt;V13,2,IF(N13&lt;W13,3,IF(N13&lt;X13,4,5)))))</f>
        <v>3</v>
      </c>
      <c r="M13" s="162" t="str">
        <f>lang!B20</f>
        <v>에너지</v>
      </c>
      <c r="N13" s="48">
        <f>IF(M!B11="","",M!B11*1)</f>
        <v>26.052199999999999</v>
      </c>
      <c r="O13" s="48">
        <f>M!C11*1</f>
        <v>6.7818500000000004</v>
      </c>
      <c r="P13" s="48">
        <f>M!D11*1</f>
        <v>26.031700000000001</v>
      </c>
      <c r="Q13" s="48">
        <f>M!E11*1</f>
        <v>10</v>
      </c>
      <c r="R13" s="48">
        <f>IF(M!B11="","",M!F11*1)</f>
        <v>11.068300000000001</v>
      </c>
      <c r="S13" s="48">
        <f>M!G11*1</f>
        <v>50</v>
      </c>
      <c r="T13" s="48">
        <f>IF(M!B11="","",M!H11*1)</f>
        <v>37.425800000000002</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0.41284440271612338</v>
      </c>
      <c r="AI13" s="98">
        <v>0.16093442074971984</v>
      </c>
      <c r="AJ13" s="98">
        <v>-1.0988594420247608E-2</v>
      </c>
      <c r="AK13" s="98">
        <v>0.37151940745754808</v>
      </c>
      <c r="AL13" s="98">
        <v>8.9062029657998948E-2</v>
      </c>
      <c r="AM13" s="96"/>
      <c r="AN13" s="96"/>
      <c r="AO13" s="96"/>
      <c r="AP13" s="96"/>
      <c r="AX13" s="171"/>
      <c r="AY13" s="219">
        <f>info!W36</f>
        <v>56.495040000000003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27.685300000000002</v>
      </c>
      <c r="DJ13" s="265">
        <f t="shared" si="8"/>
        <v>-0.14998368890033656</v>
      </c>
      <c r="DK13" s="273">
        <f>IF(DH13=1,(DJ13-DF13)^2,0)</f>
        <v>0.34788506487563964</v>
      </c>
      <c r="DL13" s="274">
        <f t="shared" si="10"/>
        <v>4.7495892035813045E-2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55.605400000000003</v>
      </c>
      <c r="O14" s="48">
        <f>M!C12*1</f>
        <v>8.5977399999999999</v>
      </c>
      <c r="P14" s="48">
        <f>M!D12*1</f>
        <v>15.4621</v>
      </c>
      <c r="Q14" s="48">
        <f>M!E12*1</f>
        <v>50</v>
      </c>
      <c r="R14" s="48">
        <f>IF(M!B12="","",M!F12*1)</f>
        <v>15.8629</v>
      </c>
      <c r="S14" s="48">
        <f>M!G12*1</f>
        <v>100</v>
      </c>
      <c r="T14" s="48">
        <f>IF(M!B12="","",M!H12*1)</f>
        <v>60.547400000000003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-3.4292189389839978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44.5809</v>
      </c>
      <c r="DJ14" s="265">
        <f t="shared" si="8"/>
        <v>-0.93616628351487408</v>
      </c>
      <c r="DK14" s="279">
        <f t="shared" si="9"/>
        <v>0.75083564217774457</v>
      </c>
      <c r="DL14" s="280">
        <f t="shared" si="10"/>
        <v>1.4481639216318822</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14.4841</v>
      </c>
      <c r="O15" s="48">
        <f>M!C13*1</f>
        <v>2.7685300000000002</v>
      </c>
      <c r="P15" s="48">
        <f>M!D13*1</f>
        <v>19.1143</v>
      </c>
      <c r="Q15" s="48">
        <f>M!E13*1</f>
        <v>10</v>
      </c>
      <c r="R15" s="48">
        <f>IF(M!B13="","",M!F13*1)</f>
        <v>12.2135</v>
      </c>
      <c r="S15" s="48">
        <f>M!G13*1</f>
        <v>25</v>
      </c>
      <c r="T15" s="48">
        <f>IF(M!B13="","",M!H13*1)</f>
        <v>21.731999999999999</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-1.6956746348565255</v>
      </c>
      <c r="AI15" s="98">
        <v>-8.3250321124619289E-2</v>
      </c>
      <c r="AJ15" s="98">
        <v>-0.44690513063775733</v>
      </c>
      <c r="AK15" s="98">
        <v>0.12052818186953573</v>
      </c>
      <c r="AL15" s="98">
        <v>-2.4174505446491225E-2</v>
      </c>
      <c r="AM15" s="96"/>
      <c r="AN15" s="96"/>
      <c r="AO15" s="96"/>
      <c r="AP15" s="96"/>
      <c r="AX15" s="171"/>
      <c r="AY15" s="50">
        <f>SUM(AY7:AY14)</f>
        <v>275.94693999999998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15.920898530322141</v>
      </c>
      <c r="DL15" s="281">
        <f>IF(SUM($DI$7:$DI$14)&gt;0,SUM(DL7:DL14),0)</f>
        <v>10.258320263479437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27.685300000000002</v>
      </c>
      <c r="O16" s="48">
        <f>M!C14*1</f>
        <v>9.7616899999999998</v>
      </c>
      <c r="P16" s="48">
        <f>M!D14*1</f>
        <v>35.259500000000003</v>
      </c>
      <c r="Q16" s="48">
        <f>M!E14*1</f>
        <v>10</v>
      </c>
      <c r="R16" s="48">
        <f>IF(M!B14="","",M!F14*1)</f>
        <v>1.34721</v>
      </c>
      <c r="S16" s="48">
        <f>M!G14*1</f>
        <v>50</v>
      </c>
      <c r="T16" s="48">
        <f>IF(M!B14="","",M!H14*1)</f>
        <v>29.273299999999999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-1.0240778155779717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6.281052530392367E-2</v>
      </c>
      <c r="DL16" s="281">
        <f>IF(DL15&gt;0,1/DL15,0)</f>
        <v>9.7481846375969752E-2</v>
      </c>
      <c r="DM16" t="s">
        <v>1207</v>
      </c>
    </row>
    <row r="17" spans="2:117" ht="21" customHeight="1" thickBot="1">
      <c r="B17" s="20"/>
      <c r="C17"/>
      <c r="D17"/>
      <c r="E17"/>
      <c r="F17"/>
      <c r="G17" s="1071"/>
      <c r="H17" s="827"/>
      <c r="I17" s="827"/>
      <c r="J17" s="827"/>
      <c r="K17" s="828"/>
      <c r="M17" s="163" t="str">
        <f>lang!B7</f>
        <v>긍정감정</v>
      </c>
      <c r="N17" s="54">
        <f>SUM(N11:N14)/4</f>
        <v>45.477225000000004</v>
      </c>
      <c r="O17" s="16">
        <f>N17/(N17+N18+N19)</f>
        <v>0.46416770050987055</v>
      </c>
      <c r="P17" s="54">
        <f>SUM(P11:P14)/4</f>
        <v>27.960574999999999</v>
      </c>
      <c r="Q17" s="16">
        <f>P17/(P17+P18+P19)</f>
        <v>0.3399276027451385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0.39184974709437426</v>
      </c>
      <c r="DL17" s="283"/>
      <c r="DM17" s="284" t="s">
        <v>1208</v>
      </c>
    </row>
    <row r="18" spans="2:117" ht="21" customHeight="1">
      <c r="B18" s="20"/>
      <c r="C18"/>
      <c r="D18"/>
      <c r="E18"/>
      <c r="F18"/>
      <c r="G18" s="1071"/>
      <c r="H18" s="827"/>
      <c r="I18" s="827"/>
      <c r="J18" s="827"/>
      <c r="K18" s="828"/>
      <c r="M18" s="163" t="str">
        <f>lang!B8</f>
        <v>부정감정</v>
      </c>
      <c r="N18" s="14">
        <f>SUM(N7:N10)/4</f>
        <v>31.413924999999999</v>
      </c>
      <c r="O18" s="16">
        <f>N18/(N17+N18+N19)</f>
        <v>0.32062926731434327</v>
      </c>
      <c r="P18" s="14">
        <f>SUM(P7:P10)/4</f>
        <v>27.107025</v>
      </c>
      <c r="Q18" s="16">
        <f>P18/(P17+P18+P19)</f>
        <v>0.32955066288166601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21.084700000000002</v>
      </c>
      <c r="O19" s="16">
        <f>N19/(N17+N18+N19)</f>
        <v>0.21520303217578618</v>
      </c>
      <c r="P19" s="14">
        <f>(P15+P16)/2</f>
        <v>27.186900000000001</v>
      </c>
      <c r="Q19" s="16">
        <f>P19/(P17+P18+P19)</f>
        <v>0.33052173437319537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1.7381800000000001</v>
      </c>
      <c r="D24" s="34" t="str">
        <f>lang!B11</f>
        <v>편차</v>
      </c>
      <c r="E24" s="1077">
        <f>FH_info!G2*1</f>
        <v>0.49646400000000002</v>
      </c>
      <c r="F24" s="1078"/>
      <c r="G24" s="1075" t="str">
        <f>lang!B12</f>
        <v>정보(I)변화량</v>
      </c>
      <c r="H24" s="1076"/>
      <c r="I24" s="51" t="str">
        <f ca="1">CONCATENATE(info!N7,"-",info!N8)</f>
        <v>16-50.4</v>
      </c>
      <c r="J24" s="32" t="str">
        <f>lang!B13</f>
        <v>Kcal/분</v>
      </c>
      <c r="K24" s="31" t="str">
        <f ca="1">CONCATENATE(info!N5,"-",info!N6)</f>
        <v>3.2-4.8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44.5809</v>
      </c>
      <c r="F27" s="1043"/>
      <c r="G27" s="1055" t="str">
        <f>lang!B33</f>
        <v>정서안정성</v>
      </c>
      <c r="H27" s="1056"/>
      <c r="I27" s="1057"/>
      <c r="J27" s="993">
        <f>M!B19*100</f>
        <v>52.942299999999996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4.8329599999999999</v>
      </c>
      <c r="H2" s="50">
        <f>IF(FT!B2&lt;&gt;"",FT!B2*100,"")</f>
        <v>28.349299999999999</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4.7723100000000001</v>
      </c>
      <c r="W2" s="50">
        <f>FT!H2*100</f>
        <v>27.542100000000001</v>
      </c>
      <c r="Y2">
        <f>IF(I2=1,H2/G2,"")</f>
        <v>5.8658254982453819</v>
      </c>
      <c r="Z2">
        <f>AVERAGE(Y2:Y2000)</f>
        <v>9.9194437886197093</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4.7723100000000001</v>
      </c>
      <c r="H3" s="50">
        <f>IF(FT!B3&lt;&gt;"",FT!B3*100,"")</f>
        <v>27.542100000000001</v>
      </c>
      <c r="I3" s="50">
        <f t="shared" ref="I3:I66" si="2">(IF(G3&lt;&gt;"",1,""))</f>
        <v>1</v>
      </c>
      <c r="J3" t="str">
        <f>IF(FT!B3&lt;&gt;"",FT!E3,"")</f>
        <v>0 [0.370629]</v>
      </c>
      <c r="K3">
        <f>IF(FT!B3&lt;&gt;"",IF(FT!C3&lt;&gt;"",FT!C3,F3/$M$3*$M$4),"")</f>
        <v>0.37062899999999999</v>
      </c>
      <c r="L3" t="s">
        <v>53</v>
      </c>
      <c r="M3">
        <f>SUM(I2:I2005)</f>
        <v>25</v>
      </c>
      <c r="O3" s="104">
        <f>MATCH(O2,C2:C1000,0)-1</f>
        <v>91</v>
      </c>
      <c r="P3">
        <v>0</v>
      </c>
      <c r="Q3">
        <v>0</v>
      </c>
      <c r="R3">
        <f>IF(S4=0,M3,0)</f>
        <v>25</v>
      </c>
      <c r="S3">
        <f t="array" ref="S3">MAX(IF(ft_nq=0,row_n))</f>
        <v>1998</v>
      </c>
      <c r="T3">
        <f>R3-Q3</f>
        <v>25</v>
      </c>
      <c r="V3" s="50">
        <f>FT!G3*10</f>
        <v>3.3336500000000004</v>
      </c>
      <c r="W3" s="50">
        <f>FT!H3*100</f>
        <v>50.139000000000003</v>
      </c>
      <c r="Y3" s="75">
        <f t="shared" ref="Y3:Y66" si="3">IF(I3=1,H3/G3,"")</f>
        <v>5.7712302847048917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4.7022500000000003</v>
      </c>
      <c r="H4" s="50">
        <f>IF(FT!B4&lt;&gt;"",FT!B4*100,"")</f>
        <v>26.271799999999999</v>
      </c>
      <c r="I4" s="50">
        <f t="shared" si="2"/>
        <v>1</v>
      </c>
      <c r="J4" t="str">
        <f>IF(FT!B4&lt;&gt;"",FT!E4,"")</f>
        <v>0 [0.775095]</v>
      </c>
      <c r="K4">
        <f>IF(FT!B4&lt;&gt;"",IF(FT!C4&lt;&gt;"",FT!C4,F4/$M$3*$M$4),"")</f>
        <v>0.77509499999999998</v>
      </c>
      <c r="L4" t="s">
        <v>246</v>
      </c>
      <c r="M4">
        <f>IF(M2&lt;&gt;0,M3/M2*2,0)</f>
        <v>10.155562912696688</v>
      </c>
      <c r="P4">
        <f>P3+1</f>
        <v>1</v>
      </c>
      <c r="Q4">
        <v>0</v>
      </c>
      <c r="R4">
        <f>IF(S4=1998,0,S4)</f>
        <v>0</v>
      </c>
      <c r="S4">
        <f t="array" ref="S4">MAX(IF(ft_nq=P4,row_n))</f>
        <v>0</v>
      </c>
      <c r="T4">
        <f>R4-Q4+1</f>
        <v>1</v>
      </c>
      <c r="V4" t="s">
        <v>209</v>
      </c>
      <c r="W4" s="23">
        <f>IF(ISERROR(V3-V2)=FALSE,(V3-V2)*10,0)</f>
        <v>-14.386599999999996</v>
      </c>
      <c r="Y4" s="75">
        <f t="shared" si="3"/>
        <v>5.5870700196714331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0.21144474692168078</v>
      </c>
      <c r="E5" s="50">
        <f t="shared" si="1"/>
        <v>2.2686280082898476E-5</v>
      </c>
      <c r="F5">
        <f t="shared" si="6"/>
        <v>3</v>
      </c>
      <c r="G5" s="50">
        <f>IF(FT!A5&lt;&gt;"",FT!A5*10,"")</f>
        <v>4.6068800000000003</v>
      </c>
      <c r="H5" s="50">
        <f>IF(FT!B5&lt;&gt;"",FT!B5*100,"")</f>
        <v>24.8811</v>
      </c>
      <c r="I5" s="50">
        <f t="shared" si="2"/>
        <v>1</v>
      </c>
      <c r="J5" t="str">
        <f>IF(FT!B5&lt;&gt;"",FT!E5,"")</f>
        <v>0 [1.177705]</v>
      </c>
      <c r="K5">
        <f>IF(FT!B5&lt;&gt;"",IF(FT!C5&lt;&gt;"",FT!C5,F5/$M$3*$M$4),"")</f>
        <v>1.17771</v>
      </c>
      <c r="L5" t="s">
        <v>54</v>
      </c>
      <c r="M5" s="52">
        <f ca="1">IF(M3&gt;0,MIN(FT_E),0)</f>
        <v>3.2344299999999997</v>
      </c>
      <c r="N5" s="52">
        <f ca="1">IF(M3&gt;0,ROUND(M5,1),0)</f>
        <v>3.2</v>
      </c>
      <c r="P5">
        <f t="shared" ref="P5:P27" si="10">P4+1</f>
        <v>2</v>
      </c>
      <c r="Q5">
        <f>IF(S5=1998,0,R4)</f>
        <v>0</v>
      </c>
      <c r="R5">
        <f>IF(S5=1998,0,S5)</f>
        <v>0</v>
      </c>
      <c r="S5">
        <f t="array" ref="S5">MAX(IF(ft_nq=P5,row_n))</f>
        <v>0</v>
      </c>
      <c r="T5">
        <f t="shared" ref="T5:T27" si="11">R5-Q5+1</f>
        <v>1</v>
      </c>
      <c r="V5" t="s">
        <v>210</v>
      </c>
      <c r="W5" s="23">
        <f>IF(ISERROR(W3-W2)=FALSE,W3-W2,0)</f>
        <v>22.596900000000002</v>
      </c>
      <c r="Y5" s="75">
        <f t="shared" si="3"/>
        <v>5.4008569791268703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4.4742800000000003</v>
      </c>
      <c r="H6" s="50">
        <f>IF(FT!B6&lt;&gt;"",FT!B6*100,"")</f>
        <v>22.494900000000001</v>
      </c>
      <c r="I6" s="50">
        <f t="shared" si="2"/>
        <v>1</v>
      </c>
      <c r="J6" t="str">
        <f>IF(FT!B6&lt;&gt;"",FT!E6,"")</f>
        <v>0 [1.575822]</v>
      </c>
      <c r="K6">
        <f>IF(FT!B6&lt;&gt;"",IF(FT!C6&lt;&gt;"",FT!C6,F6/$M$3*$M$4),"")</f>
        <v>1.57582</v>
      </c>
      <c r="L6" t="s">
        <v>55</v>
      </c>
      <c r="M6" s="52">
        <f ca="1">IF(M3&gt;0,MAX(FT_E),0)</f>
        <v>4.8329599999999999</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-1.5706907816996376</v>
      </c>
      <c r="Y6" s="75">
        <f t="shared" si="3"/>
        <v>5.0276022063885142</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4.3117799999999997</v>
      </c>
      <c r="H7" s="50">
        <f>IF(FT!B7&lt;&gt;"",FT!B7*100,"")</f>
        <v>19.781000000000002</v>
      </c>
      <c r="I7" s="50">
        <f t="shared" si="2"/>
        <v>1</v>
      </c>
      <c r="J7" t="str">
        <f>IF(FT!B7&lt;&gt;"",FT!E7,"")</f>
        <v>0 [1.992628]</v>
      </c>
      <c r="K7">
        <f>IF(FT!B7&lt;&gt;"",IF(FT!C7&lt;&gt;"",FT!C7,F7/$M$3*$M$4),"")</f>
        <v>1.9926299999999999</v>
      </c>
      <c r="L7" t="s">
        <v>56</v>
      </c>
      <c r="M7" s="366">
        <f ca="1">IF(M3&gt;0,MIN(FT_PH),0)</f>
        <v>16.046399999999998</v>
      </c>
      <c r="N7" s="52">
        <f ca="1">IF(M3&gt;0,ROUND(M7,1),0)</f>
        <v>16</v>
      </c>
      <c r="P7">
        <f t="shared" si="10"/>
        <v>4</v>
      </c>
      <c r="Q7">
        <f t="shared" si="12"/>
        <v>0</v>
      </c>
      <c r="R7">
        <f t="shared" si="13"/>
        <v>0</v>
      </c>
      <c r="S7">
        <f t="array" ref="S7">MAX(IF(ft_nq=P7,row_n))</f>
        <v>0</v>
      </c>
      <c r="T7">
        <f t="shared" si="11"/>
        <v>1</v>
      </c>
      <c r="V7" t="s">
        <v>212</v>
      </c>
      <c r="W7" s="23">
        <f>DEGREES(ATAN(W6))</f>
        <v>-57.516619285416539</v>
      </c>
      <c r="X7" s="106">
        <v>0.05</v>
      </c>
      <c r="Y7" s="75">
        <f t="shared" si="3"/>
        <v>4.587664491231001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1.7031311410978647E-2</v>
      </c>
      <c r="D8" s="50">
        <f>IF(hist!$D$2&gt;0,hist!B8/hist!$D$2,0)</f>
        <v>0.40102163920402578</v>
      </c>
      <c r="E8" s="50">
        <f t="shared" si="1"/>
        <v>4.239235128206329E-5</v>
      </c>
      <c r="F8">
        <f t="shared" si="6"/>
        <v>6</v>
      </c>
      <c r="G8" s="50">
        <f>IF(FT!A8&lt;&gt;"",FT!A8*10,"")</f>
        <v>4.1106199999999999</v>
      </c>
      <c r="H8" s="50">
        <f>IF(FT!B8&lt;&gt;"",FT!B8*100,"")</f>
        <v>17.1585</v>
      </c>
      <c r="I8" s="50">
        <f t="shared" si="2"/>
        <v>1</v>
      </c>
      <c r="J8" t="str">
        <f>IF(FT!B8&lt;&gt;"",FT!E8,"")</f>
        <v>0 [2.398418]</v>
      </c>
      <c r="K8">
        <f>IF(FT!B8&lt;&gt;"",IF(FT!C8&lt;&gt;"",FT!C8,F8/$M$3*$M$4),"")</f>
        <v>2.3984200000000002</v>
      </c>
      <c r="L8" t="s">
        <v>57</v>
      </c>
      <c r="M8" s="52">
        <f ca="1">IF(M3&gt;0,MAX(FT_PH),0)</f>
        <v>50.426000000000002</v>
      </c>
      <c r="N8" s="52">
        <f ca="1">IF(M3&gt;0,ROUND(M8,1),0)</f>
        <v>50.4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4.1741878354116899</v>
      </c>
      <c r="Z8" s="52"/>
      <c r="AB8" s="1">
        <v>50</v>
      </c>
      <c r="AC8" s="1">
        <v>60</v>
      </c>
      <c r="AD8" s="1">
        <f t="shared" si="7"/>
        <v>0</v>
      </c>
      <c r="AE8" s="1">
        <f t="shared" si="8"/>
        <v>0</v>
      </c>
      <c r="AF8" s="430">
        <f>AE7</f>
        <v>1</v>
      </c>
      <c r="AG8" s="113">
        <f t="shared" si="9"/>
        <v>0</v>
      </c>
      <c r="AH8">
        <f t="shared" si="9"/>
        <v>0</v>
      </c>
      <c r="AI8">
        <f t="shared" si="4"/>
        <v>0</v>
      </c>
      <c r="AJ8">
        <f t="shared" si="4"/>
        <v>1</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3.8911199999999999</v>
      </c>
      <c r="H9" s="50">
        <f>IF(FT!B9&lt;&gt;"",FT!B9*100,"")</f>
        <v>16.046399999999998</v>
      </c>
      <c r="I9" s="50">
        <f t="shared" si="2"/>
        <v>1</v>
      </c>
      <c r="J9" t="str">
        <f>IF(FT!B9&lt;&gt;"",FT!E9,"")</f>
        <v>0 [2.794723]</v>
      </c>
      <c r="K9">
        <f>IF(FT!B9&lt;&gt;"",IF(FT!C9&lt;&gt;"",FT!C9,F9/$M$3*$M$4),"")</f>
        <v>2.7947199999999999</v>
      </c>
      <c r="L9" t="s">
        <v>222</v>
      </c>
      <c r="M9" s="74">
        <f ca="1">IF(M3&gt;0,IF(COUNT(FT_E)&gt;0,AVERAGE(FT_E),0),0)</f>
        <v>3.7646168000000007</v>
      </c>
      <c r="N9" s="365">
        <f ca="1">IF(M3&gt;0,IF(COUNT(FT_PH)&gt;0,AVERAGE(FT_PH),0),0)</f>
        <v>35.664732000000001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4.123851230494048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2.8254519848028296E-2</v>
      </c>
      <c r="D10" s="50">
        <f>IF(hist!$D$2&gt;0,hist!B10/hist!$D$2,0)</f>
        <v>0.49135224331576827</v>
      </c>
      <c r="E10" s="50">
        <f t="shared" si="1"/>
        <v>6.3640932711193118E-5</v>
      </c>
      <c r="F10">
        <f t="shared" si="6"/>
        <v>8</v>
      </c>
      <c r="G10" s="50">
        <f>IF(FT!A10&lt;&gt;"",FT!A10*10,"")</f>
        <v>3.7018599999999999</v>
      </c>
      <c r="H10" s="50">
        <f>IF(FT!B10&lt;&gt;"",FT!B10*100,"")</f>
        <v>17.592199999999998</v>
      </c>
      <c r="I10" s="50">
        <f t="shared" si="2"/>
        <v>1</v>
      </c>
      <c r="J10" t="str">
        <f>IF(FT!B10&lt;&gt;"",FT!E10,"")</f>
        <v>0 [3.196336]</v>
      </c>
      <c r="K10">
        <f>IF(FT!B10&lt;&gt;"",IF(FT!C10&lt;&gt;"",FT!C10,F10/$M$3*$M$4),"")</f>
        <v>3.1963400000000002</v>
      </c>
      <c r="M10">
        <v>2</v>
      </c>
      <c r="P10">
        <f t="shared" si="10"/>
        <v>7</v>
      </c>
      <c r="Q10">
        <f t="shared" si="12"/>
        <v>0</v>
      </c>
      <c r="R10">
        <f t="shared" si="13"/>
        <v>0</v>
      </c>
      <c r="S10">
        <f t="array" ref="S10">MAX(IF(ft_nq=P10,row_n))</f>
        <v>0</v>
      </c>
      <c r="T10">
        <f t="shared" si="11"/>
        <v>1</v>
      </c>
      <c r="V10" t="s">
        <v>215</v>
      </c>
      <c r="X10" s="71" t="s">
        <v>270</v>
      </c>
      <c r="Y10" s="75">
        <f t="shared" si="3"/>
        <v>4.7522596748661483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3.5472999999999999</v>
      </c>
      <c r="H11" s="50">
        <f>IF(FT!B11&lt;&gt;"",FT!B11*100,"")</f>
        <v>20.585100000000001</v>
      </c>
      <c r="I11" s="50">
        <f t="shared" si="2"/>
        <v>1</v>
      </c>
      <c r="J11" t="str">
        <f>IF(FT!B11&lt;&gt;"",FT!E11,"")</f>
        <v>0 [3.606409]</v>
      </c>
      <c r="K11">
        <f>IF(FT!B11&lt;&gt;"",IF(FT!C11&lt;&gt;"",FT!C11,F11/$M$3*$M$4),"")</f>
        <v>3.6064099999999999</v>
      </c>
      <c r="M11" s="49">
        <f>MAX(IF(ft_nq=1,row_n))</f>
        <v>0</v>
      </c>
      <c r="P11">
        <f t="shared" si="10"/>
        <v>8</v>
      </c>
      <c r="Q11">
        <f t="shared" si="12"/>
        <v>0</v>
      </c>
      <c r="R11">
        <f t="shared" si="13"/>
        <v>0</v>
      </c>
      <c r="S11">
        <f t="array" ref="S11">MAX(IF(ft_nq=P11,row_n))</f>
        <v>0</v>
      </c>
      <c r="T11">
        <f t="shared" si="11"/>
        <v>1</v>
      </c>
      <c r="V11" s="71" t="s">
        <v>216</v>
      </c>
      <c r="W11" s="23">
        <f>FT!H11*100</f>
        <v>16.046399999999998</v>
      </c>
      <c r="Y11" s="75">
        <f t="shared" si="3"/>
        <v>5.8030332929270152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3.4013999999999998</v>
      </c>
      <c r="H12" s="50">
        <f>IF(FT!B12&lt;&gt;"",FT!B12*100,"")</f>
        <v>25.107299999999999</v>
      </c>
      <c r="I12" s="50">
        <f t="shared" si="2"/>
        <v>1</v>
      </c>
      <c r="J12" t="str">
        <f>IF(FT!B12&lt;&gt;"",FT!E12,"")</f>
        <v>0 [4.017769]</v>
      </c>
      <c r="K12">
        <f>IF(FT!B12&lt;&gt;"",IF(FT!C12&lt;&gt;"",FT!C12,F12/$M$3*$M$4),"")</f>
        <v>4.0177699999999996</v>
      </c>
      <c r="M12">
        <f>M11+1</f>
        <v>1</v>
      </c>
      <c r="P12">
        <f t="shared" si="10"/>
        <v>9</v>
      </c>
      <c r="Q12">
        <f t="shared" si="12"/>
        <v>0</v>
      </c>
      <c r="R12">
        <f t="shared" si="13"/>
        <v>0</v>
      </c>
      <c r="S12">
        <f t="array" ref="S12">MAX(IF(ft_nq=P12,row_n))</f>
        <v>0</v>
      </c>
      <c r="T12">
        <f t="shared" si="11"/>
        <v>1</v>
      </c>
      <c r="V12" s="71" t="s">
        <v>217</v>
      </c>
      <c r="W12" s="23">
        <f>FT!H12*100</f>
        <v>50.426000000000002</v>
      </c>
      <c r="Y12" s="75">
        <f t="shared" si="3"/>
        <v>7.3814605750573294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3.4805122494432073E-2</v>
      </c>
      <c r="D13" s="50">
        <f>IF(hist!$D$2&gt;0,hist!B13/hist!$D$2,0)</f>
        <v>0.5977538253646546</v>
      </c>
      <c r="E13" s="50">
        <f t="shared" si="1"/>
        <v>1.1522836836240688E-4</v>
      </c>
      <c r="F13">
        <f t="shared" si="6"/>
        <v>11</v>
      </c>
      <c r="G13" s="50">
        <f>IF(FT!A13&lt;&gt;"",FT!A13*10,"")</f>
        <v>3.2671099999999997</v>
      </c>
      <c r="H13" s="50">
        <f>IF(FT!B13&lt;&gt;"",FT!B13*100,"")</f>
        <v>31.493300000000001</v>
      </c>
      <c r="I13" s="50">
        <f t="shared" si="2"/>
        <v>1</v>
      </c>
      <c r="J13" t="str">
        <f>IF(FT!B13&lt;&gt;"",FT!E13,"")</f>
        <v>0 [4.419039]</v>
      </c>
      <c r="K13">
        <f>IF(FT!B13&lt;&gt;"",IF(FT!C13&lt;&gt;"",FT!C13,F13/$M$3*$M$4),"")</f>
        <v>4.4190399999999999</v>
      </c>
      <c r="M13" s="49">
        <f t="array" ref="M13">MAX(IF(ft_nq=2,row_n))</f>
        <v>0</v>
      </c>
      <c r="P13">
        <f t="shared" si="10"/>
        <v>10</v>
      </c>
      <c r="Q13">
        <f t="shared" si="12"/>
        <v>0</v>
      </c>
      <c r="R13">
        <f t="shared" si="13"/>
        <v>0</v>
      </c>
      <c r="S13">
        <f t="array" ref="S13">MAX(IF(ft_nq=P13,row_n))</f>
        <v>0</v>
      </c>
      <c r="T13">
        <f t="shared" si="11"/>
        <v>1</v>
      </c>
      <c r="V13" s="71" t="s">
        <v>219</v>
      </c>
      <c r="W13">
        <f>FT!H13</f>
        <v>8</v>
      </c>
      <c r="Y13" s="75">
        <f t="shared" si="3"/>
        <v>9.6394979048761762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3.3888499999999997</v>
      </c>
      <c r="H14" s="50">
        <f>IF(FT!B14&lt;&gt;"",FT!B14*100,"")</f>
        <v>35.073</v>
      </c>
      <c r="I14" s="50">
        <f t="shared" si="2"/>
        <v>1</v>
      </c>
      <c r="J14" t="str">
        <f>IF(FT!B14&lt;&gt;"",FT!E14,"")</f>
        <v>0 [4.831019]</v>
      </c>
      <c r="K14">
        <f>IF(FT!B14&lt;&gt;"",IF(FT!C14&lt;&gt;"",FT!C14,F14/$M$3*$M$4),"")</f>
        <v>4.8310199999999996</v>
      </c>
      <c r="M14">
        <f>M13+1</f>
        <v>1</v>
      </c>
      <c r="P14">
        <f t="shared" si="10"/>
        <v>11</v>
      </c>
      <c r="Q14">
        <f t="shared" si="12"/>
        <v>0</v>
      </c>
      <c r="R14">
        <f t="shared" si="13"/>
        <v>0</v>
      </c>
      <c r="S14">
        <f t="array" ref="S14">MAX(IF(ft_nq=P14,row_n))</f>
        <v>0</v>
      </c>
      <c r="T14">
        <f t="shared" si="11"/>
        <v>1</v>
      </c>
      <c r="V14" s="71" t="s">
        <v>221</v>
      </c>
      <c r="W14">
        <f>FT!H14</f>
        <v>19</v>
      </c>
      <c r="Y14" s="75">
        <f t="shared" si="3"/>
        <v>10.349528601147883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3.4761234115026858E-2</v>
      </c>
      <c r="D15" s="50">
        <f>IF(hist!$D$2&gt;0,hist!B15/hist!$D$2,0)</f>
        <v>0.71616338036720828</v>
      </c>
      <c r="E15" s="50">
        <f t="shared" si="1"/>
        <v>1.6938471460455832E-4</v>
      </c>
      <c r="F15">
        <f t="shared" si="6"/>
        <v>13</v>
      </c>
      <c r="G15" s="50">
        <f>IF(FT!A15&lt;&gt;"",FT!A15*10,"")</f>
        <v>3.4876499999999999</v>
      </c>
      <c r="H15" s="50">
        <f>IF(FT!B15&lt;&gt;"",FT!B15*100,"")</f>
        <v>39.066800000000001</v>
      </c>
      <c r="I15" s="50">
        <f t="shared" si="2"/>
        <v>1</v>
      </c>
      <c r="J15" t="str">
        <f>IF(FT!B15&lt;&gt;"",FT!E15,"")</f>
        <v>0 [5.227927]</v>
      </c>
      <c r="K15">
        <f>IF(FT!B15&lt;&gt;"",IF(FT!C15&lt;&gt;"",FT!C15,F15/$M$3*$M$4),"")</f>
        <v>5.2279299999999997</v>
      </c>
      <c r="M15">
        <f t="array" ref="M15">MAX(IF(ft_nq=3,row_n))</f>
        <v>0</v>
      </c>
      <c r="P15">
        <f t="shared" si="10"/>
        <v>12</v>
      </c>
      <c r="Q15">
        <f t="shared" si="12"/>
        <v>0</v>
      </c>
      <c r="R15">
        <f t="shared" si="13"/>
        <v>0</v>
      </c>
      <c r="S15">
        <f t="array" ref="S15">MAX(IF(ft_nq=P15,row_n))</f>
        <v>0</v>
      </c>
      <c r="T15">
        <f t="shared" si="11"/>
        <v>1</v>
      </c>
      <c r="V15" s="23">
        <f>FT!G15*10</f>
        <v>3.8911199999999999</v>
      </c>
      <c r="W15" s="23">
        <f>FT!H15*100</f>
        <v>16.046399999999998</v>
      </c>
      <c r="Y15" s="75">
        <f t="shared" si="3"/>
        <v>11.201468037217039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3.5977700000000001</v>
      </c>
      <c r="H16" s="50">
        <f>IF(FT!B16&lt;&gt;"",FT!B16*100,"")</f>
        <v>43.4283</v>
      </c>
      <c r="I16" s="50">
        <f t="shared" si="2"/>
        <v>1</v>
      </c>
      <c r="J16" t="str">
        <f>IF(FT!B16&lt;&gt;"",FT!E16,"")</f>
        <v>0 [5.642644]</v>
      </c>
      <c r="K16">
        <f>IF(FT!B16&lt;&gt;"",IF(FT!C16&lt;&gt;"",FT!C16,F16/$M$3*$M$4),"")</f>
        <v>5.6426400000000001</v>
      </c>
      <c r="M16">
        <f>M15+1</f>
        <v>1</v>
      </c>
      <c r="P16">
        <f t="shared" si="10"/>
        <v>13</v>
      </c>
      <c r="Q16">
        <f t="shared" si="12"/>
        <v>0</v>
      </c>
      <c r="R16">
        <f t="shared" si="13"/>
        <v>0</v>
      </c>
      <c r="S16">
        <f t="array" ref="S16">MAX(IF(ft_nq=P16,row_n))</f>
        <v>0</v>
      </c>
      <c r="T16">
        <f t="shared" si="11"/>
        <v>1</v>
      </c>
      <c r="V16" s="23">
        <f>FT!G16*10</f>
        <v>3.4437499999999996</v>
      </c>
      <c r="W16" s="23">
        <f>FT!H16*100</f>
        <v>50.426000000000002</v>
      </c>
      <c r="Y16" s="75">
        <f t="shared" si="3"/>
        <v>12.070893914841694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3.5974200000000001</v>
      </c>
      <c r="H17" s="50">
        <f>IF(FT!B17&lt;&gt;"",FT!B17*100,"")</f>
        <v>46.619300000000003</v>
      </c>
      <c r="I17" s="50">
        <f t="shared" si="2"/>
        <v>1</v>
      </c>
      <c r="J17" t="str">
        <f>IF(FT!B17&lt;&gt;"",FT!E17,"")</f>
        <v>0 [6.058793]</v>
      </c>
      <c r="K17">
        <f>IF(FT!B17&lt;&gt;"",IF(FT!C17&lt;&gt;"",FT!C17,F17/$M$3*$M$4),"")</f>
        <v>6.0587900000000001</v>
      </c>
      <c r="M17">
        <f>M3+1</f>
        <v>26</v>
      </c>
      <c r="P17">
        <f t="shared" si="10"/>
        <v>14</v>
      </c>
      <c r="Q17">
        <f t="shared" si="12"/>
        <v>0</v>
      </c>
      <c r="R17">
        <f t="shared" si="13"/>
        <v>0</v>
      </c>
      <c r="S17">
        <f t="array" ref="S17">MAX(IF(ft_nq=P17,row_n))</f>
        <v>0</v>
      </c>
      <c r="T17">
        <f t="shared" si="11"/>
        <v>1</v>
      </c>
      <c r="V17" t="s">
        <v>1522</v>
      </c>
      <c r="Y17" s="75">
        <f t="shared" si="3"/>
        <v>12.959092905471143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3.6420804401938955E-2</v>
      </c>
      <c r="D18" s="50">
        <f>IF(hist!$D$2&gt;0,hist!B18/hist!$D$2,0)</f>
        <v>0.8385020817997515</v>
      </c>
      <c r="E18" s="50">
        <f t="shared" si="1"/>
        <v>2.9716369761879154E-4</v>
      </c>
      <c r="F18">
        <f t="shared" si="6"/>
        <v>16</v>
      </c>
      <c r="G18" s="50">
        <f>IF(FT!A18&lt;&gt;"",FT!A18*10,"")</f>
        <v>3.5609200000000003</v>
      </c>
      <c r="H18" s="50">
        <f>IF(FT!B18&lt;&gt;"",FT!B18*100,"")</f>
        <v>48.850700000000003</v>
      </c>
      <c r="I18" s="50">
        <f t="shared" si="2"/>
        <v>1</v>
      </c>
      <c r="J18" t="str">
        <f>IF(FT!B18&lt;&gt;"",FT!E18,"")</f>
        <v>0 [6.449511]</v>
      </c>
      <c r="K18">
        <f>IF(FT!B18&lt;&gt;"",IF(FT!C18&lt;&gt;"",FT!C18,F18/$M$3*$M$4),"")</f>
        <v>6.4495100000000001</v>
      </c>
      <c r="P18">
        <f t="shared" si="10"/>
        <v>15</v>
      </c>
      <c r="Q18">
        <f t="shared" si="12"/>
        <v>0</v>
      </c>
      <c r="R18">
        <f t="shared" si="13"/>
        <v>0</v>
      </c>
      <c r="S18">
        <f t="array" ref="S18">MAX(IF(ft_nq=P18,row_n))</f>
        <v>0</v>
      </c>
      <c r="T18">
        <f t="shared" si="11"/>
        <v>1</v>
      </c>
      <c r="V18" s="288">
        <f>M!B18*100</f>
        <v>44.5809</v>
      </c>
      <c r="W18" s="287">
        <f>100-M!B19*100</f>
        <v>47.057700000000004</v>
      </c>
      <c r="X18" t="str">
        <f>"(" &amp; ROUND(V18,1) &amp; " , " &amp; ROUND(100-W18,1) &amp; ")"</f>
        <v>(44.6 , 52.9)</v>
      </c>
      <c r="Y18" s="75">
        <f t="shared" si="3"/>
        <v>13.7185614953439</v>
      </c>
      <c r="Z18">
        <f>M!B18*100</f>
        <v>44.5809</v>
      </c>
      <c r="AA18">
        <f>100-M!B19*100</f>
        <v>47.057700000000004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3.4987499999999998</v>
      </c>
      <c r="H19" s="50">
        <f>IF(FT!B19&lt;&gt;"",FT!B19*100,"")</f>
        <v>50.2194</v>
      </c>
      <c r="I19" s="50">
        <f t="shared" si="2"/>
        <v>1</v>
      </c>
      <c r="J19" t="str">
        <f>IF(FT!B19&lt;&gt;"",FT!E19,"")</f>
        <v>0 [6.868276]</v>
      </c>
      <c r="K19">
        <f>IF(FT!B19&lt;&gt;"",IF(FT!C19&lt;&gt;"",FT!C19,F19/$M$3*$M$4),"")</f>
        <v>6.8682800000000004</v>
      </c>
      <c r="P19">
        <f t="shared" si="10"/>
        <v>16</v>
      </c>
      <c r="Q19">
        <f t="shared" si="12"/>
        <v>0</v>
      </c>
      <c r="R19">
        <f t="shared" si="13"/>
        <v>0</v>
      </c>
      <c r="S19">
        <f t="array" ref="S19">MAX(IF(ft_nq=P19,row_n))</f>
        <v>0</v>
      </c>
      <c r="T19">
        <f t="shared" si="11"/>
        <v>1</v>
      </c>
      <c r="V19" t="s">
        <v>1521</v>
      </c>
      <c r="Y19" s="75">
        <f t="shared" si="3"/>
        <v>14.35352625937835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3.4437499999999996</v>
      </c>
      <c r="H20" s="50">
        <f>IF(FT!B20&lt;&gt;"",FT!B20*100,"")</f>
        <v>50.426000000000002</v>
      </c>
      <c r="I20" s="50">
        <f t="shared" si="2"/>
        <v>1</v>
      </c>
      <c r="J20" t="str">
        <f>IF(FT!B20&lt;&gt;"",FT!E20,"")</f>
        <v>0 [7.260102]</v>
      </c>
      <c r="K20">
        <f>IF(FT!B20&lt;&gt;"",IF(FT!C20&lt;&gt;"",FT!C20,F20/$M$3*$M$4),"")</f>
        <v>7.2601000000000004</v>
      </c>
      <c r="P20">
        <f t="shared" si="10"/>
        <v>17</v>
      </c>
      <c r="Q20">
        <f t="shared" si="12"/>
        <v>0</v>
      </c>
      <c r="R20">
        <f t="shared" si="13"/>
        <v>0</v>
      </c>
      <c r="S20">
        <f t="array" ref="S20">MAX(IF(ft_nq=P20,row_n))</f>
        <v>0</v>
      </c>
      <c r="T20">
        <f t="shared" si="11"/>
        <v>1</v>
      </c>
      <c r="V20" s="56">
        <v>50</v>
      </c>
      <c r="W20">
        <v>50</v>
      </c>
      <c r="Y20" s="75">
        <f t="shared" si="3"/>
        <v>14.642758620689657</v>
      </c>
      <c r="AA20" t="s">
        <v>2224</v>
      </c>
      <c r="AC20" t="s">
        <v>2227</v>
      </c>
      <c r="AQ20">
        <v>5</v>
      </c>
      <c r="AR20" s="440" t="str">
        <f t="shared" si="15"/>
        <v/>
      </c>
      <c r="AS20" s="441" t="str">
        <f t="shared" si="14"/>
        <v/>
      </c>
      <c r="AT20" s="441" t="str">
        <f t="shared" si="14"/>
        <v/>
      </c>
      <c r="AU20" s="441" t="str">
        <f t="shared" si="14"/>
        <v>의욕 없는</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4.5722520634088819E-2</v>
      </c>
      <c r="D21" s="50">
        <f>IF(hist!$D$2&gt;0,hist!B21/hist!$D$2,0)</f>
        <v>0.93950684918900962</v>
      </c>
      <c r="E21" s="50">
        <f t="shared" si="1"/>
        <v>5.1155989191839816E-4</v>
      </c>
      <c r="F21">
        <f t="shared" si="6"/>
        <v>19</v>
      </c>
      <c r="G21" s="50">
        <f>IF(FT!A21&lt;&gt;"",FT!A21*10,"")</f>
        <v>3.41317</v>
      </c>
      <c r="H21" s="50">
        <f>IF(FT!B21&lt;&gt;"",FT!B21*100,"")</f>
        <v>50.309800000000003</v>
      </c>
      <c r="I21" s="50">
        <f t="shared" si="2"/>
        <v>1</v>
      </c>
      <c r="J21" t="str">
        <f>IF(FT!B21&lt;&gt;"",FT!E21,"")</f>
        <v>0 [7.670736]</v>
      </c>
      <c r="K21">
        <f>IF(FT!B21&lt;&gt;"",IF(FT!C21&lt;&gt;"",FT!C21,F21/$M$3*$M$4),"")</f>
        <v>7.6707400000000003</v>
      </c>
      <c r="P21">
        <f t="shared" si="10"/>
        <v>18</v>
      </c>
      <c r="Q21">
        <f t="shared" si="12"/>
        <v>0</v>
      </c>
      <c r="R21">
        <f t="shared" si="13"/>
        <v>0</v>
      </c>
      <c r="S21">
        <f t="array" ref="S21">MAX(IF(ft_nq=P21,row_n))</f>
        <v>0</v>
      </c>
      <c r="T21">
        <f t="shared" si="11"/>
        <v>1</v>
      </c>
      <c r="V21" s="288">
        <f>Measurement!DK17*100</f>
        <v>39.184974709437427</v>
      </c>
      <c r="W21" s="287">
        <f>'R3'!I3</f>
        <v>41.021760710487797</v>
      </c>
      <c r="X21" t="str">
        <f>"(" &amp; ROUND(V21,1) &amp; " , " &amp; ROUND(W21,1) &amp; ")" &amp; CHAR(10) &amp; AR26</f>
        <v>(39.2 , 41)
의욕 없는</v>
      </c>
      <c r="Y21" s="75">
        <f t="shared" si="3"/>
        <v>14.739904546213637</v>
      </c>
      <c r="AA21">
        <f>100-M!B19*100</f>
        <v>47.057700000000004</v>
      </c>
      <c r="AC21">
        <f>'R3'!I3</f>
        <v>41.021760710487797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3.3700799999999997</v>
      </c>
      <c r="H22" s="50">
        <f>IF(FT!B22&lt;&gt;"",FT!B22*100,"")</f>
        <v>50.277999999999999</v>
      </c>
      <c r="I22" s="50">
        <f t="shared" si="2"/>
        <v>1</v>
      </c>
      <c r="J22" t="str">
        <f>IF(FT!B22&lt;&gt;"",FT!E22,"")</f>
        <v>0 [8.087851]</v>
      </c>
      <c r="K22">
        <f>IF(FT!B22&lt;&gt;"",IF(FT!C22&lt;&gt;"",FT!C22,F22/$M$3*$M$4),"")</f>
        <v>8.0878499999999995</v>
      </c>
      <c r="P22">
        <f t="shared" si="10"/>
        <v>19</v>
      </c>
      <c r="Q22">
        <f t="shared" si="12"/>
        <v>0</v>
      </c>
      <c r="R22">
        <f t="shared" si="13"/>
        <v>0</v>
      </c>
      <c r="S22">
        <f t="array" ref="S22">MAX(IF(ft_nq=P22,row_n))</f>
        <v>0</v>
      </c>
      <c r="T22">
        <f t="shared" si="11"/>
        <v>1</v>
      </c>
      <c r="V22" s="300">
        <f>X23</f>
        <v>90</v>
      </c>
      <c r="W22" s="300">
        <f>X23</f>
        <v>90</v>
      </c>
      <c r="X22" t="s">
        <v>1188</v>
      </c>
      <c r="Y22" s="75">
        <f t="shared" si="3"/>
        <v>14.918933675164983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5.3714135988471107E-2</v>
      </c>
      <c r="D23" s="50">
        <f>IF(hist!$D$2&gt;0,hist!B23/hist!$D$2,0)</f>
        <v>1</v>
      </c>
      <c r="E23" s="50">
        <f t="shared" si="1"/>
        <v>7.2710399246906645E-4</v>
      </c>
      <c r="F23">
        <f t="shared" si="6"/>
        <v>21</v>
      </c>
      <c r="G23" s="50">
        <f>IF(FT!A23&lt;&gt;"",FT!A23*10,"")</f>
        <v>3.3336500000000004</v>
      </c>
      <c r="H23" s="50">
        <f>IF(FT!B23&lt;&gt;"",FT!B23*100,"")</f>
        <v>50.139000000000003</v>
      </c>
      <c r="I23" s="50">
        <f t="shared" si="2"/>
        <v>1</v>
      </c>
      <c r="J23" t="str">
        <f>IF(FT!B23&lt;&gt;"",FT!E23,"")</f>
        <v>0 [8.478974]</v>
      </c>
      <c r="K23">
        <f>IF(FT!B23&lt;&gt;"",IF(FT!C23&lt;&gt;"",FT!C23,F23/$M$3*$M$4),"")</f>
        <v>8.4789700000000003</v>
      </c>
      <c r="P23">
        <f t="shared" si="10"/>
        <v>20</v>
      </c>
      <c r="Q23">
        <f t="shared" si="12"/>
        <v>0</v>
      </c>
      <c r="R23">
        <f t="shared" si="13"/>
        <v>0</v>
      </c>
      <c r="S23">
        <f t="array" ref="S23">MAX(IF(ft_nq=P23,row_n))</f>
        <v>0</v>
      </c>
      <c r="T23">
        <f t="shared" si="11"/>
        <v>1</v>
      </c>
      <c r="V23" s="300">
        <f>100-X23</f>
        <v>10</v>
      </c>
      <c r="W23" s="300">
        <f>X23</f>
        <v>90</v>
      </c>
      <c r="X23">
        <v>90</v>
      </c>
      <c r="Y23" s="75">
        <f t="shared" si="3"/>
        <v>15.040271174238447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3.3019500000000002</v>
      </c>
      <c r="H24" s="50">
        <f>IF(FT!B24&lt;&gt;"",FT!B24*100,"")</f>
        <v>49.888500000000001</v>
      </c>
      <c r="I24" s="50">
        <f t="shared" si="2"/>
        <v>1</v>
      </c>
      <c r="J24" t="str">
        <f>IF(FT!B24&lt;&gt;"",FT!E24,"")</f>
        <v>0 [8.886900]</v>
      </c>
      <c r="K24">
        <f>IF(FT!B24&lt;&gt;"",IF(FT!C24&lt;&gt;"",FT!C24,F24/$M$3*$M$4),"")</f>
        <v>8.8869000000000007</v>
      </c>
      <c r="P24">
        <f t="shared" si="10"/>
        <v>21</v>
      </c>
      <c r="Q24">
        <f t="shared" si="12"/>
        <v>0</v>
      </c>
      <c r="R24">
        <f t="shared" si="13"/>
        <v>0</v>
      </c>
      <c r="S24">
        <f t="array" ref="S24">MAX(IF(ft_nq=P24,row_n))</f>
        <v>0</v>
      </c>
      <c r="T24">
        <f t="shared" si="11"/>
        <v>1</v>
      </c>
      <c r="V24" s="300">
        <f>100-X23</f>
        <v>10</v>
      </c>
      <c r="W24" s="300">
        <f>100-X23</f>
        <v>10</v>
      </c>
      <c r="Y24" s="75">
        <f t="shared" si="3"/>
        <v>15.108799345841094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3.2671600000000001</v>
      </c>
      <c r="H25" s="50">
        <f>IF(FT!B25&lt;&gt;"",FT!B25*100,"")</f>
        <v>49.925999999999995</v>
      </c>
      <c r="I25" s="50">
        <f t="shared" si="2"/>
        <v>1</v>
      </c>
      <c r="J25" t="str">
        <f>IF(FT!B25&lt;&gt;"",FT!E25,"")</f>
        <v>0 [9.302376]</v>
      </c>
      <c r="K25">
        <f>IF(FT!B25&lt;&gt;"",IF(FT!C25&lt;&gt;"",FT!C25,F25/$M$3*$M$4),"")</f>
        <v>9.3023799999999994</v>
      </c>
      <c r="P25">
        <f t="shared" si="10"/>
        <v>22</v>
      </c>
      <c r="Q25">
        <f t="shared" si="12"/>
        <v>0</v>
      </c>
      <c r="R25">
        <f t="shared" si="13"/>
        <v>0</v>
      </c>
      <c r="S25">
        <f t="array" ref="S25">MAX(IF(ft_nq=P25,row_n))</f>
        <v>0</v>
      </c>
      <c r="T25">
        <f t="shared" si="11"/>
        <v>1</v>
      </c>
      <c r="V25" s="300">
        <f>X23</f>
        <v>90</v>
      </c>
      <c r="W25" s="300">
        <f>100-X23</f>
        <v>10</v>
      </c>
      <c r="Y25" s="75">
        <f t="shared" si="3"/>
        <v>15.281161620489964</v>
      </c>
    </row>
    <row r="26" spans="1:120">
      <c r="A26" s="50">
        <f t="shared" si="5"/>
        <v>24</v>
      </c>
      <c r="B26" s="50">
        <f t="shared" si="0"/>
        <v>0.46337976470588232</v>
      </c>
      <c r="C26" s="50">
        <f>IF(FH!$C$2&gt;0,FH!A26/FH!$C$2,0)</f>
        <v>5.450019651513166E-2</v>
      </c>
      <c r="D26" s="50">
        <f>IF(hist!$D$2&gt;0,hist!B26/hist!$D$2,0)</f>
        <v>0.97714880702837192</v>
      </c>
      <c r="E26" s="50">
        <f t="shared" si="1"/>
        <v>1.2128188079122912E-3</v>
      </c>
      <c r="F26">
        <f t="shared" si="6"/>
        <v>24</v>
      </c>
      <c r="G26" s="50">
        <f>IF(FT!A26&lt;&gt;"",FT!A26*10,"")</f>
        <v>3.2344299999999997</v>
      </c>
      <c r="H26" s="50">
        <f>IF(FT!B26&lt;&gt;"",FT!B26*100,"")</f>
        <v>50.090500000000006</v>
      </c>
      <c r="I26" s="50">
        <f t="shared" si="2"/>
        <v>1</v>
      </c>
      <c r="J26" t="str">
        <f>IF(FT!B26&lt;&gt;"",FT!E26,"")</f>
        <v>0 [9.701869]</v>
      </c>
      <c r="K26">
        <f>IF(FT!B26&lt;&gt;"",IF(FT!C26&lt;&gt;"",FT!C26,F26/$M$3*$M$4),"")</f>
        <v>9.7018699999999995</v>
      </c>
      <c r="P26">
        <f t="shared" si="10"/>
        <v>23</v>
      </c>
      <c r="Q26">
        <f t="shared" si="12"/>
        <v>0</v>
      </c>
      <c r="R26">
        <f t="shared" si="13"/>
        <v>0</v>
      </c>
      <c r="S26">
        <f t="array" ref="S26">MAX(IF(ft_nq=P26,row_n))</f>
        <v>0</v>
      </c>
      <c r="T26">
        <f t="shared" si="11"/>
        <v>1</v>
      </c>
      <c r="V26" s="300">
        <f>X23</f>
        <v>90</v>
      </c>
      <c r="W26" s="300">
        <f>X23</f>
        <v>90</v>
      </c>
      <c r="Y26" s="75">
        <f t="shared" si="3"/>
        <v>15.486654526454432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 없는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 없는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6.1181710991746366E-2</v>
      </c>
      <c r="D28" s="50">
        <f>IF(hist!$D$2&gt;0,hist!B28/hist!$D$2,0)</f>
        <v>0.8573106518356356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9.354120267260578E-2</v>
      </c>
      <c r="D31" s="50">
        <f>IF(hist!$D$2&gt;0,hist!B31/hist!$D$2,0)</f>
        <v>0.68118059561399169</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불편한 정서 상태이고, 심리정보 변화가 증가하고 있어 정서상태가 좋아질 수 있다. 에너지 대사량은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9.5200772959517885E-2</v>
      </c>
      <c r="D33" s="50">
        <f>IF(hist!$D$2&gt;0,hist!B33/hist!$D$2,0)</f>
        <v>0.50683782373360842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0.49646400000000002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50.3536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57.93933333333333</v>
      </c>
      <c r="W35" s="23">
        <f>IF(FH_info!G2*1&lt;&gt;0,(1-NORMSDIST((FH_info!G2*1-0.5308)/0.1538))*100,0)</f>
        <v>58.832990981613179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0.10699168085942617</v>
      </c>
      <c r="D36" s="50">
        <f>IF(hist!$D$2&gt;0,hist!B36/hist!$D$2,0)</f>
        <v>0.37504534321477523</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1.7381800000000001</v>
      </c>
      <c r="W36" s="495">
        <f>IF(W34&gt;=60,30/40*(W34-60)+70,IF(W34&gt;=35,35/25*(W34-35)+35,IF(W34&gt;=0,W34,0)))</f>
        <v>56.495040000000003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9.5069762871741126E-2</v>
      </c>
      <c r="D39" s="50">
        <f>IF(hist!$D$2&gt;0,hist!B39/hist!$D$2,0)</f>
        <v>0.29032602213217346</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0.14336859688195991</v>
      </c>
      <c r="D41" s="50">
        <f>IF(hist!$D$2&gt;0,hist!B41/hist!$D$2,0)</f>
        <v>0.23979790074896074</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27.464400000000001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0.14961352024105856</v>
      </c>
      <c r="D44" s="50">
        <f>IF(hist!$D$2&gt;0,hist!B44/hist!$D$2,0)</f>
        <v>0.20723939228207441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0.1930653085287567</v>
      </c>
      <c r="D46" s="50">
        <f>IF(hist!$D$2&gt;0,hist!B46/hist!$D$2,0)</f>
        <v>0.18275145269516274</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0.2204464168740993</v>
      </c>
      <c r="D49" s="50">
        <f>IF(hist!$D$2&gt;0,hist!B49/hist!$D$2,0)</f>
        <v>0.16137630464547514</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0.219441897026071</v>
      </c>
      <c r="D51" s="50">
        <f>IF(hist!$D$2&gt;0,hist!B51/hist!$D$2,0)</f>
        <v>0.14379421501671663</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39.184974709437427</v>
      </c>
      <c r="W52" s="303">
        <f ca="1">100-N9</f>
        <v>64.335267999999999</v>
      </c>
      <c r="X52" t="str">
        <f ca="1">"(" &amp; ROUND(V52,1) &amp; " , " &amp; ROUND(100-W52,1) &amp; ")"</f>
        <v>(39.2 , 35.7)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0.20830603956504651</v>
      </c>
      <c r="D54" s="50">
        <f>IF(hist!$D$2&gt;0,hist!B54/hist!$D$2,0)</f>
        <v>0.12930224512453395</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0.22345964889296474</v>
      </c>
      <c r="D57" s="50">
        <f>IF(hist!$D$2&gt;0,hist!B57/hist!$D$2,0)</f>
        <v>0.11764887465570643</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0.19267227826542643</v>
      </c>
      <c r="D59" s="50">
        <f>IF(hist!$D$2&gt;0,hist!B59/hist!$D$2,0)</f>
        <v>0.10845069445670362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0.21184331193501899</v>
      </c>
      <c r="D62" s="50">
        <f>IF(hist!$D$2&gt;0,hist!B62/hist!$D$2,0)</f>
        <v>0.10269925412094996</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0.1905322284815931</v>
      </c>
      <c r="D64" s="50">
        <f>IF(hist!$D$2&gt;0,hist!B64/hist!$D$2,0)</f>
        <v>9.8949484553427322E-2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0.22935510284291891</v>
      </c>
      <c r="D67" s="50">
        <f>IF(hist!$D$2&gt;0,hist!B67/hist!$D$2,0)</f>
        <v>9.6117054011999783E-2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0.26712956897681123</v>
      </c>
      <c r="D69" s="50">
        <f>IF(hist!$D$2&gt;0,hist!B69/hist!$D$2,0)</f>
        <v>9.3499017627971262E-2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0.33066946154853927</v>
      </c>
      <c r="D72" s="50">
        <f>IF(hist!$D$2&gt;0,hist!B72/hist!$D$2,0)</f>
        <v>9.1315946171096979E-2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0.44115354382287436</v>
      </c>
      <c r="D75" s="50">
        <f>IF(hist!$D$2&gt;0,hist!B75/hist!$D$2,0)</f>
        <v>8.7908368658531244E-2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0.63024695401545916</v>
      </c>
      <c r="D77" s="50">
        <f>IF(hist!$D$2&gt;0,hist!B77/hist!$D$2,0)</f>
        <v>8.350099473143778E-2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0.72265164417660155</v>
      </c>
      <c r="D80" s="50">
        <f>IF(hist!$D$2&gt;0,hist!B80/hist!$D$2,0)</f>
        <v>7.8811203514571895E-2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0.83117057513428538</v>
      </c>
      <c r="D82" s="50">
        <f>IF(hist!$D$2&gt;0,hist!B82/hist!$D$2,0)</f>
        <v>7.3773025077364662E-2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0.88903445565308525</v>
      </c>
      <c r="D85" s="50">
        <f>IF(hist!$D$2&gt;0,hist!B85/hist!$D$2,0)</f>
        <v>6.9058490305017622E-2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0.86213480938032228</v>
      </c>
      <c r="D88" s="50">
        <f>IF(hist!$D$2&gt;0,hist!B88/hist!$D$2,0)</f>
        <v>6.2888586414744749E-2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0.92746298965020302</v>
      </c>
      <c r="D90" s="50">
        <f>IF(hist!$D$2&gt;0,hist!B90/hist!$D$2,0)</f>
        <v>5.7951413756066814E-2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1</v>
      </c>
      <c r="D93" s="50">
        <f>IF(hist!$D$2&gt;0,hist!B93/hist!$D$2,0)</f>
        <v>5.2490642169445927E-2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0.92523581815799827</v>
      </c>
      <c r="D95" s="50">
        <f>IF(hist!$D$2&gt;0,hist!B95/hist!$D$2,0)</f>
        <v>4.6850518457729175E-2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0.94475632123673525</v>
      </c>
      <c r="D98" s="50">
        <f>IF(hist!$D$2&gt;0,hist!B98/hist!$D$2,0)</f>
        <v>4.1156802777526875E-2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0.85287567142669984</v>
      </c>
      <c r="D100" s="50">
        <f>IF(hist!$D$2&gt;0,hist!B100/hist!$D$2,0)</f>
        <v>3.563006126033709E-2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0.73282785274466133</v>
      </c>
      <c r="D103" s="50">
        <f>IF(hist!$D$2&gt;0,hist!B103/hist!$D$2,0)</f>
        <v>3.0762981942779686E-2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0.69596816454867028</v>
      </c>
      <c r="D106" s="50">
        <f>IF(hist!$D$2&gt;0,hist!B106/hist!$D$2,0)</f>
        <v>2.596393194193846E-2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0.64623018472422378</v>
      </c>
      <c r="D108" s="50">
        <f>IF(hist!$D$2&gt;0,hist!B108/hist!$D$2,0)</f>
        <v>2.1707043173908119E-2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0.66430957683741643</v>
      </c>
      <c r="D111" s="50">
        <f>IF(hist!$D$2&gt;0,hist!B111/hist!$D$2,0)</f>
        <v>1.8000560913706221E-2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0.59596488929647584</v>
      </c>
      <c r="D113" s="50">
        <f>IF(hist!$D$2&gt;0,hist!B113/hist!$D$2,0)</f>
        <v>1.4735226377357422E-2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0.59858509105201096</v>
      </c>
      <c r="D116" s="50">
        <f>IF(hist!$D$2&gt;0,hist!B116/hist!$D$2,0)</f>
        <v>1.191516761367044E-2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0.45154919428796014</v>
      </c>
      <c r="D118" s="50">
        <f>IF(hist!$D$2&gt;0,hist!B118/hist!$D$2,0)</f>
        <v>9.5981000016824511E-3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0.37329031835451326</v>
      </c>
      <c r="D121" s="50">
        <f>IF(hist!$D$2&gt;0,hist!B121/hist!$D$2,0)</f>
        <v>7.6809537384597967E-3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0.29669428796017289</v>
      </c>
      <c r="D124" s="50">
        <f>IF(hist!$D$2&gt;0,hist!B124/hist!$D$2,0)</f>
        <v>5.9740751299131745E-3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0.28555843049914842</v>
      </c>
      <c r="D126" s="50">
        <f>IF(hist!$D$2&gt;0,hist!B126/hist!$D$2,0)</f>
        <v>4.5681683855784607E-3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0.2656010087776759</v>
      </c>
      <c r="D129" s="50">
        <f>IF(hist!$D$2&gt;0,hist!B129/hist!$D$2,0)</f>
        <v>3.5065223588620804E-3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0.27809085549587315</v>
      </c>
      <c r="D131" s="50">
        <f>IF(hist!$D$2&gt;0,hist!B131/hist!$D$2,0)</f>
        <v>2.5850552839582889E-3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0.24830767719114372</v>
      </c>
      <c r="D134" s="50">
        <f>IF(hist!$D$2&gt;0,hist!B134/hist!$D$2,0)</f>
        <v>1.9789896910685466E-3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0.16367516048735753</v>
      </c>
      <c r="D136" s="50">
        <f>IF(hist!$D$2&gt;0,hist!B136/hist!$D$2,0)</f>
        <v>1.4904266110859991E-3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0.14900203065636056</v>
      </c>
      <c r="D139" s="50">
        <f>IF(hist!$D$2&gt;0,hist!B139/hist!$D$2,0)</f>
        <v>1.0884443300877005E-3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0.12576968426568846</v>
      </c>
      <c r="D142" s="50">
        <f>IF(hist!$D$2&gt;0,hist!B142/hist!$D$2,0)</f>
        <v>7.7716625862527585E-4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7.048342722389625E-2</v>
      </c>
      <c r="D144" s="50">
        <f>IF(hist!$D$2&gt;0,hist!B144/hist!$D$2,0)</f>
        <v>5.9369690732056395E-4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4.5067470195205024E-2</v>
      </c>
      <c r="D147" s="50">
        <f>IF(hist!$D$2&gt;0,hist!B147/hist!$D$2,0)</f>
        <v>4.1229003433451255E-4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3.3975173588366304E-2</v>
      </c>
      <c r="D149" s="50">
        <f>IF(hist!$D$2&gt;0,hist!B149/hist!$D$2,0)</f>
        <v>3.1127807146242475E-4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3.4979693436394607E-2</v>
      </c>
      <c r="D152" s="50">
        <f>IF(hist!$D$2&gt;0,hist!B152/hist!$D$2,0)</f>
        <v>2.0820672244306873E-4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1.9869874230315734E-2</v>
      </c>
      <c r="D154" s="50">
        <f>IF(hist!$D$2&gt;0,hist!B154/hist!$D$2,0)</f>
        <v>1.2368685569178416E-4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1.1878258875933448E-2</v>
      </c>
      <c r="D157" s="50">
        <f>IF(hist!$D$2&gt;0,hist!B157/hist!$D$2,0)</f>
        <v>1.0513382733801655E-4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1.0393456046115549E-2</v>
      </c>
      <c r="D160" s="50">
        <f>IF(hist!$D$2&gt;0,hist!B160/hist!$D$2,0)</f>
        <v>5.5659085061302867E-5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2.9695630813572644E-3</v>
      </c>
      <c r="D162" s="50">
        <f>IF(hist!$D$2&gt;0,hist!B162/hist!$D$2,0)</f>
        <v>4.741381004374931E-5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1.8553028353767624E-5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1.8553028353767624E-5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4.1234105516248545E-6</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4.1234105516248545E-6</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4.1234105516248545E-6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39.115299999999998</v>
      </c>
      <c r="C5" s="49">
        <v>6.6978200000000001</v>
      </c>
      <c r="D5" s="49">
        <v>17.1233</v>
      </c>
      <c r="E5" s="49">
        <v>20</v>
      </c>
      <c r="F5" s="49">
        <v>25.220199999999998</v>
      </c>
      <c r="G5" s="49">
        <v>50</v>
      </c>
      <c r="H5" s="49">
        <v>57.592399999999998</v>
      </c>
    </row>
    <row r="6" spans="1:10">
      <c r="A6" t="s">
        <v>1111</v>
      </c>
      <c r="B6" s="49">
        <v>27.4221</v>
      </c>
      <c r="C6" s="49">
        <v>12.460900000000001</v>
      </c>
      <c r="D6" s="49">
        <v>45.441299999999998</v>
      </c>
      <c r="E6" s="49">
        <v>20</v>
      </c>
      <c r="F6" s="49">
        <v>8.06752</v>
      </c>
      <c r="G6" s="49">
        <v>40</v>
      </c>
      <c r="H6" s="49">
        <v>55.722099999999998</v>
      </c>
    </row>
    <row r="7" spans="1:10">
      <c r="A7" t="s">
        <v>1112</v>
      </c>
      <c r="B7" s="49">
        <v>26.611000000000001</v>
      </c>
      <c r="C7" s="49">
        <v>8.8369099999999996</v>
      </c>
      <c r="D7" s="49">
        <v>33.207799999999999</v>
      </c>
      <c r="E7" s="49">
        <v>15</v>
      </c>
      <c r="F7" s="49">
        <v>17.173999999999999</v>
      </c>
      <c r="G7" s="49">
        <v>40</v>
      </c>
      <c r="H7" s="49">
        <v>52.300699999999999</v>
      </c>
    </row>
    <row r="8" spans="1:10">
      <c r="A8" t="s">
        <v>1113</v>
      </c>
      <c r="B8" s="49">
        <v>32.507300000000001</v>
      </c>
      <c r="C8" s="49">
        <v>4.1140299999999996</v>
      </c>
      <c r="D8" s="49">
        <v>12.6557</v>
      </c>
      <c r="E8" s="49">
        <v>20</v>
      </c>
      <c r="F8" s="49">
        <v>27.824400000000001</v>
      </c>
      <c r="G8" s="49">
        <v>50</v>
      </c>
      <c r="H8" s="49">
        <v>40.782499999999999</v>
      </c>
    </row>
    <row r="9" spans="1:10">
      <c r="A9" t="s">
        <v>1114</v>
      </c>
      <c r="B9" s="49">
        <v>34.818100000000001</v>
      </c>
      <c r="C9" s="49">
        <v>16.741</v>
      </c>
      <c r="D9" s="49">
        <v>48.081200000000003</v>
      </c>
      <c r="E9" s="49">
        <v>50</v>
      </c>
      <c r="F9" s="49">
        <v>0</v>
      </c>
      <c r="G9" s="49">
        <v>100</v>
      </c>
      <c r="H9" s="49">
        <v>63.712699999999998</v>
      </c>
    </row>
    <row r="10" spans="1:10">
      <c r="A10" t="s">
        <v>1115</v>
      </c>
      <c r="B10" s="49">
        <v>65.433199999999999</v>
      </c>
      <c r="C10" s="49">
        <v>14.5702</v>
      </c>
      <c r="D10" s="49">
        <v>22.267299999999999</v>
      </c>
      <c r="E10" s="49">
        <v>40</v>
      </c>
      <c r="F10" s="49">
        <v>31.725899999999999</v>
      </c>
      <c r="G10" s="49">
        <v>100</v>
      </c>
      <c r="H10" s="49">
        <v>84.025199999999998</v>
      </c>
    </row>
    <row r="11" spans="1:10">
      <c r="A11" t="s">
        <v>1116</v>
      </c>
      <c r="B11" s="49">
        <v>26.052199999999999</v>
      </c>
      <c r="C11" s="49">
        <v>6.7818500000000004</v>
      </c>
      <c r="D11" s="49">
        <v>26.031700000000001</v>
      </c>
      <c r="E11" s="49">
        <v>10</v>
      </c>
      <c r="F11" s="49">
        <v>11.068300000000001</v>
      </c>
      <c r="G11" s="49">
        <v>50</v>
      </c>
      <c r="H11" s="49">
        <v>37.425800000000002</v>
      </c>
    </row>
    <row r="12" spans="1:10">
      <c r="A12" t="s">
        <v>1117</v>
      </c>
      <c r="B12" s="49">
        <v>55.605400000000003</v>
      </c>
      <c r="C12" s="49">
        <v>8.5977399999999999</v>
      </c>
      <c r="D12" s="49">
        <v>15.4621</v>
      </c>
      <c r="E12" s="49">
        <v>50</v>
      </c>
      <c r="F12" s="49">
        <v>15.8629</v>
      </c>
      <c r="G12" s="49">
        <v>100</v>
      </c>
      <c r="H12" s="49">
        <v>60.547400000000003</v>
      </c>
    </row>
    <row r="13" spans="1:10">
      <c r="A13" t="s">
        <v>1118</v>
      </c>
      <c r="B13" s="49">
        <v>14.4841</v>
      </c>
      <c r="C13" s="49">
        <v>2.7685300000000002</v>
      </c>
      <c r="D13" s="49">
        <v>19.1143</v>
      </c>
      <c r="E13" s="49">
        <v>10</v>
      </c>
      <c r="F13" s="49">
        <v>12.2135</v>
      </c>
      <c r="G13" s="49">
        <v>25</v>
      </c>
      <c r="H13" s="49">
        <v>21.731999999999999</v>
      </c>
      <c r="J13" s="49"/>
    </row>
    <row r="14" spans="1:10">
      <c r="A14" t="s">
        <v>1119</v>
      </c>
      <c r="B14" s="49">
        <v>27.685300000000002</v>
      </c>
      <c r="C14" s="49">
        <v>9.7616899999999998</v>
      </c>
      <c r="D14" s="49">
        <v>35.259500000000003</v>
      </c>
      <c r="E14" s="49">
        <v>10</v>
      </c>
      <c r="F14" s="49">
        <v>1.34721</v>
      </c>
      <c r="G14" s="49">
        <v>50</v>
      </c>
      <c r="H14" s="49">
        <v>29.273299999999999</v>
      </c>
    </row>
    <row r="15" spans="1:10">
      <c r="A15" t="s">
        <v>1120</v>
      </c>
      <c r="B15" s="49">
        <v>0.16883899999999999</v>
      </c>
      <c r="C15" s="49">
        <v>0</v>
      </c>
      <c r="D15" s="49">
        <v>0</v>
      </c>
      <c r="E15" s="49">
        <v>0</v>
      </c>
      <c r="F15" s="49">
        <v>0</v>
      </c>
      <c r="G15" s="49">
        <v>0</v>
      </c>
      <c r="H15" s="49">
        <v>0</v>
      </c>
    </row>
    <row r="16" spans="1:10">
      <c r="A16" t="s">
        <v>1121</v>
      </c>
      <c r="B16" s="49">
        <v>0.448015</v>
      </c>
      <c r="C16" s="49">
        <v>0</v>
      </c>
      <c r="D16" s="49">
        <v>0</v>
      </c>
      <c r="E16" s="49">
        <v>0</v>
      </c>
      <c r="F16" s="49">
        <v>0</v>
      </c>
      <c r="G16" s="49">
        <v>0</v>
      </c>
      <c r="H16" s="49">
        <v>0</v>
      </c>
    </row>
    <row r="17" spans="1:8">
      <c r="A17" t="s">
        <v>1122</v>
      </c>
      <c r="B17" s="49">
        <v>27.464400000000001</v>
      </c>
      <c r="C17" s="49">
        <v>0</v>
      </c>
      <c r="D17" s="49">
        <v>0</v>
      </c>
      <c r="E17" s="49">
        <v>0</v>
      </c>
      <c r="F17" s="49">
        <v>0</v>
      </c>
      <c r="G17" s="49">
        <v>0</v>
      </c>
      <c r="H17" s="49">
        <v>0</v>
      </c>
    </row>
    <row r="18" spans="1:8">
      <c r="A18" t="s">
        <v>1123</v>
      </c>
      <c r="B18" s="49">
        <v>0.44580900000000001</v>
      </c>
      <c r="C18" s="49">
        <v>0</v>
      </c>
      <c r="D18" s="49">
        <v>0</v>
      </c>
      <c r="E18" s="49">
        <v>0</v>
      </c>
      <c r="F18" s="49">
        <v>0</v>
      </c>
      <c r="G18" s="49">
        <v>0</v>
      </c>
      <c r="H18" s="49">
        <v>0</v>
      </c>
    </row>
    <row r="19" spans="1:8">
      <c r="A19" t="s">
        <v>1124</v>
      </c>
      <c r="B19" s="49">
        <v>0.52942299999999998</v>
      </c>
      <c r="C19" s="49">
        <v>0</v>
      </c>
      <c r="D19" s="49">
        <v>0</v>
      </c>
      <c r="E19" s="49">
        <v>0</v>
      </c>
      <c r="F19" s="49">
        <v>0</v>
      </c>
      <c r="G19" s="49">
        <v>0</v>
      </c>
      <c r="H19" s="49">
        <v>0</v>
      </c>
    </row>
    <row r="20" spans="1:8">
      <c r="A20" t="s">
        <v>1125</v>
      </c>
      <c r="B20" s="49">
        <v>1.9222E-2</v>
      </c>
      <c r="C20" s="49">
        <v>0.48193200000000003</v>
      </c>
      <c r="D20" s="49">
        <v>25.071999999999999</v>
      </c>
      <c r="E20" s="49">
        <v>0</v>
      </c>
      <c r="F20" s="49">
        <v>4.0121499999999999E-3</v>
      </c>
      <c r="G20" s="49">
        <v>0</v>
      </c>
      <c r="H20" s="49">
        <v>4.58887</v>
      </c>
    </row>
    <row r="21" spans="1:8">
      <c r="A21" t="s">
        <v>1126</v>
      </c>
      <c r="B21" s="49">
        <v>9.4756499999999994E-2</v>
      </c>
      <c r="C21" s="49">
        <v>1.9986999999999999</v>
      </c>
      <c r="D21" s="49">
        <v>21.0931</v>
      </c>
      <c r="E21" s="49">
        <v>0</v>
      </c>
      <c r="F21" s="49">
        <v>9.9580799999999994E-3</v>
      </c>
      <c r="G21" s="49">
        <v>0</v>
      </c>
      <c r="H21" s="49">
        <v>13.3544</v>
      </c>
    </row>
    <row r="22" spans="1:8">
      <c r="A22" t="s">
        <v>1127</v>
      </c>
      <c r="B22" s="49">
        <v>51.304600000000001</v>
      </c>
      <c r="C22" s="49">
        <v>26.103899999999999</v>
      </c>
      <c r="D22" s="49">
        <v>0.50880199999999998</v>
      </c>
      <c r="E22" s="49">
        <v>0</v>
      </c>
      <c r="F22" s="49">
        <v>26.9391</v>
      </c>
      <c r="G22" s="49">
        <v>0</v>
      </c>
      <c r="H22" s="49">
        <v>104.474</v>
      </c>
    </row>
    <row r="23" spans="1:8">
      <c r="A23" t="s">
        <v>1128</v>
      </c>
      <c r="B23" s="49">
        <v>76.447500000000005</v>
      </c>
      <c r="C23" s="49">
        <v>51.185299999999998</v>
      </c>
      <c r="D23" s="49">
        <v>0.66954800000000003</v>
      </c>
      <c r="E23" s="49">
        <v>0</v>
      </c>
      <c r="F23" s="49">
        <v>25.163799999999998</v>
      </c>
      <c r="G23" s="49">
        <v>0</v>
      </c>
      <c r="H23" s="49">
        <v>181.34</v>
      </c>
    </row>
    <row r="24" spans="1:8">
      <c r="A24" t="s">
        <v>1129</v>
      </c>
      <c r="B24" s="49">
        <v>2.4600799999999999E-2</v>
      </c>
      <c r="C24" s="49">
        <v>0.307419</v>
      </c>
      <c r="D24" s="49">
        <v>12.4963</v>
      </c>
      <c r="E24" s="49">
        <v>0</v>
      </c>
      <c r="F24" s="49">
        <v>5.7344600000000003E-3</v>
      </c>
      <c r="G24" s="49">
        <v>0</v>
      </c>
      <c r="H24" s="49">
        <v>1.52701</v>
      </c>
    </row>
    <row r="25" spans="1:8">
      <c r="A25" t="s">
        <v>1130</v>
      </c>
      <c r="B25" s="49">
        <v>0.242559</v>
      </c>
      <c r="C25" s="49">
        <v>0.79743200000000003</v>
      </c>
      <c r="D25" s="49">
        <v>3.2875899999999998</v>
      </c>
      <c r="E25" s="49">
        <v>0</v>
      </c>
      <c r="F25" s="49">
        <v>2.8070100000000001E-2</v>
      </c>
      <c r="G25" s="49">
        <v>0</v>
      </c>
      <c r="H25" s="49">
        <v>2.3553999999999999</v>
      </c>
    </row>
    <row r="26" spans="1:8">
      <c r="A26" t="s">
        <v>1131</v>
      </c>
      <c r="B26" s="49">
        <v>3.2166500000000002E-3</v>
      </c>
      <c r="C26" s="49">
        <v>2.48256E-2</v>
      </c>
      <c r="D26" s="49">
        <v>7.7178199999999997</v>
      </c>
      <c r="E26" s="49">
        <v>0</v>
      </c>
      <c r="F26" s="173">
        <v>9.0018300000000004E-4</v>
      </c>
      <c r="G26" s="49">
        <v>0</v>
      </c>
      <c r="H26" s="49">
        <v>0.189139</v>
      </c>
    </row>
    <row r="27" spans="1:8">
      <c r="A27" t="s">
        <v>1132</v>
      </c>
      <c r="B27" s="173">
        <v>-1.20024E-5</v>
      </c>
      <c r="C27" s="49">
        <v>1.6443599999999999E-2</v>
      </c>
      <c r="D27" s="49">
        <v>-1370.03</v>
      </c>
      <c r="E27" s="49">
        <v>0</v>
      </c>
      <c r="F27" s="49">
        <v>-7.4348600000000001E-2</v>
      </c>
      <c r="G27" s="49">
        <v>0</v>
      </c>
      <c r="H27" s="49">
        <v>0.148311</v>
      </c>
    </row>
    <row r="28" spans="1:8">
      <c r="A28" t="s">
        <v>1133</v>
      </c>
      <c r="B28" s="49">
        <v>1.12462E-2</v>
      </c>
      <c r="C28" s="49">
        <v>5.8984599999999998E-2</v>
      </c>
      <c r="D28" s="49">
        <v>5.2448399999999999</v>
      </c>
      <c r="E28" s="49">
        <v>0</v>
      </c>
      <c r="F28" s="49">
        <v>2.0627200000000001E-3</v>
      </c>
      <c r="G28" s="49">
        <v>0</v>
      </c>
      <c r="H28" s="49">
        <v>0.35939300000000002</v>
      </c>
    </row>
    <row r="29" spans="1:8">
      <c r="A29" t="s">
        <v>1134</v>
      </c>
      <c r="B29" s="49">
        <v>60.9407</v>
      </c>
      <c r="C29" s="49">
        <v>11.4579</v>
      </c>
      <c r="D29" s="49">
        <v>0.18801699999999999</v>
      </c>
      <c r="E29" s="49">
        <v>0</v>
      </c>
      <c r="F29" s="49">
        <v>42.100299999999997</v>
      </c>
      <c r="G29" s="49">
        <v>0</v>
      </c>
      <c r="H29" s="49">
        <v>92.851699999999994</v>
      </c>
    </row>
    <row r="30" spans="1:8">
      <c r="A30" t="s">
        <v>1135</v>
      </c>
      <c r="B30" s="49">
        <v>33.682200000000002</v>
      </c>
      <c r="C30" s="49">
        <v>18.317499999999999</v>
      </c>
      <c r="D30" s="49">
        <v>0.54383300000000001</v>
      </c>
      <c r="E30" s="49">
        <v>0</v>
      </c>
      <c r="F30" s="49">
        <v>22.351600000000001</v>
      </c>
      <c r="G30" s="49">
        <v>0</v>
      </c>
      <c r="H30" s="49">
        <v>79.403300000000002</v>
      </c>
    </row>
    <row r="31" spans="1:8">
      <c r="A31" t="s">
        <v>1136</v>
      </c>
      <c r="B31" s="49">
        <v>306.87700000000001</v>
      </c>
      <c r="C31" s="49">
        <v>77.344499999999996</v>
      </c>
      <c r="D31" s="49">
        <v>0.25203700000000001</v>
      </c>
      <c r="E31" s="49">
        <v>0</v>
      </c>
      <c r="F31" s="49">
        <v>182.505</v>
      </c>
      <c r="G31" s="49">
        <v>0</v>
      </c>
      <c r="H31" s="49">
        <v>415.03399999999999</v>
      </c>
    </row>
    <row r="32" spans="1:8">
      <c r="A32" t="s">
        <v>1137</v>
      </c>
      <c r="B32" s="49">
        <v>0.26611000000000001</v>
      </c>
      <c r="C32" s="49">
        <v>8.8369100000000006E-2</v>
      </c>
      <c r="D32" s="49">
        <v>0.33207799999999998</v>
      </c>
      <c r="E32" s="49">
        <v>0.15</v>
      </c>
      <c r="F32" s="49">
        <v>0.17174</v>
      </c>
      <c r="G32" s="49">
        <v>0.4</v>
      </c>
      <c r="H32" s="49">
        <v>0.523007</v>
      </c>
    </row>
    <row r="33" spans="1:8">
      <c r="A33" t="s">
        <v>1138</v>
      </c>
      <c r="B33" s="49">
        <v>0.212978</v>
      </c>
      <c r="C33" s="49">
        <v>1.8442E-2</v>
      </c>
      <c r="D33" s="49">
        <v>8.6591100000000004E-2</v>
      </c>
      <c r="E33" s="49">
        <v>0</v>
      </c>
      <c r="F33" s="49">
        <v>0.17769599999999999</v>
      </c>
      <c r="G33" s="49">
        <v>0</v>
      </c>
      <c r="H33" s="49">
        <v>0.25724900000000001</v>
      </c>
    </row>
    <row r="34" spans="1:8">
      <c r="A34" t="s">
        <v>1139</v>
      </c>
      <c r="B34" s="49">
        <v>0.144841</v>
      </c>
      <c r="C34" s="49">
        <v>2.7685299999999999E-2</v>
      </c>
      <c r="D34" s="49">
        <v>0.19114300000000001</v>
      </c>
      <c r="E34" s="49">
        <v>0.1</v>
      </c>
      <c r="F34" s="49">
        <v>0.12213499999999999</v>
      </c>
      <c r="G34" s="49">
        <v>0.25</v>
      </c>
      <c r="H34" s="49">
        <v>0.21732000000000001</v>
      </c>
    </row>
    <row r="35" spans="1:8">
      <c r="A35" t="s">
        <v>1140</v>
      </c>
      <c r="B35" s="49">
        <v>8.3595000000000003E-2</v>
      </c>
      <c r="C35" s="49">
        <v>2.3820600000000001E-2</v>
      </c>
      <c r="D35" s="49">
        <v>0.28495300000000001</v>
      </c>
      <c r="E35" s="49">
        <v>0</v>
      </c>
      <c r="F35" s="49">
        <v>4.8976600000000002E-2</v>
      </c>
      <c r="G35" s="49">
        <v>0</v>
      </c>
      <c r="H35" s="49">
        <v>0.13480600000000001</v>
      </c>
    </row>
    <row r="36" spans="1:8">
      <c r="A36" t="s">
        <v>1141</v>
      </c>
      <c r="B36" s="49">
        <v>0.117148</v>
      </c>
      <c r="C36" s="49">
        <v>9.3084E-2</v>
      </c>
      <c r="D36" s="49">
        <v>0.79458600000000001</v>
      </c>
      <c r="E36" s="49">
        <v>0</v>
      </c>
      <c r="F36" s="49">
        <v>4.3455800000000003E-2</v>
      </c>
      <c r="G36" s="49">
        <v>0</v>
      </c>
      <c r="H36" s="49">
        <v>0.46063599999999999</v>
      </c>
    </row>
    <row r="37" spans="1:8">
      <c r="A37" t="s">
        <v>1142</v>
      </c>
      <c r="B37" s="49">
        <v>0.27685300000000002</v>
      </c>
      <c r="C37" s="49">
        <v>9.7616900000000006E-2</v>
      </c>
      <c r="D37" s="49">
        <v>0.35259499999999999</v>
      </c>
      <c r="E37" s="49">
        <v>0.1</v>
      </c>
      <c r="F37" s="49">
        <v>1.3472100000000001E-2</v>
      </c>
      <c r="G37" s="49">
        <v>0.5</v>
      </c>
      <c r="H37" s="49">
        <v>0.29273300000000002</v>
      </c>
    </row>
    <row r="38" spans="1:8">
      <c r="A38" t="s">
        <v>1143</v>
      </c>
      <c r="B38" s="49">
        <v>-8.6370100000000001</v>
      </c>
      <c r="C38" s="49">
        <v>40.869900000000001</v>
      </c>
      <c r="D38" s="49">
        <v>-4.7319500000000003</v>
      </c>
      <c r="E38" s="49">
        <v>0</v>
      </c>
      <c r="F38" s="49">
        <v>-81.8142</v>
      </c>
      <c r="G38" s="49">
        <v>0</v>
      </c>
      <c r="H38" s="49">
        <v>122.023</v>
      </c>
    </row>
    <row r="39" spans="1:8">
      <c r="A39" t="s">
        <v>1144</v>
      </c>
      <c r="B39" s="49">
        <v>-4.1207500000000001</v>
      </c>
      <c r="C39" s="49">
        <v>7.9093799999999996</v>
      </c>
      <c r="D39" s="49">
        <v>-1.9194</v>
      </c>
      <c r="E39" s="49">
        <v>0</v>
      </c>
      <c r="F39" s="49">
        <v>-45.863300000000002</v>
      </c>
      <c r="G39" s="49">
        <v>0</v>
      </c>
      <c r="H39" s="49">
        <v>1.80217</v>
      </c>
    </row>
    <row r="40" spans="1:8">
      <c r="A40" t="s">
        <v>1145</v>
      </c>
      <c r="B40" s="49">
        <v>-13.592599999999999</v>
      </c>
      <c r="C40" s="49">
        <v>16.460599999999999</v>
      </c>
      <c r="D40" s="49">
        <v>-1.21099</v>
      </c>
      <c r="E40" s="49">
        <v>0</v>
      </c>
      <c r="F40" s="49">
        <v>-32.131799999999998</v>
      </c>
      <c r="G40" s="49">
        <v>0</v>
      </c>
      <c r="H40" s="49">
        <v>52.195300000000003</v>
      </c>
    </row>
    <row r="41" spans="1:8">
      <c r="A41" t="s">
        <v>1146</v>
      </c>
      <c r="B41" s="49">
        <v>-5.3429200000000003E-2</v>
      </c>
      <c r="C41" s="49">
        <v>0.190609</v>
      </c>
      <c r="D41" s="49">
        <v>-3.56751</v>
      </c>
      <c r="E41" s="49">
        <v>0</v>
      </c>
      <c r="F41" s="49">
        <v>-0.35546899999999998</v>
      </c>
      <c r="G41" s="49">
        <v>0</v>
      </c>
      <c r="H41" s="49">
        <v>0.56081099999999995</v>
      </c>
    </row>
    <row r="42" spans="1:8">
      <c r="A42" t="s">
        <v>1147</v>
      </c>
      <c r="B42" s="49">
        <v>-7.0029499999999995E-2</v>
      </c>
      <c r="C42" s="49">
        <v>7.9263899999999998E-2</v>
      </c>
      <c r="D42" s="49">
        <v>-1.1318600000000001</v>
      </c>
      <c r="E42" s="49">
        <v>0</v>
      </c>
      <c r="F42" s="49">
        <v>-0.50247200000000003</v>
      </c>
      <c r="G42" s="49">
        <v>0</v>
      </c>
      <c r="H42" s="49">
        <v>6.7429299999999998E-2</v>
      </c>
    </row>
    <row r="43" spans="1:8">
      <c r="A43" t="s">
        <v>1148</v>
      </c>
      <c r="B43" s="49">
        <v>8.9835000000000002E-3</v>
      </c>
      <c r="C43" s="49">
        <v>0.19461899999999999</v>
      </c>
      <c r="D43" s="49">
        <v>21.664100000000001</v>
      </c>
      <c r="E43" s="49">
        <v>0</v>
      </c>
      <c r="F43" s="49">
        <v>-0.36160199999999998</v>
      </c>
      <c r="G43" s="49">
        <v>0</v>
      </c>
      <c r="H43" s="49">
        <v>0.55253300000000005</v>
      </c>
    </row>
    <row r="44" spans="1:8">
      <c r="A44" t="s">
        <v>1149</v>
      </c>
      <c r="B44" s="49">
        <v>-22.837800000000001</v>
      </c>
      <c r="C44" s="49">
        <v>45.413400000000003</v>
      </c>
      <c r="D44" s="49">
        <v>-1.9885200000000001</v>
      </c>
      <c r="E44" s="49">
        <v>0</v>
      </c>
      <c r="F44" s="49">
        <v>-130.858</v>
      </c>
      <c r="G44" s="49">
        <v>0</v>
      </c>
      <c r="H44" s="49">
        <v>45.857199999999999</v>
      </c>
    </row>
    <row r="45" spans="1:8">
      <c r="A45" t="s">
        <v>1150</v>
      </c>
      <c r="B45" s="49">
        <v>57.167400000000001</v>
      </c>
      <c r="C45" s="49">
        <v>7.4711699999999999</v>
      </c>
      <c r="D45" s="49">
        <v>0.130689</v>
      </c>
      <c r="E45" s="49">
        <v>0</v>
      </c>
      <c r="F45" s="49">
        <v>47.346600000000002</v>
      </c>
      <c r="G45" s="49">
        <v>0</v>
      </c>
      <c r="H45" s="49">
        <v>78.010999999999996</v>
      </c>
    </row>
    <row r="46" spans="1:8">
      <c r="A46" t="s">
        <v>1151</v>
      </c>
      <c r="B46" s="49">
        <v>34.78</v>
      </c>
      <c r="C46" s="49">
        <v>4.6795200000000001</v>
      </c>
      <c r="D46" s="49">
        <v>0.134546</v>
      </c>
      <c r="E46" s="49">
        <v>0</v>
      </c>
      <c r="F46" s="49">
        <v>23.0304</v>
      </c>
      <c r="G46" s="49">
        <v>0</v>
      </c>
      <c r="H46" s="49">
        <v>45.031599999999997</v>
      </c>
    </row>
    <row r="47" spans="1:8">
      <c r="A47" t="s">
        <v>1152</v>
      </c>
      <c r="B47" s="49">
        <v>0.83409100000000003</v>
      </c>
      <c r="C47" s="49">
        <v>0.51256999999999997</v>
      </c>
      <c r="D47" s="49">
        <v>0.61452600000000002</v>
      </c>
      <c r="E47" s="49">
        <v>0</v>
      </c>
      <c r="F47" s="49">
        <v>0.52424800000000005</v>
      </c>
      <c r="G47" s="49">
        <v>0</v>
      </c>
      <c r="H47" s="49">
        <v>2.5889099999999998</v>
      </c>
    </row>
    <row r="48" spans="1:8">
      <c r="A48" t="s">
        <v>1153</v>
      </c>
      <c r="B48" s="49">
        <v>1.09074</v>
      </c>
      <c r="C48" s="49">
        <v>0.32436900000000002</v>
      </c>
      <c r="D48" s="49">
        <v>0.29738500000000001</v>
      </c>
      <c r="E48" s="49">
        <v>0</v>
      </c>
      <c r="F48" s="49">
        <v>0.47174100000000002</v>
      </c>
      <c r="G48" s="49">
        <v>0</v>
      </c>
      <c r="H48" s="49">
        <v>1.71468</v>
      </c>
    </row>
    <row r="50" spans="1:4">
      <c r="A50" t="str">
        <f>lang!B7</f>
        <v>긍정감정</v>
      </c>
      <c r="B50" s="134">
        <f>SUM(B9:B12)</f>
        <v>181.90890000000002</v>
      </c>
      <c r="C50" s="134"/>
      <c r="D50" s="134">
        <f t="shared" ref="D50" si="0">SUM(D9:D12)</f>
        <v>111.84229999999999</v>
      </c>
    </row>
    <row r="51" spans="1:4">
      <c r="A51" t="str">
        <f>lang!B8</f>
        <v>부정감정</v>
      </c>
      <c r="B51" s="134">
        <f>SUM(B5:B8)</f>
        <v>125.6557</v>
      </c>
      <c r="C51" s="134"/>
      <c r="D51" s="134">
        <f t="shared" ref="D51" si="1">SUM(D5:D8)</f>
        <v>108.4281</v>
      </c>
    </row>
    <row r="52" spans="1:4">
      <c r="A52" t="str">
        <f>lang!B9</f>
        <v>생리감정</v>
      </c>
      <c r="B52" s="134">
        <f>SUM(B13:B14)</f>
        <v>42.169400000000003</v>
      </c>
      <c r="C52" s="134"/>
      <c r="D52" s="134">
        <f t="shared" ref="D52" si="2">SUM(D13:D14)</f>
        <v>54.373800000000003</v>
      </c>
    </row>
    <row r="53" spans="1:4">
      <c r="B53" s="50">
        <f>SUM(B50:B52)</f>
        <v>349.73400000000004</v>
      </c>
      <c r="D53" s="50">
        <f>SUM(D50:D52)</f>
        <v>274.64420000000001</v>
      </c>
    </row>
    <row r="54" spans="1:4">
      <c r="A54" t="str">
        <f>lang!B7</f>
        <v>긍정감정</v>
      </c>
      <c r="B54" s="135">
        <f>IF(B$53&lt;&gt;0,B50/B$53,0)</f>
        <v>0.52013501689855723</v>
      </c>
      <c r="C54" s="135"/>
      <c r="D54" s="135">
        <f>IF(D$53&lt;&gt;0,D50/D$53,0)</f>
        <v>0.40722614932337908</v>
      </c>
    </row>
    <row r="55" spans="1:4">
      <c r="A55" t="str">
        <f>lang!B8</f>
        <v>부정감정</v>
      </c>
      <c r="B55" s="135">
        <f>IF(B$53&lt;&gt;0,B51/B$53,0)</f>
        <v>0.35928934561695453</v>
      </c>
      <c r="C55" s="135"/>
      <c r="D55" s="135">
        <f>IF(D$53&lt;&gt;0,D51/D$53,0)</f>
        <v>0.3947947926808576</v>
      </c>
    </row>
    <row r="56" spans="1:4">
      <c r="A56" t="str">
        <f>lang!B9</f>
        <v>생리감정</v>
      </c>
      <c r="B56" s="135">
        <f>IF(B$53&lt;&gt;0,B52/B$53,0)</f>
        <v>0.12057563748448821</v>
      </c>
      <c r="C56" s="135"/>
      <c r="D56" s="135">
        <f>IF(D$53&lt;&gt;0,D52/D$53,0)</f>
        <v>0.19797905799576324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30.532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0.52</v>
      </c>
      <c r="B8" s="49">
        <v>0.52</v>
      </c>
    </row>
    <row r="9" spans="1:3">
      <c r="A9" s="49">
        <v>0</v>
      </c>
      <c r="B9" s="49">
        <v>0</v>
      </c>
    </row>
    <row r="10" spans="1:3">
      <c r="A10" s="49">
        <v>0.86266699999999996</v>
      </c>
      <c r="B10" s="49">
        <v>0.86266699999999996</v>
      </c>
    </row>
    <row r="11" spans="1:3">
      <c r="A11" s="49">
        <v>0</v>
      </c>
      <c r="B11" s="49">
        <v>0</v>
      </c>
    </row>
    <row r="12" spans="1:3">
      <c r="A12" s="49">
        <v>0</v>
      </c>
      <c r="B12" s="49">
        <v>0</v>
      </c>
    </row>
    <row r="13" spans="1:3">
      <c r="A13" s="49">
        <v>1.06267</v>
      </c>
      <c r="B13" s="49">
        <v>1.06267</v>
      </c>
    </row>
    <row r="14" spans="1:3">
      <c r="A14" s="49">
        <v>0</v>
      </c>
      <c r="B14" s="49">
        <v>0</v>
      </c>
    </row>
    <row r="15" spans="1:3">
      <c r="A15" s="49">
        <v>1.0613300000000001</v>
      </c>
      <c r="B15" s="49">
        <v>1.0613300000000001</v>
      </c>
    </row>
    <row r="16" spans="1:3">
      <c r="A16" s="49">
        <v>0</v>
      </c>
      <c r="B16" s="49">
        <v>0</v>
      </c>
    </row>
    <row r="17" spans="1:2">
      <c r="A17" s="49">
        <v>0</v>
      </c>
      <c r="B17" s="49">
        <v>0</v>
      </c>
    </row>
    <row r="18" spans="1:2">
      <c r="A18" s="49">
        <v>1.1120000000000001</v>
      </c>
      <c r="B18" s="49">
        <v>1.1120000000000001</v>
      </c>
    </row>
    <row r="19" spans="1:2">
      <c r="A19" s="49">
        <v>0</v>
      </c>
      <c r="B19" s="49">
        <v>0</v>
      </c>
    </row>
    <row r="20" spans="1:2">
      <c r="A20" s="49">
        <v>0</v>
      </c>
      <c r="B20" s="49">
        <v>0</v>
      </c>
    </row>
    <row r="21" spans="1:2">
      <c r="A21" s="49">
        <v>1.3959999999999999</v>
      </c>
      <c r="B21" s="49">
        <v>1.3959999999999999</v>
      </c>
    </row>
    <row r="22" spans="1:2">
      <c r="A22" s="49">
        <v>0</v>
      </c>
      <c r="B22" s="49">
        <v>0</v>
      </c>
    </row>
    <row r="23" spans="1:2">
      <c r="A23" s="49">
        <v>1.64</v>
      </c>
      <c r="B23" s="49">
        <v>1.64</v>
      </c>
    </row>
    <row r="24" spans="1:2">
      <c r="A24" s="49">
        <v>0</v>
      </c>
      <c r="B24" s="49">
        <v>0</v>
      </c>
    </row>
    <row r="25" spans="1:2">
      <c r="A25" s="49">
        <v>0</v>
      </c>
      <c r="B25" s="49">
        <v>0</v>
      </c>
    </row>
    <row r="26" spans="1:2">
      <c r="A26" s="49">
        <v>1.6639999999999999</v>
      </c>
      <c r="B26" s="49">
        <v>1.6639999999999999</v>
      </c>
    </row>
    <row r="27" spans="1:2">
      <c r="A27" s="49">
        <v>0</v>
      </c>
      <c r="B27" s="49">
        <v>0</v>
      </c>
    </row>
    <row r="28" spans="1:2">
      <c r="A28" s="49">
        <v>1.8680000000000001</v>
      </c>
      <c r="B28" s="49">
        <v>1.8680000000000001</v>
      </c>
    </row>
    <row r="29" spans="1:2">
      <c r="A29" s="49">
        <v>0</v>
      </c>
      <c r="B29" s="49">
        <v>0</v>
      </c>
    </row>
    <row r="30" spans="1:2">
      <c r="A30" s="49">
        <v>0</v>
      </c>
      <c r="B30" s="49">
        <v>0</v>
      </c>
    </row>
    <row r="31" spans="1:2">
      <c r="A31" s="49">
        <v>2.8559999999999999</v>
      </c>
      <c r="B31" s="49">
        <v>2.8559999999999999</v>
      </c>
    </row>
    <row r="32" spans="1:2">
      <c r="A32" s="49">
        <v>0</v>
      </c>
      <c r="B32" s="49">
        <v>0</v>
      </c>
    </row>
    <row r="33" spans="1:2">
      <c r="A33" s="49">
        <v>2.9066700000000001</v>
      </c>
      <c r="B33" s="49">
        <v>2.9066700000000001</v>
      </c>
    </row>
    <row r="34" spans="1:2">
      <c r="A34" s="49">
        <v>0</v>
      </c>
      <c r="B34" s="49">
        <v>0</v>
      </c>
    </row>
    <row r="35" spans="1:2">
      <c r="A35" s="49">
        <v>0</v>
      </c>
      <c r="B35" s="49">
        <v>0</v>
      </c>
    </row>
    <row r="36" spans="1:2">
      <c r="A36" s="49">
        <v>3.26667</v>
      </c>
      <c r="B36" s="49">
        <v>3.26667</v>
      </c>
    </row>
    <row r="37" spans="1:2">
      <c r="A37" s="49">
        <v>0</v>
      </c>
      <c r="B37" s="49">
        <v>0</v>
      </c>
    </row>
    <row r="38" spans="1:2">
      <c r="A38" s="49">
        <v>0</v>
      </c>
      <c r="B38" s="49">
        <v>0</v>
      </c>
    </row>
    <row r="39" spans="1:2">
      <c r="A39" s="49">
        <v>2.9026700000000001</v>
      </c>
      <c r="B39" s="49">
        <v>2.9026700000000001</v>
      </c>
    </row>
    <row r="40" spans="1:2">
      <c r="A40" s="49">
        <v>0</v>
      </c>
      <c r="B40" s="49">
        <v>0</v>
      </c>
    </row>
    <row r="41" spans="1:2">
      <c r="A41" s="49">
        <v>4.3773299999999997</v>
      </c>
      <c r="B41" s="49">
        <v>4.3773299999999997</v>
      </c>
    </row>
    <row r="42" spans="1:2">
      <c r="A42" s="49">
        <v>0</v>
      </c>
      <c r="B42" s="49">
        <v>0</v>
      </c>
    </row>
    <row r="43" spans="1:2">
      <c r="A43" s="49">
        <v>0</v>
      </c>
      <c r="B43" s="49">
        <v>0</v>
      </c>
    </row>
    <row r="44" spans="1:2">
      <c r="A44" s="49">
        <v>4.5679999999999996</v>
      </c>
      <c r="B44" s="49">
        <v>4.5679999999999996</v>
      </c>
    </row>
    <row r="45" spans="1:2">
      <c r="A45" s="49">
        <v>0</v>
      </c>
      <c r="B45" s="49">
        <v>0</v>
      </c>
    </row>
    <row r="46" spans="1:2">
      <c r="A46" s="49">
        <v>5.8946699999999996</v>
      </c>
      <c r="B46" s="49">
        <v>5.8946699999999996</v>
      </c>
    </row>
    <row r="47" spans="1:2">
      <c r="A47" s="49">
        <v>0</v>
      </c>
      <c r="B47" s="49">
        <v>0</v>
      </c>
    </row>
    <row r="48" spans="1:2">
      <c r="A48" s="49">
        <v>0</v>
      </c>
      <c r="B48" s="49">
        <v>0</v>
      </c>
    </row>
    <row r="49" spans="1:2">
      <c r="A49" s="49">
        <v>6.7306699999999999</v>
      </c>
      <c r="B49" s="49">
        <v>6.7306699999999999</v>
      </c>
    </row>
    <row r="50" spans="1:2">
      <c r="A50" s="49">
        <v>0</v>
      </c>
      <c r="B50" s="49">
        <v>0</v>
      </c>
    </row>
    <row r="51" spans="1:2">
      <c r="A51" s="49">
        <v>6.7</v>
      </c>
      <c r="B51" s="49">
        <v>6.7</v>
      </c>
    </row>
    <row r="52" spans="1:2">
      <c r="A52" s="49">
        <v>0</v>
      </c>
      <c r="B52" s="49">
        <v>0</v>
      </c>
    </row>
    <row r="53" spans="1:2">
      <c r="A53" s="49">
        <v>0</v>
      </c>
      <c r="B53" s="49">
        <v>0</v>
      </c>
    </row>
    <row r="54" spans="1:2">
      <c r="A54" s="49">
        <v>6.36</v>
      </c>
      <c r="B54" s="49">
        <v>6.36</v>
      </c>
    </row>
    <row r="55" spans="1:2">
      <c r="A55" s="49">
        <v>0</v>
      </c>
      <c r="B55" s="49">
        <v>0</v>
      </c>
    </row>
    <row r="56" spans="1:2">
      <c r="A56" s="49">
        <v>0</v>
      </c>
      <c r="B56" s="49">
        <v>0</v>
      </c>
    </row>
    <row r="57" spans="1:2">
      <c r="A57" s="49">
        <v>6.8226699999999996</v>
      </c>
      <c r="B57" s="49">
        <v>6.8226699999999996</v>
      </c>
    </row>
    <row r="58" spans="1:2">
      <c r="A58" s="49">
        <v>0</v>
      </c>
      <c r="B58" s="49">
        <v>0</v>
      </c>
    </row>
    <row r="59" spans="1:2">
      <c r="A59" s="49">
        <v>5.8826700000000001</v>
      </c>
      <c r="B59" s="49">
        <v>5.8826700000000001</v>
      </c>
    </row>
    <row r="60" spans="1:2">
      <c r="A60" s="49">
        <v>0</v>
      </c>
      <c r="B60" s="49">
        <v>0</v>
      </c>
    </row>
    <row r="61" spans="1:2">
      <c r="A61" s="49">
        <v>0</v>
      </c>
      <c r="B61" s="49">
        <v>0</v>
      </c>
    </row>
    <row r="62" spans="1:2">
      <c r="A62" s="49">
        <v>6.468</v>
      </c>
      <c r="B62" s="49">
        <v>6.468</v>
      </c>
    </row>
    <row r="63" spans="1:2">
      <c r="A63" s="49">
        <v>0</v>
      </c>
      <c r="B63" s="49">
        <v>0</v>
      </c>
    </row>
    <row r="64" spans="1:2">
      <c r="A64" s="49">
        <v>5.8173300000000001</v>
      </c>
      <c r="B64" s="49">
        <v>5.8173300000000001</v>
      </c>
    </row>
    <row r="65" spans="1:2">
      <c r="A65" s="49">
        <v>0</v>
      </c>
      <c r="B65" s="49">
        <v>0</v>
      </c>
    </row>
    <row r="66" spans="1:2">
      <c r="A66" s="49">
        <v>0</v>
      </c>
      <c r="B66" s="49">
        <v>0</v>
      </c>
    </row>
    <row r="67" spans="1:2">
      <c r="A67" s="49">
        <v>7.0026700000000002</v>
      </c>
      <c r="B67" s="49">
        <v>7.0026700000000002</v>
      </c>
    </row>
    <row r="68" spans="1:2">
      <c r="A68" s="49">
        <v>0</v>
      </c>
      <c r="B68" s="49">
        <v>0</v>
      </c>
    </row>
    <row r="69" spans="1:2">
      <c r="A69" s="49">
        <v>8.1560000000000006</v>
      </c>
      <c r="B69" s="49">
        <v>8.1560000000000006</v>
      </c>
    </row>
    <row r="70" spans="1:2">
      <c r="A70" s="49">
        <v>0</v>
      </c>
      <c r="B70" s="49">
        <v>0</v>
      </c>
    </row>
    <row r="71" spans="1:2">
      <c r="A71" s="49">
        <v>0</v>
      </c>
      <c r="B71" s="49">
        <v>0</v>
      </c>
    </row>
    <row r="72" spans="1:2">
      <c r="A72" s="49">
        <v>10.096</v>
      </c>
      <c r="B72" s="49">
        <v>10.096</v>
      </c>
    </row>
    <row r="73" spans="1:2">
      <c r="A73" s="49">
        <v>0</v>
      </c>
      <c r="B73" s="49">
        <v>0</v>
      </c>
    </row>
    <row r="74" spans="1:2">
      <c r="A74" s="49">
        <v>0</v>
      </c>
      <c r="B74" s="49">
        <v>0</v>
      </c>
    </row>
    <row r="75" spans="1:2">
      <c r="A75" s="49">
        <v>13.4693</v>
      </c>
      <c r="B75" s="49">
        <v>13.4693</v>
      </c>
    </row>
    <row r="76" spans="1:2">
      <c r="A76" s="49">
        <v>0</v>
      </c>
      <c r="B76" s="49">
        <v>0</v>
      </c>
    </row>
    <row r="77" spans="1:2">
      <c r="A77" s="49">
        <v>19.242699999999999</v>
      </c>
      <c r="B77" s="49">
        <v>19.242699999999999</v>
      </c>
    </row>
    <row r="78" spans="1:2">
      <c r="A78" s="49">
        <v>0</v>
      </c>
      <c r="B78" s="49">
        <v>0</v>
      </c>
    </row>
    <row r="79" spans="1:2">
      <c r="A79" s="49">
        <v>0</v>
      </c>
      <c r="B79" s="49">
        <v>0</v>
      </c>
    </row>
    <row r="80" spans="1:2">
      <c r="A80" s="49">
        <v>22.064</v>
      </c>
      <c r="B80" s="49">
        <v>22.064</v>
      </c>
    </row>
    <row r="81" spans="1:2">
      <c r="A81" s="49">
        <v>0</v>
      </c>
      <c r="B81" s="49">
        <v>0</v>
      </c>
    </row>
    <row r="82" spans="1:2">
      <c r="A82" s="49">
        <v>25.377300000000002</v>
      </c>
      <c r="B82" s="49">
        <v>25.377300000000002</v>
      </c>
    </row>
    <row r="83" spans="1:2">
      <c r="A83" s="49">
        <v>0</v>
      </c>
      <c r="B83" s="49">
        <v>0</v>
      </c>
    </row>
    <row r="84" spans="1:2">
      <c r="A84" s="49">
        <v>0</v>
      </c>
      <c r="B84" s="49">
        <v>0</v>
      </c>
    </row>
    <row r="85" spans="1:2">
      <c r="A85" s="49">
        <v>27.143999999999998</v>
      </c>
      <c r="B85" s="49">
        <v>27.143999999999998</v>
      </c>
    </row>
    <row r="86" spans="1:2">
      <c r="A86" s="49">
        <v>0</v>
      </c>
      <c r="B86" s="49">
        <v>0</v>
      </c>
    </row>
    <row r="87" spans="1:2">
      <c r="A87" s="49">
        <v>0</v>
      </c>
      <c r="B87" s="49">
        <v>0</v>
      </c>
    </row>
    <row r="88" spans="1:2">
      <c r="A88" s="49">
        <v>26.322700000000001</v>
      </c>
      <c r="B88" s="49">
        <v>26.322700000000001</v>
      </c>
    </row>
    <row r="89" spans="1:2">
      <c r="A89" s="49">
        <v>0</v>
      </c>
      <c r="B89" s="49">
        <v>0</v>
      </c>
    </row>
    <row r="90" spans="1:2">
      <c r="A90" s="49">
        <v>28.317299999999999</v>
      </c>
      <c r="B90" s="49">
        <v>28.317299999999999</v>
      </c>
    </row>
    <row r="91" spans="1:2">
      <c r="A91" s="49">
        <v>0</v>
      </c>
      <c r="B91" s="49">
        <v>0</v>
      </c>
    </row>
    <row r="92" spans="1:2">
      <c r="A92" s="49">
        <v>0</v>
      </c>
      <c r="B92" s="49">
        <v>0</v>
      </c>
    </row>
    <row r="93" spans="1:2">
      <c r="A93" s="49">
        <v>30.532</v>
      </c>
      <c r="B93" s="49">
        <v>30.532</v>
      </c>
    </row>
    <row r="94" spans="1:2">
      <c r="A94" s="49">
        <v>0</v>
      </c>
      <c r="B94" s="49">
        <v>0</v>
      </c>
    </row>
    <row r="95" spans="1:2">
      <c r="A95" s="49">
        <v>28.249300000000002</v>
      </c>
      <c r="B95" s="49">
        <v>28.249300000000002</v>
      </c>
    </row>
    <row r="96" spans="1:2">
      <c r="A96" s="49">
        <v>0</v>
      </c>
      <c r="B96" s="49">
        <v>0</v>
      </c>
    </row>
    <row r="97" spans="1:2">
      <c r="A97" s="49">
        <v>0</v>
      </c>
      <c r="B97" s="49">
        <v>0</v>
      </c>
    </row>
    <row r="98" spans="1:2">
      <c r="A98" s="49">
        <v>28.845300000000002</v>
      </c>
      <c r="B98" s="49">
        <v>28.845300000000002</v>
      </c>
    </row>
    <row r="99" spans="1:2">
      <c r="A99" s="49">
        <v>0</v>
      </c>
      <c r="B99" s="49">
        <v>0</v>
      </c>
    </row>
    <row r="100" spans="1:2">
      <c r="A100" s="49">
        <v>26.04</v>
      </c>
      <c r="B100" s="49">
        <v>26.04</v>
      </c>
    </row>
    <row r="101" spans="1:2">
      <c r="A101" s="49">
        <v>0</v>
      </c>
      <c r="B101" s="49">
        <v>0</v>
      </c>
    </row>
    <row r="102" spans="1:2">
      <c r="A102" s="49">
        <v>0</v>
      </c>
      <c r="B102" s="49">
        <v>0</v>
      </c>
    </row>
    <row r="103" spans="1:2">
      <c r="A103" s="49">
        <v>22.374700000000001</v>
      </c>
      <c r="B103" s="49">
        <v>22.374700000000001</v>
      </c>
    </row>
    <row r="104" spans="1:2">
      <c r="A104" s="49">
        <v>0</v>
      </c>
      <c r="B104" s="49">
        <v>0</v>
      </c>
    </row>
    <row r="105" spans="1:2">
      <c r="A105" s="49">
        <v>0</v>
      </c>
      <c r="B105" s="49">
        <v>0</v>
      </c>
    </row>
    <row r="106" spans="1:2">
      <c r="A106" s="49">
        <v>21.249300000000002</v>
      </c>
      <c r="B106" s="49">
        <v>21.249300000000002</v>
      </c>
    </row>
    <row r="107" spans="1:2">
      <c r="A107" s="49">
        <v>0</v>
      </c>
      <c r="B107" s="49">
        <v>0</v>
      </c>
    </row>
    <row r="108" spans="1:2">
      <c r="A108" s="49">
        <v>19.730699999999999</v>
      </c>
      <c r="B108" s="49">
        <v>19.730699999999999</v>
      </c>
    </row>
    <row r="109" spans="1:2">
      <c r="A109" s="49">
        <v>0</v>
      </c>
      <c r="B109" s="49">
        <v>0</v>
      </c>
    </row>
    <row r="110" spans="1:2">
      <c r="A110" s="49">
        <v>0</v>
      </c>
      <c r="B110" s="49">
        <v>0</v>
      </c>
    </row>
    <row r="111" spans="1:2">
      <c r="A111" s="49">
        <v>20.282699999999998</v>
      </c>
      <c r="B111" s="49">
        <v>20.282699999999998</v>
      </c>
    </row>
    <row r="112" spans="1:2">
      <c r="A112" s="49">
        <v>0</v>
      </c>
      <c r="B112" s="49">
        <v>0</v>
      </c>
    </row>
    <row r="113" spans="1:2">
      <c r="A113" s="49">
        <v>18.196000000000002</v>
      </c>
      <c r="B113" s="49">
        <v>18.196000000000002</v>
      </c>
    </row>
    <row r="114" spans="1:2">
      <c r="A114" s="49">
        <v>0</v>
      </c>
      <c r="B114" s="49">
        <v>0</v>
      </c>
    </row>
    <row r="115" spans="1:2">
      <c r="A115" s="49">
        <v>0</v>
      </c>
      <c r="B115" s="49">
        <v>0</v>
      </c>
    </row>
    <row r="116" spans="1:2">
      <c r="A116" s="49">
        <v>18.276</v>
      </c>
      <c r="B116" s="49">
        <v>18.276</v>
      </c>
    </row>
    <row r="117" spans="1:2">
      <c r="A117" s="49">
        <v>0</v>
      </c>
      <c r="B117" s="49">
        <v>0</v>
      </c>
    </row>
    <row r="118" spans="1:2">
      <c r="A118" s="49">
        <v>13.7867</v>
      </c>
      <c r="B118" s="49">
        <v>13.7867</v>
      </c>
    </row>
    <row r="119" spans="1:2">
      <c r="A119" s="49">
        <v>0</v>
      </c>
      <c r="B119" s="49">
        <v>0</v>
      </c>
    </row>
    <row r="120" spans="1:2">
      <c r="A120" s="49">
        <v>0</v>
      </c>
      <c r="B120" s="49">
        <v>0</v>
      </c>
    </row>
    <row r="121" spans="1:2">
      <c r="A121" s="49">
        <v>11.3973</v>
      </c>
      <c r="B121" s="49">
        <v>11.3973</v>
      </c>
    </row>
    <row r="122" spans="1:2">
      <c r="A122" s="49">
        <v>0</v>
      </c>
      <c r="B122" s="49">
        <v>0</v>
      </c>
    </row>
    <row r="123" spans="1:2">
      <c r="A123" s="49">
        <v>0</v>
      </c>
      <c r="B123" s="49">
        <v>0</v>
      </c>
    </row>
    <row r="124" spans="1:2">
      <c r="A124" s="49">
        <v>9.0586699999999993</v>
      </c>
      <c r="B124" s="49">
        <v>9.0586699999999993</v>
      </c>
    </row>
    <row r="125" spans="1:2">
      <c r="A125" s="49">
        <v>0</v>
      </c>
      <c r="B125" s="49">
        <v>0</v>
      </c>
    </row>
    <row r="126" spans="1:2">
      <c r="A126" s="49">
        <v>8.7186699999999995</v>
      </c>
      <c r="B126" s="49">
        <v>8.7186699999999995</v>
      </c>
    </row>
    <row r="127" spans="1:2">
      <c r="A127" s="49">
        <v>0</v>
      </c>
      <c r="B127" s="49">
        <v>0</v>
      </c>
    </row>
    <row r="128" spans="1:2">
      <c r="A128" s="49">
        <v>0</v>
      </c>
      <c r="B128" s="49">
        <v>0</v>
      </c>
    </row>
    <row r="129" spans="1:2">
      <c r="A129" s="49">
        <v>8.1093299999999999</v>
      </c>
      <c r="B129" s="49">
        <v>8.1093299999999999</v>
      </c>
    </row>
    <row r="130" spans="1:2">
      <c r="A130" s="49">
        <v>0</v>
      </c>
      <c r="B130" s="49">
        <v>0</v>
      </c>
    </row>
    <row r="131" spans="1:2">
      <c r="A131" s="49">
        <v>8.4906699999999997</v>
      </c>
      <c r="B131" s="49">
        <v>8.4906699999999997</v>
      </c>
    </row>
    <row r="132" spans="1:2">
      <c r="A132" s="49">
        <v>0</v>
      </c>
      <c r="B132" s="49">
        <v>0</v>
      </c>
    </row>
    <row r="133" spans="1:2">
      <c r="A133" s="49">
        <v>0</v>
      </c>
      <c r="B133" s="49">
        <v>0</v>
      </c>
    </row>
    <row r="134" spans="1:2">
      <c r="A134" s="49">
        <v>7.5813300000000003</v>
      </c>
      <c r="B134" s="49">
        <v>7.5813300000000003</v>
      </c>
    </row>
    <row r="135" spans="1:2">
      <c r="A135" s="49">
        <v>0</v>
      </c>
      <c r="B135" s="49">
        <v>0</v>
      </c>
    </row>
    <row r="136" spans="1:2">
      <c r="A136" s="49">
        <v>4.9973299999999998</v>
      </c>
      <c r="B136" s="49">
        <v>4.9973299999999998</v>
      </c>
    </row>
    <row r="137" spans="1:2">
      <c r="A137" s="49">
        <v>0</v>
      </c>
      <c r="B137" s="49">
        <v>0</v>
      </c>
    </row>
    <row r="138" spans="1:2">
      <c r="A138" s="49">
        <v>0</v>
      </c>
      <c r="B138" s="49">
        <v>0</v>
      </c>
    </row>
    <row r="139" spans="1:2">
      <c r="A139" s="49">
        <v>4.5493300000000003</v>
      </c>
      <c r="B139" s="49">
        <v>4.5493300000000003</v>
      </c>
    </row>
    <row r="140" spans="1:2">
      <c r="A140" s="49">
        <v>0</v>
      </c>
      <c r="B140" s="49">
        <v>0</v>
      </c>
    </row>
    <row r="141" spans="1:2">
      <c r="A141" s="49">
        <v>0</v>
      </c>
      <c r="B141" s="49">
        <v>0</v>
      </c>
    </row>
    <row r="142" spans="1:2">
      <c r="A142" s="49">
        <v>3.84</v>
      </c>
      <c r="B142" s="49">
        <v>3.84</v>
      </c>
    </row>
    <row r="143" spans="1:2">
      <c r="A143" s="49">
        <v>0</v>
      </c>
      <c r="B143" s="49">
        <v>0</v>
      </c>
    </row>
    <row r="144" spans="1:2">
      <c r="A144" s="49">
        <v>2.1520000000000001</v>
      </c>
      <c r="B144" s="49">
        <v>2.1520000000000001</v>
      </c>
    </row>
    <row r="145" spans="1:2">
      <c r="A145" s="49">
        <v>0</v>
      </c>
      <c r="B145" s="49">
        <v>0</v>
      </c>
    </row>
    <row r="146" spans="1:2">
      <c r="A146" s="49">
        <v>0</v>
      </c>
      <c r="B146" s="49">
        <v>0</v>
      </c>
    </row>
    <row r="147" spans="1:2">
      <c r="A147" s="49">
        <v>1.3759999999999999</v>
      </c>
      <c r="B147" s="49">
        <v>1.3759999999999999</v>
      </c>
    </row>
    <row r="148" spans="1:2">
      <c r="A148" s="49">
        <v>0</v>
      </c>
      <c r="B148" s="49">
        <v>0</v>
      </c>
    </row>
    <row r="149" spans="1:2">
      <c r="A149" s="49">
        <v>1.0373300000000001</v>
      </c>
      <c r="B149" s="49">
        <v>1.0373300000000001</v>
      </c>
    </row>
    <row r="150" spans="1:2">
      <c r="A150" s="49">
        <v>0</v>
      </c>
      <c r="B150" s="49">
        <v>0</v>
      </c>
    </row>
    <row r="151" spans="1:2">
      <c r="A151" s="49">
        <v>0</v>
      </c>
      <c r="B151" s="49">
        <v>0</v>
      </c>
    </row>
    <row r="152" spans="1:2">
      <c r="A152" s="49">
        <v>1.0680000000000001</v>
      </c>
      <c r="B152" s="49">
        <v>1.0680000000000001</v>
      </c>
    </row>
    <row r="153" spans="1:2">
      <c r="A153" s="49">
        <v>0</v>
      </c>
      <c r="B153" s="49">
        <v>0</v>
      </c>
    </row>
    <row r="154" spans="1:2">
      <c r="A154" s="49">
        <v>0.60666699999999996</v>
      </c>
      <c r="B154" s="49">
        <v>0.60666699999999996</v>
      </c>
    </row>
    <row r="155" spans="1:2">
      <c r="A155" s="49">
        <v>0</v>
      </c>
      <c r="B155" s="49">
        <v>0</v>
      </c>
    </row>
    <row r="156" spans="1:2">
      <c r="A156" s="49">
        <v>0</v>
      </c>
      <c r="B156" s="49">
        <v>0</v>
      </c>
    </row>
    <row r="157" spans="1:2">
      <c r="A157" s="49">
        <v>0.36266700000000002</v>
      </c>
      <c r="B157" s="49">
        <v>0.36266700000000002</v>
      </c>
    </row>
    <row r="158" spans="1:2">
      <c r="A158" s="49">
        <v>0</v>
      </c>
      <c r="B158" s="49">
        <v>0</v>
      </c>
    </row>
    <row r="159" spans="1:2">
      <c r="A159" s="49">
        <v>0</v>
      </c>
      <c r="B159" s="49">
        <v>0</v>
      </c>
    </row>
    <row r="160" spans="1:2">
      <c r="A160" s="49">
        <v>0.31733299999999998</v>
      </c>
      <c r="B160" s="49">
        <v>0.31733299999999998</v>
      </c>
    </row>
    <row r="161" spans="1:2">
      <c r="A161" s="49">
        <v>0</v>
      </c>
      <c r="B161" s="49">
        <v>0</v>
      </c>
    </row>
    <row r="162" spans="1:2">
      <c r="A162" s="49">
        <v>9.0666700000000003E-2</v>
      </c>
      <c r="B162" s="49">
        <v>9.0666700000000003E-2</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0.483296</v>
      </c>
      <c r="B2" s="49">
        <v>0.28349299999999999</v>
      </c>
      <c r="C2">
        <v>0</v>
      </c>
      <c r="D2">
        <v>0</v>
      </c>
      <c r="E2" t="s">
        <v>1161</v>
      </c>
      <c r="F2" s="49">
        <f>IF(A2&lt;&gt;"",1,"")</f>
        <v>1</v>
      </c>
      <c r="G2">
        <f>IF($H8&gt;0,LOOKUP(COUNT(A2:A1000)*$H8,F2:F1000,A2:A1000),LOOKUP(1,F2:F1000,A2:A1000))</f>
        <v>0.47723100000000002</v>
      </c>
      <c r="H2">
        <f>IF($H8&gt;0,LOOKUP(COUNT(B2:B1000)*$H8,F2:F1000,B2:B1000),LOOKUP(1,F2:F1000,B2:B1000))</f>
        <v>0.27542100000000003</v>
      </c>
      <c r="J2" s="49">
        <f>IF(A2&lt;&gt;"",A2*10,"")</f>
        <v>4.8329599999999999</v>
      </c>
      <c r="K2" s="49">
        <f>IF(B2&lt;&gt;"",B2*100,"")</f>
        <v>28.349299999999999</v>
      </c>
      <c r="L2" s="49">
        <f>IF(F2&lt;&gt;"",IF(K2&lt;&gt;0,K2/J2,0),"")</f>
        <v>5.8658254982453819</v>
      </c>
    </row>
    <row r="3" spans="1:12">
      <c r="A3" s="49">
        <v>0.47723100000000002</v>
      </c>
      <c r="B3" s="49">
        <v>0.27542100000000003</v>
      </c>
      <c r="C3">
        <v>0.37062899999999999</v>
      </c>
      <c r="D3">
        <v>0</v>
      </c>
      <c r="E3" t="s">
        <v>2560</v>
      </c>
      <c r="F3" s="49">
        <f>IF(A3&lt;&gt;"",F2+1,"")</f>
        <v>2</v>
      </c>
      <c r="G3">
        <f>IF($H9&gt;0,LOOKUP(COUNT(A2:A1000)*$H9,F2:F1000,A2:A1000),LOOKUP(1,F2:F1000,A2:A1000))</f>
        <v>0.33336500000000002</v>
      </c>
      <c r="H3">
        <f>IF($H9&gt;0,LOOKUP(COUNT(B2:B1000)*$H9,F2:F1000,B2:B1000),LOOKUP(1,F2:F1000,B2:B1000))</f>
        <v>0.50139</v>
      </c>
      <c r="J3" s="49">
        <f t="shared" ref="J3:J66" si="0">IF(A3&lt;&gt;"",A3*10,"")</f>
        <v>4.7723100000000001</v>
      </c>
      <c r="K3" s="49">
        <f t="shared" ref="K3:K66" si="1">IF(B3&lt;&gt;"",B3*100,"")</f>
        <v>27.542100000000001</v>
      </c>
      <c r="L3" s="49">
        <f t="shared" ref="L3:L66" si="2">IF(F3&lt;&gt;"",IF(K3&lt;&gt;0,K3/J3,0),"")</f>
        <v>5.7712302847048917</v>
      </c>
    </row>
    <row r="4" spans="1:12">
      <c r="A4" s="49">
        <v>0.470225</v>
      </c>
      <c r="B4" s="49">
        <v>0.26271800000000001</v>
      </c>
      <c r="C4">
        <v>0.77509499999999998</v>
      </c>
      <c r="D4">
        <v>0</v>
      </c>
      <c r="E4" t="s">
        <v>2561</v>
      </c>
      <c r="F4" s="49">
        <f t="shared" ref="F4:F67" si="3">IF(A4&lt;&gt;"",F3+1,"")</f>
        <v>3</v>
      </c>
      <c r="G4" s="71" t="s">
        <v>209</v>
      </c>
      <c r="H4" s="23">
        <f>IF(ISERROR(G3-G2)=FALSE,(G3-G2)*10,0)</f>
        <v>-1.43866</v>
      </c>
      <c r="J4" s="49">
        <f t="shared" si="0"/>
        <v>4.7022500000000003</v>
      </c>
      <c r="K4" s="49">
        <f t="shared" si="1"/>
        <v>26.271799999999999</v>
      </c>
      <c r="L4" s="49">
        <f t="shared" si="2"/>
        <v>5.5870700196714331</v>
      </c>
    </row>
    <row r="5" spans="1:12">
      <c r="A5" s="49">
        <v>0.46068799999999999</v>
      </c>
      <c r="B5" s="49">
        <v>0.248811</v>
      </c>
      <c r="C5">
        <v>1.17771</v>
      </c>
      <c r="D5">
        <v>0</v>
      </c>
      <c r="E5" t="s">
        <v>2562</v>
      </c>
      <c r="F5" s="49">
        <f t="shared" si="3"/>
        <v>4</v>
      </c>
      <c r="G5" s="71" t="s">
        <v>210</v>
      </c>
      <c r="H5" s="23">
        <f>IF(ISERROR(H3-H2)=FALSE,H3-H2,0)</f>
        <v>0.22596899999999998</v>
      </c>
      <c r="J5" s="49">
        <f t="shared" si="0"/>
        <v>4.6068800000000003</v>
      </c>
      <c r="K5" s="49">
        <f t="shared" si="1"/>
        <v>24.8811</v>
      </c>
      <c r="L5" s="49">
        <f t="shared" si="2"/>
        <v>5.4008569791268703</v>
      </c>
    </row>
    <row r="6" spans="1:12">
      <c r="A6" s="49">
        <v>0.44742799999999999</v>
      </c>
      <c r="B6" s="49">
        <v>0.22494900000000001</v>
      </c>
      <c r="C6">
        <v>1.57582</v>
      </c>
      <c r="D6">
        <v>0</v>
      </c>
      <c r="E6" t="s">
        <v>2563</v>
      </c>
      <c r="F6" s="49">
        <f t="shared" si="3"/>
        <v>5</v>
      </c>
      <c r="G6" s="71" t="s">
        <v>211</v>
      </c>
      <c r="H6" s="23">
        <f>IF(H4&lt;&gt;0,H5/H4,0)</f>
        <v>-0.15706907816996368</v>
      </c>
      <c r="J6" s="49">
        <f t="shared" si="0"/>
        <v>4.4742800000000003</v>
      </c>
      <c r="K6" s="49">
        <f t="shared" si="1"/>
        <v>22.494900000000001</v>
      </c>
      <c r="L6" s="49">
        <f t="shared" si="2"/>
        <v>5.0276022063885142</v>
      </c>
    </row>
    <row r="7" spans="1:12">
      <c r="A7" s="49">
        <v>0.43117800000000001</v>
      </c>
      <c r="B7" s="49">
        <v>0.19781000000000001</v>
      </c>
      <c r="C7">
        <v>1.9926299999999999</v>
      </c>
      <c r="D7">
        <v>0</v>
      </c>
      <c r="E7" t="s">
        <v>2564</v>
      </c>
      <c r="F7" s="49">
        <f t="shared" si="3"/>
        <v>6</v>
      </c>
      <c r="G7" s="71" t="s">
        <v>212</v>
      </c>
      <c r="H7" s="23">
        <f>DEGREES(ATAN(H6))</f>
        <v>-8.9264647009429883</v>
      </c>
      <c r="J7" s="49">
        <f t="shared" si="0"/>
        <v>4.3117799999999997</v>
      </c>
      <c r="K7" s="49">
        <f t="shared" si="1"/>
        <v>19.781000000000002</v>
      </c>
      <c r="L7" s="49">
        <f t="shared" si="2"/>
        <v>4.587664491231001</v>
      </c>
    </row>
    <row r="8" spans="1:12">
      <c r="A8" s="49">
        <v>0.41106199999999998</v>
      </c>
      <c r="B8" s="49">
        <v>0.17158499999999999</v>
      </c>
      <c r="C8">
        <v>2.3984200000000002</v>
      </c>
      <c r="D8">
        <v>0</v>
      </c>
      <c r="E8" t="s">
        <v>2565</v>
      </c>
      <c r="F8" s="49">
        <f t="shared" si="3"/>
        <v>7</v>
      </c>
      <c r="G8" s="71" t="s">
        <v>213</v>
      </c>
      <c r="H8" s="72">
        <v>0.1</v>
      </c>
      <c r="J8" s="49">
        <f t="shared" si="0"/>
        <v>4.1106199999999999</v>
      </c>
      <c r="K8" s="49">
        <f t="shared" si="1"/>
        <v>17.1585</v>
      </c>
      <c r="L8" s="49">
        <f t="shared" si="2"/>
        <v>4.1741878354116899</v>
      </c>
    </row>
    <row r="9" spans="1:12">
      <c r="A9" s="49">
        <v>0.38911200000000001</v>
      </c>
      <c r="B9" s="49">
        <v>0.160464</v>
      </c>
      <c r="C9">
        <v>2.7947199999999999</v>
      </c>
      <c r="D9">
        <v>0</v>
      </c>
      <c r="E9" t="s">
        <v>2566</v>
      </c>
      <c r="F9" s="49">
        <f t="shared" si="3"/>
        <v>8</v>
      </c>
      <c r="G9" s="71" t="s">
        <v>214</v>
      </c>
      <c r="H9" s="72">
        <v>0.9</v>
      </c>
      <c r="J9" s="49">
        <f t="shared" si="0"/>
        <v>3.8911199999999999</v>
      </c>
      <c r="K9" s="49">
        <f t="shared" si="1"/>
        <v>16.046399999999998</v>
      </c>
      <c r="L9" s="49">
        <f t="shared" si="2"/>
        <v>4.123851230494048</v>
      </c>
    </row>
    <row r="10" spans="1:12">
      <c r="A10" s="49">
        <v>0.37018600000000002</v>
      </c>
      <c r="B10" s="49">
        <v>0.175922</v>
      </c>
      <c r="C10">
        <v>3.1963400000000002</v>
      </c>
      <c r="D10">
        <v>0</v>
      </c>
      <c r="E10" t="s">
        <v>2567</v>
      </c>
      <c r="F10" s="49">
        <f t="shared" si="3"/>
        <v>9</v>
      </c>
      <c r="G10" t="s">
        <v>215</v>
      </c>
      <c r="J10" s="49">
        <f t="shared" si="0"/>
        <v>3.7018599999999999</v>
      </c>
      <c r="K10" s="49">
        <f t="shared" si="1"/>
        <v>17.592199999999998</v>
      </c>
      <c r="L10" s="49">
        <f t="shared" si="2"/>
        <v>4.7522596748661483</v>
      </c>
    </row>
    <row r="11" spans="1:12">
      <c r="A11" s="49">
        <v>0.35472999999999999</v>
      </c>
      <c r="B11" s="49">
        <v>0.20585100000000001</v>
      </c>
      <c r="C11">
        <v>3.6064099999999999</v>
      </c>
      <c r="D11">
        <v>0</v>
      </c>
      <c r="E11" t="s">
        <v>2568</v>
      </c>
      <c r="F11" s="49">
        <f t="shared" si="3"/>
        <v>10</v>
      </c>
      <c r="G11" s="71" t="s">
        <v>216</v>
      </c>
      <c r="H11" s="73">
        <f>MIN(B2:B1000)</f>
        <v>0.160464</v>
      </c>
      <c r="J11" s="49">
        <f t="shared" si="0"/>
        <v>3.5472999999999999</v>
      </c>
      <c r="K11" s="49">
        <f t="shared" si="1"/>
        <v>20.585100000000001</v>
      </c>
      <c r="L11" s="49">
        <f t="shared" si="2"/>
        <v>5.8030332929270152</v>
      </c>
    </row>
    <row r="12" spans="1:12">
      <c r="A12" s="49">
        <v>0.34014</v>
      </c>
      <c r="B12" s="49">
        <v>0.25107299999999999</v>
      </c>
      <c r="C12">
        <v>4.0177699999999996</v>
      </c>
      <c r="D12">
        <v>0</v>
      </c>
      <c r="E12" t="s">
        <v>2569</v>
      </c>
      <c r="F12" s="49">
        <f t="shared" si="3"/>
        <v>11</v>
      </c>
      <c r="G12" s="71" t="s">
        <v>218</v>
      </c>
      <c r="H12" s="73">
        <f>MAX(B2:B1000)</f>
        <v>0.50426000000000004</v>
      </c>
      <c r="J12" s="49">
        <f t="shared" si="0"/>
        <v>3.4013999999999998</v>
      </c>
      <c r="K12" s="49">
        <f t="shared" si="1"/>
        <v>25.107299999999999</v>
      </c>
      <c r="L12" s="49">
        <f t="shared" si="2"/>
        <v>7.3814605750573294</v>
      </c>
    </row>
    <row r="13" spans="1:12">
      <c r="A13" s="49">
        <v>0.32671099999999997</v>
      </c>
      <c r="B13" s="49">
        <v>0.31493300000000002</v>
      </c>
      <c r="C13">
        <v>4.4190399999999999</v>
      </c>
      <c r="D13">
        <v>0</v>
      </c>
      <c r="E13" t="s">
        <v>2570</v>
      </c>
      <c r="F13" s="49">
        <f t="shared" si="3"/>
        <v>12</v>
      </c>
      <c r="G13" s="71" t="s">
        <v>220</v>
      </c>
      <c r="H13">
        <f>MATCH($H$11,B2:B1000,0)</f>
        <v>8</v>
      </c>
      <c r="J13" s="49">
        <f t="shared" si="0"/>
        <v>3.2671099999999997</v>
      </c>
      <c r="K13" s="49">
        <f t="shared" si="1"/>
        <v>31.493300000000001</v>
      </c>
      <c r="L13" s="49">
        <f t="shared" si="2"/>
        <v>9.6394979048761762</v>
      </c>
    </row>
    <row r="14" spans="1:12">
      <c r="A14" s="49">
        <v>0.33888499999999999</v>
      </c>
      <c r="B14" s="49">
        <v>0.35072999999999999</v>
      </c>
      <c r="C14">
        <v>4.8310199999999996</v>
      </c>
      <c r="D14">
        <v>0</v>
      </c>
      <c r="E14" t="s">
        <v>2571</v>
      </c>
      <c r="F14" s="49">
        <f t="shared" si="3"/>
        <v>13</v>
      </c>
      <c r="G14" s="71" t="s">
        <v>221</v>
      </c>
      <c r="H14">
        <f>MATCH($H$12,B2:B1000,0)</f>
        <v>19</v>
      </c>
      <c r="J14" s="49">
        <f t="shared" si="0"/>
        <v>3.3888499999999997</v>
      </c>
      <c r="K14" s="49">
        <f t="shared" si="1"/>
        <v>35.073</v>
      </c>
      <c r="L14" s="49">
        <f t="shared" si="2"/>
        <v>10.349528601147883</v>
      </c>
    </row>
    <row r="15" spans="1:12">
      <c r="A15" s="49">
        <v>0.34876499999999999</v>
      </c>
      <c r="B15" s="49">
        <v>0.39066800000000002</v>
      </c>
      <c r="C15">
        <v>5.2279299999999997</v>
      </c>
      <c r="D15">
        <v>0</v>
      </c>
      <c r="E15" t="s">
        <v>2572</v>
      </c>
      <c r="F15" s="49">
        <f t="shared" si="3"/>
        <v>14</v>
      </c>
      <c r="G15">
        <f>LOOKUP($H13,F2:F1000,A2:A1000)</f>
        <v>0.38911200000000001</v>
      </c>
      <c r="H15">
        <f>LOOKUP($H13,F2:F1000,B2:B1000)</f>
        <v>0.160464</v>
      </c>
      <c r="J15" s="49">
        <f t="shared" si="0"/>
        <v>3.4876499999999999</v>
      </c>
      <c r="K15" s="49">
        <f t="shared" si="1"/>
        <v>39.066800000000001</v>
      </c>
      <c r="L15" s="49">
        <f t="shared" si="2"/>
        <v>11.201468037217039</v>
      </c>
    </row>
    <row r="16" spans="1:12">
      <c r="A16" s="49">
        <v>0.35977700000000001</v>
      </c>
      <c r="B16" s="49">
        <v>0.43428299999999997</v>
      </c>
      <c r="C16">
        <v>5.6426400000000001</v>
      </c>
      <c r="D16">
        <v>0</v>
      </c>
      <c r="E16" t="s">
        <v>2573</v>
      </c>
      <c r="F16" s="49">
        <f t="shared" si="3"/>
        <v>15</v>
      </c>
      <c r="G16">
        <f>LOOKUP($H14,F2:F1000,A2:A1000)</f>
        <v>0.34437499999999999</v>
      </c>
      <c r="H16">
        <f>LOOKUP($H14,F2:F1000,B2:B1000)</f>
        <v>0.50426000000000004</v>
      </c>
      <c r="J16" s="49">
        <f t="shared" si="0"/>
        <v>3.5977700000000001</v>
      </c>
      <c r="K16" s="49">
        <f t="shared" si="1"/>
        <v>43.4283</v>
      </c>
      <c r="L16" s="49">
        <f t="shared" si="2"/>
        <v>12.070893914841694</v>
      </c>
    </row>
    <row r="17" spans="1:12">
      <c r="A17" s="49">
        <v>0.35974200000000001</v>
      </c>
      <c r="B17" s="49">
        <v>0.46619300000000002</v>
      </c>
      <c r="C17">
        <v>6.0587900000000001</v>
      </c>
      <c r="D17">
        <v>0</v>
      </c>
      <c r="E17" t="s">
        <v>2574</v>
      </c>
      <c r="F17" s="49">
        <f t="shared" si="3"/>
        <v>16</v>
      </c>
      <c r="J17" s="49">
        <f t="shared" si="0"/>
        <v>3.5974200000000001</v>
      </c>
      <c r="K17" s="49">
        <f t="shared" si="1"/>
        <v>46.619300000000003</v>
      </c>
      <c r="L17" s="49">
        <f t="shared" si="2"/>
        <v>12.959092905471143</v>
      </c>
    </row>
    <row r="18" spans="1:12">
      <c r="A18" s="49">
        <v>0.35609200000000002</v>
      </c>
      <c r="B18" s="49">
        <v>0.48850700000000002</v>
      </c>
      <c r="C18">
        <v>6.4495100000000001</v>
      </c>
      <c r="D18">
        <v>0</v>
      </c>
      <c r="E18" t="s">
        <v>2575</v>
      </c>
      <c r="F18" s="49">
        <f t="shared" si="3"/>
        <v>17</v>
      </c>
      <c r="J18" s="49">
        <f t="shared" si="0"/>
        <v>3.5609200000000003</v>
      </c>
      <c r="K18" s="49">
        <f t="shared" si="1"/>
        <v>48.850700000000003</v>
      </c>
      <c r="L18" s="49">
        <f t="shared" si="2"/>
        <v>13.7185614953439</v>
      </c>
    </row>
    <row r="19" spans="1:12">
      <c r="A19" s="49">
        <v>0.34987499999999999</v>
      </c>
      <c r="B19" s="49">
        <v>0.50219400000000003</v>
      </c>
      <c r="C19">
        <v>6.8682800000000004</v>
      </c>
      <c r="D19">
        <v>0</v>
      </c>
      <c r="E19" t="s">
        <v>2576</v>
      </c>
      <c r="F19" s="49">
        <f t="shared" si="3"/>
        <v>18</v>
      </c>
      <c r="J19" s="49">
        <f t="shared" si="0"/>
        <v>3.4987499999999998</v>
      </c>
      <c r="K19" s="49">
        <f t="shared" si="1"/>
        <v>50.2194</v>
      </c>
      <c r="L19" s="49">
        <f t="shared" si="2"/>
        <v>14.35352625937835</v>
      </c>
    </row>
    <row r="20" spans="1:12">
      <c r="A20" s="49">
        <v>0.34437499999999999</v>
      </c>
      <c r="B20" s="49">
        <v>0.50426000000000004</v>
      </c>
      <c r="C20">
        <v>7.2601000000000004</v>
      </c>
      <c r="D20">
        <v>0</v>
      </c>
      <c r="E20" t="s">
        <v>2577</v>
      </c>
      <c r="F20" s="49">
        <f t="shared" si="3"/>
        <v>19</v>
      </c>
      <c r="J20" s="49">
        <f t="shared" si="0"/>
        <v>3.4437499999999996</v>
      </c>
      <c r="K20" s="49">
        <f t="shared" si="1"/>
        <v>50.426000000000002</v>
      </c>
      <c r="L20" s="49">
        <f t="shared" si="2"/>
        <v>14.642758620689657</v>
      </c>
    </row>
    <row r="21" spans="1:12">
      <c r="A21" s="49">
        <v>0.34131699999999998</v>
      </c>
      <c r="B21" s="49">
        <v>0.50309800000000005</v>
      </c>
      <c r="C21">
        <v>7.6707400000000003</v>
      </c>
      <c r="D21">
        <v>0</v>
      </c>
      <c r="E21" t="s">
        <v>2578</v>
      </c>
      <c r="F21" s="49">
        <f t="shared" si="3"/>
        <v>20</v>
      </c>
      <c r="J21" s="49">
        <f t="shared" si="0"/>
        <v>3.41317</v>
      </c>
      <c r="K21" s="49">
        <f t="shared" si="1"/>
        <v>50.309800000000003</v>
      </c>
      <c r="L21" s="49">
        <f t="shared" si="2"/>
        <v>14.739904546213637</v>
      </c>
    </row>
    <row r="22" spans="1:12">
      <c r="A22" s="49">
        <v>0.33700799999999997</v>
      </c>
      <c r="B22" s="49">
        <v>0.50278</v>
      </c>
      <c r="C22">
        <v>8.0878499999999995</v>
      </c>
      <c r="D22">
        <v>0</v>
      </c>
      <c r="E22" t="s">
        <v>2579</v>
      </c>
      <c r="F22" s="49">
        <f t="shared" si="3"/>
        <v>21</v>
      </c>
      <c r="J22" s="49">
        <f t="shared" si="0"/>
        <v>3.3700799999999997</v>
      </c>
      <c r="K22" s="49">
        <f t="shared" si="1"/>
        <v>50.277999999999999</v>
      </c>
      <c r="L22" s="49">
        <f t="shared" si="2"/>
        <v>14.918933675164983</v>
      </c>
    </row>
    <row r="23" spans="1:12">
      <c r="A23" s="49">
        <v>0.33336500000000002</v>
      </c>
      <c r="B23" s="49">
        <v>0.50139</v>
      </c>
      <c r="C23">
        <v>8.4789700000000003</v>
      </c>
      <c r="D23">
        <v>0</v>
      </c>
      <c r="E23" t="s">
        <v>2580</v>
      </c>
      <c r="F23" s="49">
        <f t="shared" si="3"/>
        <v>22</v>
      </c>
      <c r="J23" s="49">
        <f t="shared" si="0"/>
        <v>3.3336500000000004</v>
      </c>
      <c r="K23" s="49">
        <f t="shared" si="1"/>
        <v>50.139000000000003</v>
      </c>
      <c r="L23" s="49">
        <f t="shared" si="2"/>
        <v>15.040271174238447</v>
      </c>
    </row>
    <row r="24" spans="1:12">
      <c r="A24" s="49">
        <v>0.33019500000000002</v>
      </c>
      <c r="B24" s="49">
        <v>0.49888500000000002</v>
      </c>
      <c r="C24">
        <v>8.8869000000000007</v>
      </c>
      <c r="D24">
        <v>0</v>
      </c>
      <c r="E24" t="s">
        <v>2581</v>
      </c>
      <c r="F24" s="49">
        <f t="shared" si="3"/>
        <v>23</v>
      </c>
      <c r="G24" t="s">
        <v>245</v>
      </c>
      <c r="H24">
        <f>COUNT(A2:A2000)</f>
        <v>25</v>
      </c>
      <c r="J24" s="49">
        <f t="shared" si="0"/>
        <v>3.3019500000000002</v>
      </c>
      <c r="K24" s="49">
        <f t="shared" si="1"/>
        <v>49.888500000000001</v>
      </c>
      <c r="L24" s="49">
        <f t="shared" si="2"/>
        <v>15.108799345841094</v>
      </c>
    </row>
    <row r="25" spans="1:12">
      <c r="A25" s="49">
        <v>0.32671600000000001</v>
      </c>
      <c r="B25" s="49">
        <v>0.49925999999999998</v>
      </c>
      <c r="C25">
        <v>9.3023799999999994</v>
      </c>
      <c r="D25">
        <v>0</v>
      </c>
      <c r="E25" t="s">
        <v>2582</v>
      </c>
      <c r="F25" s="49">
        <f t="shared" si="3"/>
        <v>24</v>
      </c>
      <c r="J25" s="49">
        <f t="shared" si="0"/>
        <v>3.2671600000000001</v>
      </c>
      <c r="K25" s="49">
        <f t="shared" si="1"/>
        <v>49.925999999999995</v>
      </c>
      <c r="L25" s="49">
        <f t="shared" si="2"/>
        <v>15.281161620489964</v>
      </c>
    </row>
    <row r="26" spans="1:12">
      <c r="A26" s="49">
        <v>0.32344299999999998</v>
      </c>
      <c r="B26" s="49">
        <v>0.50090500000000004</v>
      </c>
      <c r="C26">
        <v>9.7018699999999995</v>
      </c>
      <c r="D26">
        <v>0</v>
      </c>
      <c r="E26" t="s">
        <v>2583</v>
      </c>
      <c r="F26" s="49">
        <f t="shared" si="3"/>
        <v>25</v>
      </c>
      <c r="J26" s="49">
        <f t="shared" si="0"/>
        <v>3.2344299999999997</v>
      </c>
      <c r="K26" s="49">
        <f t="shared" si="1"/>
        <v>50.090500000000006</v>
      </c>
      <c r="L26" s="49">
        <f t="shared" si="2"/>
        <v>15.486654526454432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45778.826550925929</v>
      </c>
      <c r="B2" t="s">
        <v>2584</v>
      </c>
      <c r="C2" s="49"/>
      <c r="D2" s="49"/>
      <c r="E2" s="49">
        <v>4.9234099999999996</v>
      </c>
      <c r="F2" s="49">
        <v>1.7381800000000001</v>
      </c>
      <c r="G2" s="49">
        <v>0.49646400000000002</v>
      </c>
      <c r="H2" s="49">
        <v>0</v>
      </c>
      <c r="I2" s="49">
        <v>30.532</v>
      </c>
      <c r="J2" s="49">
        <v>91</v>
      </c>
      <c r="K2" s="49">
        <v>91</v>
      </c>
      <c r="L2" s="49">
        <v>100</v>
      </c>
      <c r="M2" s="521" t="s">
        <v>1549</v>
      </c>
      <c r="O2" s="565" t="str">
        <f>IF(FH_info!B2="","",TRIM(MID(SUBSTITUTE(FH_info!B2,"^",REPT(" ",LEN(FH_info!B2))),LEN(FH_info!B2)*2-LEN(FH_info!B2)+1,LEN(FH_info!B2))))</f>
        <v>U2eS</v>
      </c>
      <c r="P2" s="565" t="str">
        <f>IF(FH_info!O2="","",TRIM(MID(SUBSTITUTE(FH_info!O2," ",REPT(" ",LEN(FH_info!O2))),LEN(FH_info!O2)*1-LEN(FH_info!O2)+1,LEN(FH_info!O2))))</f>
        <v>U2eS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30.532</v>
      </c>
      <c r="D2">
        <f>MAX(B2:B257)</f>
        <v>646.79467799999998</v>
      </c>
      <c r="G2" t="s">
        <v>1590</v>
      </c>
      <c r="H2">
        <v>4.9234140000000002</v>
      </c>
      <c r="I2">
        <v>30.532</v>
      </c>
      <c r="J2">
        <v>0</v>
      </c>
      <c r="K2">
        <v>91</v>
      </c>
      <c r="L2">
        <v>91</v>
      </c>
      <c r="M2">
        <v>1.7381770000000001</v>
      </c>
      <c r="N2">
        <v>0.49646400000000002</v>
      </c>
      <c r="O2">
        <v>0.246476</v>
      </c>
    </row>
    <row r="3" spans="1:15">
      <c r="A3">
        <v>0</v>
      </c>
      <c r="B3">
        <v>0</v>
      </c>
      <c r="G3" t="s">
        <v>1591</v>
      </c>
      <c r="H3">
        <v>4.9234140000000002</v>
      </c>
      <c r="I3">
        <v>646.79467799999998</v>
      </c>
      <c r="J3">
        <v>0</v>
      </c>
      <c r="K3">
        <v>21</v>
      </c>
      <c r="L3">
        <v>21</v>
      </c>
      <c r="M3">
        <v>0.58176899999999998</v>
      </c>
      <c r="N3">
        <v>0.42395500000000003</v>
      </c>
      <c r="O3">
        <v>0.17973800000000001</v>
      </c>
    </row>
    <row r="4" spans="1:15">
      <c r="A4">
        <v>0</v>
      </c>
      <c r="B4">
        <v>0</v>
      </c>
    </row>
    <row r="5" spans="1:15">
      <c r="A5">
        <v>0.56000000000000005</v>
      </c>
      <c r="B5">
        <v>136.761337</v>
      </c>
    </row>
    <row r="6" spans="1:15">
      <c r="A6">
        <v>0</v>
      </c>
      <c r="B6">
        <v>0</v>
      </c>
    </row>
    <row r="7" spans="1:15">
      <c r="A7">
        <v>0</v>
      </c>
      <c r="B7">
        <v>0</v>
      </c>
    </row>
    <row r="8" spans="1:15">
      <c r="A8">
        <v>0.52</v>
      </c>
      <c r="B8">
        <v>259.37866200000002</v>
      </c>
    </row>
    <row r="9" spans="1:15">
      <c r="A9">
        <v>0</v>
      </c>
      <c r="B9">
        <v>0</v>
      </c>
    </row>
    <row r="10" spans="1:15">
      <c r="A10">
        <v>0.86266699999999996</v>
      </c>
      <c r="B10">
        <v>317.80401599999999</v>
      </c>
    </row>
    <row r="11" spans="1:15">
      <c r="A11">
        <v>0</v>
      </c>
      <c r="B11">
        <v>0</v>
      </c>
    </row>
    <row r="12" spans="1:15">
      <c r="A12">
        <v>0</v>
      </c>
      <c r="B12">
        <v>0</v>
      </c>
    </row>
    <row r="13" spans="1:15">
      <c r="A13">
        <v>1.062667</v>
      </c>
      <c r="B13">
        <v>386.62399299999998</v>
      </c>
    </row>
    <row r="14" spans="1:15">
      <c r="A14">
        <v>0</v>
      </c>
      <c r="B14">
        <v>0</v>
      </c>
    </row>
    <row r="15" spans="1:15">
      <c r="A15">
        <v>1.0613330000000001</v>
      </c>
      <c r="B15">
        <v>463.21066300000001</v>
      </c>
    </row>
    <row r="16" spans="1:15">
      <c r="A16">
        <v>0</v>
      </c>
      <c r="B16">
        <v>0</v>
      </c>
    </row>
    <row r="17" spans="1:2">
      <c r="A17">
        <v>0</v>
      </c>
      <c r="B17">
        <v>0</v>
      </c>
    </row>
    <row r="18" spans="1:2">
      <c r="A18">
        <v>1.1120000000000001</v>
      </c>
      <c r="B18">
        <v>542.33868399999994</v>
      </c>
    </row>
    <row r="19" spans="1:2">
      <c r="A19">
        <v>0</v>
      </c>
      <c r="B19">
        <v>0</v>
      </c>
    </row>
    <row r="20" spans="1:2">
      <c r="A20">
        <v>0</v>
      </c>
      <c r="B20">
        <v>0</v>
      </c>
    </row>
    <row r="21" spans="1:2">
      <c r="A21">
        <v>1.3959999999999999</v>
      </c>
      <c r="B21">
        <v>607.66803000000004</v>
      </c>
    </row>
    <row r="22" spans="1:2">
      <c r="A22">
        <v>0</v>
      </c>
      <c r="B22">
        <v>0</v>
      </c>
    </row>
    <row r="23" spans="1:2">
      <c r="A23">
        <v>1.64</v>
      </c>
      <c r="B23">
        <v>646.79467799999998</v>
      </c>
    </row>
    <row r="24" spans="1:2">
      <c r="A24">
        <v>0</v>
      </c>
      <c r="B24">
        <v>0</v>
      </c>
    </row>
    <row r="25" spans="1:2">
      <c r="A25">
        <v>0</v>
      </c>
      <c r="B25">
        <v>0</v>
      </c>
    </row>
    <row r="26" spans="1:2">
      <c r="A26">
        <v>1.6639999999999999</v>
      </c>
      <c r="B26">
        <v>632.01464799999997</v>
      </c>
    </row>
    <row r="27" spans="1:2">
      <c r="A27">
        <v>0</v>
      </c>
      <c r="B27">
        <v>0</v>
      </c>
    </row>
    <row r="28" spans="1:2">
      <c r="A28">
        <v>1.8680000000000001</v>
      </c>
      <c r="B28">
        <v>554.50396699999999</v>
      </c>
    </row>
    <row r="29" spans="1:2">
      <c r="A29">
        <v>0</v>
      </c>
      <c r="B29">
        <v>0</v>
      </c>
    </row>
    <row r="30" spans="1:2">
      <c r="A30">
        <v>0</v>
      </c>
      <c r="B30">
        <v>0</v>
      </c>
    </row>
    <row r="31" spans="1:2">
      <c r="A31">
        <v>2.8559999999999999</v>
      </c>
      <c r="B31">
        <v>440.58398399999999</v>
      </c>
    </row>
    <row r="32" spans="1:2">
      <c r="A32">
        <v>0</v>
      </c>
      <c r="B32">
        <v>0</v>
      </c>
    </row>
    <row r="33" spans="1:2">
      <c r="A33">
        <v>2.9066670000000001</v>
      </c>
      <c r="B33">
        <v>327.82000699999998</v>
      </c>
    </row>
    <row r="34" spans="1:2">
      <c r="A34">
        <v>0</v>
      </c>
      <c r="B34">
        <v>0</v>
      </c>
    </row>
    <row r="35" spans="1:2">
      <c r="A35">
        <v>0</v>
      </c>
      <c r="B35">
        <v>0</v>
      </c>
    </row>
    <row r="36" spans="1:2">
      <c r="A36">
        <v>3.266667</v>
      </c>
      <c r="B36">
        <v>242.57733200000001</v>
      </c>
    </row>
    <row r="37" spans="1:2">
      <c r="A37">
        <v>0</v>
      </c>
      <c r="B37">
        <v>0</v>
      </c>
    </row>
    <row r="38" spans="1:2">
      <c r="A38">
        <v>0</v>
      </c>
      <c r="B38">
        <v>0</v>
      </c>
    </row>
    <row r="39" spans="1:2">
      <c r="A39">
        <v>2.9026670000000001</v>
      </c>
      <c r="B39">
        <v>187.78132600000001</v>
      </c>
    </row>
    <row r="40" spans="1:2">
      <c r="A40">
        <v>0</v>
      </c>
      <c r="B40">
        <v>0</v>
      </c>
    </row>
    <row r="41" spans="1:2">
      <c r="A41">
        <v>4.3773330000000001</v>
      </c>
      <c r="B41">
        <v>155.10000600000001</v>
      </c>
    </row>
    <row r="42" spans="1:2">
      <c r="A42">
        <v>0</v>
      </c>
      <c r="B42">
        <v>0</v>
      </c>
    </row>
    <row r="43" spans="1:2">
      <c r="A43">
        <v>0</v>
      </c>
      <c r="B43">
        <v>0</v>
      </c>
    </row>
    <row r="44" spans="1:2">
      <c r="A44">
        <v>4.5679999999999996</v>
      </c>
      <c r="B44">
        <v>134.041336</v>
      </c>
    </row>
    <row r="45" spans="1:2">
      <c r="A45">
        <v>0</v>
      </c>
      <c r="B45">
        <v>0</v>
      </c>
    </row>
    <row r="46" spans="1:2">
      <c r="A46">
        <v>5.8946670000000001</v>
      </c>
      <c r="B46">
        <v>118.20266700000001</v>
      </c>
    </row>
    <row r="47" spans="1:2">
      <c r="A47">
        <v>0</v>
      </c>
      <c r="B47">
        <v>0</v>
      </c>
    </row>
    <row r="48" spans="1:2">
      <c r="A48">
        <v>0</v>
      </c>
      <c r="B48">
        <v>0</v>
      </c>
    </row>
    <row r="49" spans="1:2">
      <c r="A49">
        <v>6.7306670000000004</v>
      </c>
      <c r="B49">
        <v>104.377335</v>
      </c>
    </row>
    <row r="50" spans="1:2">
      <c r="A50">
        <v>0</v>
      </c>
      <c r="B50">
        <v>0</v>
      </c>
    </row>
    <row r="51" spans="1:2">
      <c r="A51">
        <v>6.7</v>
      </c>
      <c r="B51">
        <v>93.005332999999993</v>
      </c>
    </row>
    <row r="52" spans="1:2">
      <c r="A52">
        <v>0</v>
      </c>
      <c r="B52">
        <v>0</v>
      </c>
    </row>
    <row r="53" spans="1:2">
      <c r="A53">
        <v>0</v>
      </c>
      <c r="B53">
        <v>0</v>
      </c>
    </row>
    <row r="54" spans="1:2">
      <c r="A54">
        <v>6.36</v>
      </c>
      <c r="B54">
        <v>83.632003999999995</v>
      </c>
    </row>
    <row r="55" spans="1:2">
      <c r="A55">
        <v>0</v>
      </c>
      <c r="B55">
        <v>0</v>
      </c>
    </row>
    <row r="56" spans="1:2">
      <c r="A56">
        <v>0</v>
      </c>
      <c r="B56">
        <v>0</v>
      </c>
    </row>
    <row r="57" spans="1:2">
      <c r="A57">
        <v>6.822667</v>
      </c>
      <c r="B57">
        <v>76.094666000000004</v>
      </c>
    </row>
    <row r="58" spans="1:2">
      <c r="A58">
        <v>0</v>
      </c>
      <c r="B58">
        <v>0</v>
      </c>
    </row>
    <row r="59" spans="1:2">
      <c r="A59">
        <v>5.8826669999999996</v>
      </c>
      <c r="B59">
        <v>70.145331999999996</v>
      </c>
    </row>
    <row r="60" spans="1:2">
      <c r="A60">
        <v>0</v>
      </c>
      <c r="B60">
        <v>0</v>
      </c>
    </row>
    <row r="61" spans="1:2">
      <c r="A61">
        <v>0</v>
      </c>
      <c r="B61">
        <v>0</v>
      </c>
    </row>
    <row r="62" spans="1:2">
      <c r="A62">
        <v>6.468</v>
      </c>
      <c r="B62">
        <v>66.425331</v>
      </c>
    </row>
    <row r="63" spans="1:2">
      <c r="A63">
        <v>0</v>
      </c>
      <c r="B63">
        <v>0</v>
      </c>
    </row>
    <row r="64" spans="1:2">
      <c r="A64">
        <v>5.8173329999999996</v>
      </c>
      <c r="B64">
        <v>64</v>
      </c>
    </row>
    <row r="65" spans="1:2">
      <c r="A65">
        <v>0</v>
      </c>
      <c r="B65">
        <v>0</v>
      </c>
    </row>
    <row r="66" spans="1:2">
      <c r="A66">
        <v>0</v>
      </c>
      <c r="B66">
        <v>0</v>
      </c>
    </row>
    <row r="67" spans="1:2">
      <c r="A67">
        <v>7.0026659999999996</v>
      </c>
      <c r="B67">
        <v>62.167999000000002</v>
      </c>
    </row>
    <row r="68" spans="1:2">
      <c r="A68">
        <v>0</v>
      </c>
      <c r="B68">
        <v>0</v>
      </c>
    </row>
    <row r="69" spans="1:2">
      <c r="A69">
        <v>8.1560000000000006</v>
      </c>
      <c r="B69">
        <v>60.474666999999997</v>
      </c>
    </row>
    <row r="70" spans="1:2">
      <c r="A70">
        <v>0</v>
      </c>
      <c r="B70">
        <v>0</v>
      </c>
    </row>
    <row r="71" spans="1:2">
      <c r="A71">
        <v>0</v>
      </c>
      <c r="B71">
        <v>0</v>
      </c>
    </row>
    <row r="72" spans="1:2">
      <c r="A72">
        <v>10.096</v>
      </c>
      <c r="B72">
        <v>59.062668000000002</v>
      </c>
    </row>
    <row r="73" spans="1:2">
      <c r="A73">
        <v>0</v>
      </c>
      <c r="B73">
        <v>0</v>
      </c>
    </row>
    <row r="74" spans="1:2">
      <c r="A74">
        <v>0</v>
      </c>
      <c r="B74">
        <v>0</v>
      </c>
    </row>
    <row r="75" spans="1:2">
      <c r="A75">
        <v>13.469334</v>
      </c>
      <c r="B75">
        <v>56.858665000000002</v>
      </c>
    </row>
    <row r="76" spans="1:2">
      <c r="A76">
        <v>0</v>
      </c>
      <c r="B76">
        <v>0</v>
      </c>
    </row>
    <row r="77" spans="1:2">
      <c r="A77">
        <v>19.242667999999998</v>
      </c>
      <c r="B77">
        <v>54.007998999999998</v>
      </c>
    </row>
    <row r="78" spans="1:2">
      <c r="A78">
        <v>0</v>
      </c>
      <c r="B78">
        <v>0</v>
      </c>
    </row>
    <row r="79" spans="1:2">
      <c r="A79">
        <v>0</v>
      </c>
      <c r="B79">
        <v>0</v>
      </c>
    </row>
    <row r="80" spans="1:2">
      <c r="A80">
        <v>22.063998999999999</v>
      </c>
      <c r="B80">
        <v>50.974666999999997</v>
      </c>
    </row>
    <row r="81" spans="1:2">
      <c r="A81">
        <v>0</v>
      </c>
      <c r="B81">
        <v>0</v>
      </c>
    </row>
    <row r="82" spans="1:2">
      <c r="A82">
        <v>25.377334999999999</v>
      </c>
      <c r="B82">
        <v>47.716000000000001</v>
      </c>
    </row>
    <row r="83" spans="1:2">
      <c r="A83">
        <v>0</v>
      </c>
      <c r="B83">
        <v>0</v>
      </c>
    </row>
    <row r="84" spans="1:2">
      <c r="A84">
        <v>0</v>
      </c>
      <c r="B84">
        <v>0</v>
      </c>
    </row>
    <row r="85" spans="1:2">
      <c r="A85">
        <v>27.143999000000001</v>
      </c>
      <c r="B85">
        <v>44.666663999999997</v>
      </c>
    </row>
    <row r="86" spans="1:2">
      <c r="A86">
        <v>0</v>
      </c>
      <c r="B86">
        <v>0</v>
      </c>
    </row>
    <row r="87" spans="1:2">
      <c r="A87">
        <v>0</v>
      </c>
      <c r="B87">
        <v>0</v>
      </c>
    </row>
    <row r="88" spans="1:2">
      <c r="A88">
        <v>26.322666000000002</v>
      </c>
      <c r="B88">
        <v>40.676003000000001</v>
      </c>
    </row>
    <row r="89" spans="1:2">
      <c r="A89">
        <v>0</v>
      </c>
      <c r="B89">
        <v>0</v>
      </c>
    </row>
    <row r="90" spans="1:2">
      <c r="A90">
        <v>28.317333000000001</v>
      </c>
      <c r="B90">
        <v>37.482666000000002</v>
      </c>
    </row>
    <row r="91" spans="1:2">
      <c r="A91">
        <v>0</v>
      </c>
      <c r="B91">
        <v>0</v>
      </c>
    </row>
    <row r="92" spans="1:2">
      <c r="A92">
        <v>0</v>
      </c>
      <c r="B92">
        <v>0</v>
      </c>
    </row>
    <row r="93" spans="1:2">
      <c r="A93">
        <v>30.532</v>
      </c>
      <c r="B93">
        <v>33.950668</v>
      </c>
    </row>
    <row r="94" spans="1:2">
      <c r="A94">
        <v>0</v>
      </c>
      <c r="B94">
        <v>0</v>
      </c>
    </row>
    <row r="95" spans="1:2">
      <c r="A95">
        <v>28.249334000000001</v>
      </c>
      <c r="B95">
        <v>30.302665999999999</v>
      </c>
    </row>
    <row r="96" spans="1:2">
      <c r="A96">
        <v>0</v>
      </c>
      <c r="B96">
        <v>0</v>
      </c>
    </row>
    <row r="97" spans="1:2">
      <c r="A97">
        <v>0</v>
      </c>
      <c r="B97">
        <v>0</v>
      </c>
    </row>
    <row r="98" spans="1:2">
      <c r="A98">
        <v>28.845334999999999</v>
      </c>
      <c r="B98">
        <v>26.620000999999998</v>
      </c>
    </row>
    <row r="99" spans="1:2">
      <c r="A99">
        <v>0</v>
      </c>
      <c r="B99">
        <v>0</v>
      </c>
    </row>
    <row r="100" spans="1:2">
      <c r="A100">
        <v>26.040001</v>
      </c>
      <c r="B100">
        <v>23.045334</v>
      </c>
    </row>
    <row r="101" spans="1:2">
      <c r="A101">
        <v>0</v>
      </c>
      <c r="B101">
        <v>0</v>
      </c>
    </row>
    <row r="102" spans="1:2">
      <c r="A102">
        <v>0</v>
      </c>
      <c r="B102">
        <v>0</v>
      </c>
    </row>
    <row r="103" spans="1:2">
      <c r="A103">
        <v>22.374666000000001</v>
      </c>
      <c r="B103">
        <v>19.897333</v>
      </c>
    </row>
    <row r="104" spans="1:2">
      <c r="A104">
        <v>0</v>
      </c>
      <c r="B104">
        <v>0</v>
      </c>
    </row>
    <row r="105" spans="1:2">
      <c r="A105">
        <v>0</v>
      </c>
      <c r="B105">
        <v>0</v>
      </c>
    </row>
    <row r="106" spans="1:2">
      <c r="A106">
        <v>21.249334000000001</v>
      </c>
      <c r="B106">
        <v>16.793333000000001</v>
      </c>
    </row>
    <row r="107" spans="1:2">
      <c r="A107">
        <v>0</v>
      </c>
      <c r="B107">
        <v>0</v>
      </c>
    </row>
    <row r="108" spans="1:2">
      <c r="A108">
        <v>19.730667</v>
      </c>
      <c r="B108">
        <v>14.04</v>
      </c>
    </row>
    <row r="109" spans="1:2">
      <c r="A109">
        <v>0</v>
      </c>
      <c r="B109">
        <v>0</v>
      </c>
    </row>
    <row r="110" spans="1:2">
      <c r="A110">
        <v>0</v>
      </c>
      <c r="B110">
        <v>0</v>
      </c>
    </row>
    <row r="111" spans="1:2">
      <c r="A111">
        <v>20.282667</v>
      </c>
      <c r="B111">
        <v>11.642666999999999</v>
      </c>
    </row>
    <row r="112" spans="1:2">
      <c r="A112">
        <v>0</v>
      </c>
      <c r="B112">
        <v>0</v>
      </c>
    </row>
    <row r="113" spans="1:2">
      <c r="A113">
        <v>18.195999</v>
      </c>
      <c r="B113">
        <v>9.5306660000000001</v>
      </c>
    </row>
    <row r="114" spans="1:2">
      <c r="A114">
        <v>0</v>
      </c>
      <c r="B114">
        <v>0</v>
      </c>
    </row>
    <row r="115" spans="1:2">
      <c r="A115">
        <v>0</v>
      </c>
      <c r="B115">
        <v>0</v>
      </c>
    </row>
    <row r="116" spans="1:2">
      <c r="A116">
        <v>18.275998999999999</v>
      </c>
      <c r="B116">
        <v>7.7066670000000004</v>
      </c>
    </row>
    <row r="117" spans="1:2">
      <c r="A117">
        <v>0</v>
      </c>
      <c r="B117">
        <v>0</v>
      </c>
    </row>
    <row r="118" spans="1:2">
      <c r="A118">
        <v>13.786666</v>
      </c>
      <c r="B118">
        <v>6.2080000000000002</v>
      </c>
    </row>
    <row r="119" spans="1:2">
      <c r="A119">
        <v>0</v>
      </c>
      <c r="B119">
        <v>0</v>
      </c>
    </row>
    <row r="120" spans="1:2">
      <c r="A120">
        <v>0</v>
      </c>
      <c r="B120">
        <v>0</v>
      </c>
    </row>
    <row r="121" spans="1:2">
      <c r="A121">
        <v>11.397333</v>
      </c>
      <c r="B121">
        <v>4.968</v>
      </c>
    </row>
    <row r="122" spans="1:2">
      <c r="A122">
        <v>0</v>
      </c>
      <c r="B122">
        <v>0</v>
      </c>
    </row>
    <row r="123" spans="1:2">
      <c r="A123">
        <v>0</v>
      </c>
      <c r="B123">
        <v>0</v>
      </c>
    </row>
    <row r="124" spans="1:2">
      <c r="A124">
        <v>9.0586660000000006</v>
      </c>
      <c r="B124">
        <v>3.8639999999999999</v>
      </c>
    </row>
    <row r="125" spans="1:2">
      <c r="A125">
        <v>0</v>
      </c>
      <c r="B125">
        <v>0</v>
      </c>
    </row>
    <row r="126" spans="1:2">
      <c r="A126">
        <v>8.7186660000000007</v>
      </c>
      <c r="B126">
        <v>2.9546670000000002</v>
      </c>
    </row>
    <row r="127" spans="1:2">
      <c r="A127">
        <v>0</v>
      </c>
      <c r="B127">
        <v>0</v>
      </c>
    </row>
    <row r="128" spans="1:2">
      <c r="A128">
        <v>0</v>
      </c>
      <c r="B128">
        <v>0</v>
      </c>
    </row>
    <row r="129" spans="1:2">
      <c r="A129">
        <v>8.1093329999999995</v>
      </c>
      <c r="B129">
        <v>2.2679999999999998</v>
      </c>
    </row>
    <row r="130" spans="1:2">
      <c r="A130">
        <v>0</v>
      </c>
      <c r="B130">
        <v>0</v>
      </c>
    </row>
    <row r="131" spans="1:2">
      <c r="A131">
        <v>8.4906659999999992</v>
      </c>
      <c r="B131">
        <v>1.6719999999999999</v>
      </c>
    </row>
    <row r="132" spans="1:2">
      <c r="A132">
        <v>0</v>
      </c>
      <c r="B132">
        <v>0</v>
      </c>
    </row>
    <row r="133" spans="1:2">
      <c r="A133">
        <v>0</v>
      </c>
      <c r="B133">
        <v>0</v>
      </c>
    </row>
    <row r="134" spans="1:2">
      <c r="A134">
        <v>7.581334</v>
      </c>
      <c r="B134">
        <v>1.28</v>
      </c>
    </row>
    <row r="135" spans="1:2">
      <c r="A135">
        <v>0</v>
      </c>
      <c r="B135">
        <v>0</v>
      </c>
    </row>
    <row r="136" spans="1:2">
      <c r="A136">
        <v>4.9973340000000004</v>
      </c>
      <c r="B136">
        <v>0.96399999999999997</v>
      </c>
    </row>
    <row r="137" spans="1:2">
      <c r="A137">
        <v>0</v>
      </c>
      <c r="B137">
        <v>0</v>
      </c>
    </row>
    <row r="138" spans="1:2">
      <c r="A138">
        <v>0</v>
      </c>
      <c r="B138">
        <v>0</v>
      </c>
    </row>
    <row r="139" spans="1:2">
      <c r="A139">
        <v>4.5493329999999998</v>
      </c>
      <c r="B139">
        <v>0.70399999999999996</v>
      </c>
    </row>
    <row r="140" spans="1:2">
      <c r="A140">
        <v>0</v>
      </c>
      <c r="B140">
        <v>0</v>
      </c>
    </row>
    <row r="141" spans="1:2">
      <c r="A141">
        <v>0</v>
      </c>
      <c r="B141">
        <v>0</v>
      </c>
    </row>
    <row r="142" spans="1:2">
      <c r="A142">
        <v>3.84</v>
      </c>
      <c r="B142">
        <v>0.50266699999999997</v>
      </c>
    </row>
    <row r="143" spans="1:2">
      <c r="A143">
        <v>0</v>
      </c>
      <c r="B143">
        <v>0</v>
      </c>
    </row>
    <row r="144" spans="1:2">
      <c r="A144">
        <v>2.1520000000000001</v>
      </c>
      <c r="B144">
        <v>0.38400000000000001</v>
      </c>
    </row>
    <row r="145" spans="1:2">
      <c r="A145">
        <v>0</v>
      </c>
      <c r="B145">
        <v>0</v>
      </c>
    </row>
    <row r="146" spans="1:2">
      <c r="A146">
        <v>0</v>
      </c>
      <c r="B146">
        <v>0</v>
      </c>
    </row>
    <row r="147" spans="1:2">
      <c r="A147">
        <v>1.3759999999999999</v>
      </c>
      <c r="B147">
        <v>0.26666699999999999</v>
      </c>
    </row>
    <row r="148" spans="1:2">
      <c r="A148">
        <v>0</v>
      </c>
      <c r="B148">
        <v>0</v>
      </c>
    </row>
    <row r="149" spans="1:2">
      <c r="A149">
        <v>1.0373330000000001</v>
      </c>
      <c r="B149">
        <v>0.20133300000000001</v>
      </c>
    </row>
    <row r="150" spans="1:2">
      <c r="A150">
        <v>0</v>
      </c>
      <c r="B150">
        <v>0</v>
      </c>
    </row>
    <row r="151" spans="1:2">
      <c r="A151">
        <v>0</v>
      </c>
      <c r="B151">
        <v>0</v>
      </c>
    </row>
    <row r="152" spans="1:2">
      <c r="A152">
        <v>1.0680000000000001</v>
      </c>
      <c r="B152">
        <v>0.13466700000000001</v>
      </c>
    </row>
    <row r="153" spans="1:2">
      <c r="A153">
        <v>0</v>
      </c>
      <c r="B153">
        <v>0</v>
      </c>
    </row>
    <row r="154" spans="1:2">
      <c r="A154">
        <v>0.60666699999999996</v>
      </c>
      <c r="B154">
        <v>0.08</v>
      </c>
    </row>
    <row r="155" spans="1:2">
      <c r="A155">
        <v>0</v>
      </c>
      <c r="B155">
        <v>0</v>
      </c>
    </row>
    <row r="156" spans="1:2">
      <c r="A156">
        <v>0</v>
      </c>
      <c r="B156">
        <v>0</v>
      </c>
    </row>
    <row r="157" spans="1:2">
      <c r="A157">
        <v>0.36266700000000002</v>
      </c>
      <c r="B157">
        <v>6.8000000000000005E-2</v>
      </c>
    </row>
    <row r="158" spans="1:2">
      <c r="A158">
        <v>0</v>
      </c>
      <c r="B158">
        <v>0</v>
      </c>
    </row>
    <row r="159" spans="1:2">
      <c r="A159">
        <v>0</v>
      </c>
      <c r="B159">
        <v>0</v>
      </c>
    </row>
    <row r="160" spans="1:2">
      <c r="A160">
        <v>0.31733299999999998</v>
      </c>
      <c r="B160">
        <v>3.5999999999999997E-2</v>
      </c>
    </row>
    <row r="161" spans="1:2">
      <c r="A161">
        <v>0</v>
      </c>
      <c r="B161">
        <v>0</v>
      </c>
    </row>
    <row r="162" spans="1:2">
      <c r="A162">
        <v>9.0666999999999998E-2</v>
      </c>
      <c r="B162">
        <v>3.0667E-2</v>
      </c>
    </row>
    <row r="163" spans="1:2">
      <c r="A163">
        <v>0</v>
      </c>
      <c r="B163">
        <v>0</v>
      </c>
    </row>
    <row r="164" spans="1:2">
      <c r="A164">
        <v>0</v>
      </c>
      <c r="B164">
        <v>0</v>
      </c>
    </row>
    <row r="165" spans="1:2">
      <c r="A165">
        <v>0</v>
      </c>
      <c r="B165">
        <v>1.2E-2</v>
      </c>
    </row>
    <row r="166" spans="1:2">
      <c r="A166">
        <v>0</v>
      </c>
      <c r="B166">
        <v>0</v>
      </c>
    </row>
    <row r="167" spans="1:2">
      <c r="A167">
        <v>0</v>
      </c>
      <c r="B167">
        <v>1.2E-2</v>
      </c>
    </row>
    <row r="168" spans="1:2">
      <c r="A168">
        <v>0</v>
      </c>
      <c r="B168">
        <v>0</v>
      </c>
    </row>
    <row r="169" spans="1:2">
      <c r="A169">
        <v>0</v>
      </c>
      <c r="B169">
        <v>0</v>
      </c>
    </row>
    <row r="170" spans="1:2">
      <c r="A170">
        <v>0</v>
      </c>
      <c r="B170">
        <v>2.6670000000000001E-3</v>
      </c>
    </row>
    <row r="171" spans="1:2">
      <c r="A171">
        <v>0</v>
      </c>
      <c r="B171">
        <v>0</v>
      </c>
    </row>
    <row r="172" spans="1:2">
      <c r="A172">
        <v>0</v>
      </c>
      <c r="B172">
        <v>2.6670000000000001E-3</v>
      </c>
    </row>
    <row r="173" spans="1:2">
      <c r="A173">
        <v>0</v>
      </c>
      <c r="B173">
        <v>0</v>
      </c>
    </row>
    <row r="174" spans="1:2">
      <c r="A174">
        <v>0</v>
      </c>
      <c r="B174">
        <v>0</v>
      </c>
    </row>
    <row r="175" spans="1:2">
      <c r="A175">
        <v>0</v>
      </c>
      <c r="B175">
        <v>2.6670000000000001E-3</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-6.82433175988112
-6.82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-6.824331759881118</v>
      </c>
      <c r="I4" s="322">
        <f>IF(Measurement!AQ7&lt;&gt;"",NORMSDIST((H6-$B$2)/$B$3)*100,"")</f>
        <v>6.950718124717413E-2</v>
      </c>
      <c r="J4" t="str">
        <f>Measurement!AR7</f>
        <v>위험</v>
      </c>
    </row>
    <row r="5" spans="1:11">
      <c r="B5" s="171">
        <v>-10</v>
      </c>
      <c r="C5" s="171">
        <f>NORMSDIST(($B5-$B$2)/$B$3)*100</f>
        <v>7.1097265868555281E-5</v>
      </c>
      <c r="G5" t="s">
        <v>1539</v>
      </c>
      <c r="H5" s="320">
        <f>IF(Measurement!AQ7&lt;-7,-7,Measurement!AQ7)</f>
        <v>-6.824331759881118</v>
      </c>
      <c r="I5" s="321">
        <f>IF(Measurement!AQ7&lt;&gt;"",0,"")</f>
        <v>0</v>
      </c>
    </row>
    <row r="6" spans="1:11">
      <c r="B6" s="171">
        <f>B5+0.1</f>
        <v>-9.9</v>
      </c>
      <c r="C6" s="171">
        <f t="shared" ref="C6:C57" si="0">NORMSDIST(($B6-$B$2)/$B$3)*100</f>
        <v>9.1781224195367343E-5</v>
      </c>
      <c r="H6" s="320">
        <f>IF(Measurement!AQ7&lt;-7,-7,Measurement!AQ7)</f>
        <v>-6.824331759881118</v>
      </c>
      <c r="I6" s="321">
        <f>IF(Measurement!AQ7&lt;&gt;"",NORMSDIST((H6-$B$2)/$B$3)*100,"")</f>
        <v>6.950718124717413E-2</v>
      </c>
    </row>
    <row r="7" spans="1:11">
      <c r="B7" s="171">
        <f t="shared" ref="B7:B70" si="1">B6+0.1</f>
        <v>-9.8000000000000007</v>
      </c>
      <c r="C7" s="171">
        <f t="shared" si="0"/>
        <v>1.1818368021892541E-4</v>
      </c>
      <c r="D7" s="171"/>
      <c r="H7" s="320">
        <f>IF(Measurement!AQ7&lt;&gt;"",-7,"")</f>
        <v>-7</v>
      </c>
      <c r="I7" s="321">
        <f>IF(Measurement!AQ7&lt;&gt;"",NORMSDIST((H6-$B$2)/$B$3)*100,"")</f>
        <v>6.950718124717413E-2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56.5</v>
      </c>
      <c r="V4" t="s">
        <v>1218</v>
      </c>
    </row>
    <row r="5" spans="1:29">
      <c r="B5" s="171">
        <v>0</v>
      </c>
      <c r="C5" s="171">
        <f>NORMSDIST(($B5-$B$2)/$B$3)*100</f>
        <v>1.2153167836658598</v>
      </c>
      <c r="H5">
        <f>info!W36</f>
        <v>56.495040000000003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56.495040000000003</v>
      </c>
      <c r="I6" s="171">
        <f>NORMSDIST((H6-$B$2)/$B$3)*100</f>
        <v>61.507433527177554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61.507433527177554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1.7381800000000001</v>
      </c>
    </row>
    <row r="3" spans="1:11" ht="18">
      <c r="A3" s="71" t="s">
        <v>1065</v>
      </c>
      <c r="B3" s="557">
        <v>0.71290976993199895</v>
      </c>
      <c r="C3" s="523"/>
      <c r="H3" s="561" t="s">
        <v>2223</v>
      </c>
      <c r="I3" s="562">
        <f>IF(I2=0,0,NORMSDIST((I2-$B$2)/$B$3)*100)</f>
        <v>41.021760710487797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1.74</v>
      </c>
    </row>
    <row r="6" spans="1:11">
      <c r="B6" s="23">
        <v>0</v>
      </c>
      <c r="C6" s="23">
        <f>NORMSDIST(($B6-$B$2)/$B$3)*100</f>
        <v>0.38478836223957635</v>
      </c>
      <c r="H6" s="205">
        <f>IF(info!V36&gt;I1,I1,info!V36)</f>
        <v>1.7381800000000001</v>
      </c>
      <c r="I6" s="560">
        <v>0</v>
      </c>
    </row>
    <row r="7" spans="1:11">
      <c r="B7" s="23">
        <f>B5+0.05</f>
        <v>0</v>
      </c>
      <c r="C7" s="23">
        <f t="shared" ref="C7:E58" si="0">NORMSDIST(($B7-$B$2)/$B$3)*100</f>
        <v>0.38478836223957635</v>
      </c>
      <c r="H7" s="205">
        <f>IF(info!V36&gt;I1,I1,info!V36)</f>
        <v>1.7381800000000001</v>
      </c>
      <c r="I7" s="560">
        <f>NORMSDIST((H7-$B$2)/$B$3)*100</f>
        <v>41.021760710487797</v>
      </c>
    </row>
    <row r="8" spans="1:11">
      <c r="B8" s="23">
        <f t="shared" ref="B8:B71" si="1">B7+0.05</f>
        <v>0.05</v>
      </c>
      <c r="C8" s="23">
        <f t="shared" si="0"/>
        <v>0.47295624138584591</v>
      </c>
      <c r="D8" s="171"/>
      <c r="H8" s="205">
        <v>0</v>
      </c>
      <c r="I8" s="560">
        <f>NORMSDIST((H7-$B$2)/$B$3)*100</f>
        <v>41.021760710487797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1.7381800000000001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1.7381800000000001</v>
      </c>
      <c r="I6" s="171">
        <f>NORMSDIST((H6-$B$2)/$B$3)*100</f>
        <v>5.7224675653210814E-2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5.7224675653210814E-2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45778.826550925929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U2eS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45778.826550925929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U2eS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2025-05-01T10:50:32Z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