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8\vision^김정국^1^64^일상센터\"/>
    </mc:Choice>
  </mc:AlternateContent>
  <xr:revisionPtr revIDLastSave="0" documentId="13_ncr:1_{CDF5BC24-2C61-480D-8EEB-71BF28E2B5C7}"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4" s="1"/>
  <c r="L7" i="33" l="1"/>
  <c r="H8" i="36"/>
  <c r="Q8" i="37"/>
  <c r="L7" i="39"/>
  <c r="H8" i="40"/>
  <c r="Q8" i="41"/>
  <c r="L7" i="43"/>
  <c r="Q8" i="45"/>
  <c r="L8" i="36"/>
  <c r="L8" i="40"/>
  <c r="L8" i="44"/>
  <c r="L7" i="38"/>
  <c r="L8" i="41"/>
  <c r="L7" i="30"/>
  <c r="Q8" i="36"/>
  <c r="Q8" i="40"/>
  <c r="Q8" i="44"/>
  <c r="L8" i="33"/>
  <c r="L8" i="43"/>
  <c r="Q2" i="14"/>
  <c r="H8" i="49"/>
  <c r="H8" i="30"/>
  <c r="Q8" i="33"/>
  <c r="L7" i="37"/>
  <c r="H8" i="38"/>
  <c r="Q8" i="39"/>
  <c r="L7" i="41"/>
  <c r="H8" i="42"/>
  <c r="Q8" i="43"/>
  <c r="L7" i="45"/>
  <c r="H8" i="46"/>
  <c r="L8" i="37"/>
  <c r="L8" i="45"/>
  <c r="H8" i="33"/>
  <c r="H8" i="39"/>
  <c r="L7" i="42"/>
  <c r="H8" i="43"/>
  <c r="L7" i="46"/>
  <c r="L8" i="3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8" i="1"/>
  <c r="I33" i="48" s="1"/>
  <c r="L15" i="1"/>
  <c r="I40" i="48" s="1"/>
  <c r="L7" i="1"/>
  <c r="I32" i="48" s="1"/>
  <c r="L16" i="1"/>
  <c r="I41" i="48" s="1"/>
  <c r="L14" i="1"/>
  <c r="I39" i="48" s="1"/>
  <c r="L13" i="1"/>
  <c r="I38"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A7" i="1"/>
  <c r="CB7" i="1"/>
  <c r="BY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X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2"/>
  <c r="O7" i="38"/>
  <c r="O7" i="30"/>
  <c r="O7" i="40"/>
  <c r="O7" i="36"/>
  <c r="O7" i="46"/>
  <c r="O7" i="44"/>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E20" i="18"/>
  <c r="J4" i="21"/>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12" i="1" l="1"/>
  <c r="Y9" i="1"/>
  <c r="Y13" i="1"/>
  <c r="Y7" i="1"/>
  <c r="Y14" i="1"/>
  <c r="A212" i="17"/>
  <c r="C211" i="17"/>
  <c r="B211" i="17" s="1"/>
  <c r="Y10" i="1" s="1"/>
  <c r="F209" i="11"/>
  <c r="B209" i="11"/>
  <c r="E209" i="11" s="1"/>
  <c r="A210" i="11"/>
  <c r="L39" i="48" l="1"/>
  <c r="L39" i="18"/>
  <c r="L32" i="48"/>
  <c r="L32" i="18"/>
  <c r="L38" i="48"/>
  <c r="L38" i="18"/>
  <c r="L35" i="48"/>
  <c r="L35" i="18"/>
  <c r="L34" i="48"/>
  <c r="L34" i="18"/>
  <c r="L37" i="48"/>
  <c r="L37" i="18"/>
  <c r="C212" i="17"/>
  <c r="B212" i="17" s="1"/>
  <c r="A213" i="17"/>
  <c r="F210" i="11"/>
  <c r="B210" i="11"/>
  <c r="E210" i="11" s="1"/>
  <c r="A211" i="11"/>
  <c r="Y8" i="1" l="1"/>
  <c r="Y11" i="1"/>
  <c r="C213" i="17"/>
  <c r="B213" i="17" s="1"/>
  <c r="A214" i="17"/>
  <c r="F211" i="11"/>
  <c r="A212" i="11"/>
  <c r="B211" i="11"/>
  <c r="E211" i="11" s="1"/>
  <c r="L36" i="48" l="1"/>
  <c r="L36" i="18"/>
  <c r="L33" i="48"/>
  <c r="L33" i="18"/>
  <c r="C214" i="17"/>
  <c r="B214" i="17" s="1"/>
  <c r="Y16" i="1" s="1"/>
  <c r="A215" i="17"/>
  <c r="F212" i="11"/>
  <c r="A213" i="11"/>
  <c r="B212" i="11"/>
  <c r="E212" i="11" s="1"/>
  <c r="L41" i="48" l="1"/>
  <c r="L41"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C219" i="17" l="1"/>
  <c r="B219" i="17" s="1"/>
  <c r="CM4" i="11" s="1"/>
  <c r="A220" i="17"/>
  <c r="F217" i="11"/>
  <c r="B217" i="11"/>
  <c r="E217" i="11" s="1"/>
  <c r="A218" i="11"/>
  <c r="C220" i="17" l="1"/>
  <c r="B220" i="17" s="1"/>
  <c r="CN4" i="11" s="1"/>
  <c r="V43" i="11" s="1"/>
  <c r="A221" i="17"/>
  <c r="F218" i="11"/>
  <c r="B218" i="11"/>
  <c r="E218" i="11" s="1"/>
  <c r="A219" i="11"/>
  <c r="L42" i="48" l="1"/>
  <c r="L42" i="18"/>
  <c r="C221" i="17"/>
  <c r="B221" i="17" s="1"/>
  <c r="CJ5" i="11" s="1"/>
  <c r="A222" i="17"/>
  <c r="F219" i="11"/>
  <c r="A220" i="11"/>
  <c r="B219" i="11"/>
  <c r="E219" i="11" s="1"/>
  <c r="C222" i="17" l="1"/>
  <c r="B222" i="17" s="1"/>
  <c r="CK5" i="11"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A226" i="17"/>
  <c r="F223" i="11"/>
  <c r="B223" i="11"/>
  <c r="E223" i="11" s="1"/>
  <c r="A224" i="11"/>
  <c r="V44" i="11" l="1"/>
  <c r="O42" i="48" s="1"/>
  <c r="C226" i="17"/>
  <c r="B226" i="17" s="1"/>
  <c r="A227" i="17"/>
  <c r="F224" i="11"/>
  <c r="A225" i="11"/>
  <c r="B224" i="11"/>
  <c r="E224" i="11" s="1"/>
  <c r="O42" i="18" l="1"/>
  <c r="A228" i="17"/>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W9" i="1"/>
  <c r="CX9" i="1"/>
  <c r="F257" i="11"/>
  <c r="P13" i="18" l="1"/>
  <c r="CG9" i="1"/>
  <c r="CJ9" i="1"/>
  <c r="CJ14" i="1" s="1"/>
  <c r="D13" i="18" s="1"/>
  <c r="C260" i="17"/>
  <c r="B260" i="17" s="1"/>
  <c r="CO10" i="1" s="1"/>
  <c r="K16" i="18" s="1"/>
  <c r="A261" i="17"/>
  <c r="F258" i="11"/>
  <c r="CG18" i="1" l="1"/>
  <c r="CG16" i="1"/>
  <c r="CG15" i="1" s="1"/>
  <c r="CG17" i="1"/>
  <c r="C261" i="17"/>
  <c r="B261" i="17" s="1"/>
  <c r="CP10" i="1" s="1"/>
  <c r="A262" i="17"/>
  <c r="F259" i="11"/>
  <c r="K17" i="18" l="1"/>
  <c r="CH10" i="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A269" i="17"/>
  <c r="F266" i="11"/>
  <c r="P17" i="18" l="1"/>
  <c r="CG10" i="1"/>
  <c r="CJ10" i="1"/>
  <c r="C269" i="17"/>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H11" i="1" l="1"/>
  <c r="CK11" i="1"/>
  <c r="C274" i="17"/>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G11" i="1" l="1"/>
  <c r="CJ11" i="1"/>
  <c r="G13" i="18" s="1"/>
  <c r="C281" i="17"/>
  <c r="B281" i="17" s="1"/>
  <c r="CX11" i="1" s="1"/>
  <c r="A282" i="17"/>
  <c r="F279" i="11"/>
  <c r="C282" i="17" l="1"/>
  <c r="B282" i="17" s="1"/>
  <c r="CY11" i="1" s="1"/>
  <c r="A283" i="17"/>
  <c r="F280" i="11"/>
  <c r="C283" i="17" l="1"/>
  <c r="B283" i="17" s="1"/>
  <c r="A284" i="17"/>
  <c r="F281" i="11"/>
  <c r="C284" i="17" l="1"/>
  <c r="B284" i="17" s="1"/>
  <c r="A285" i="17"/>
  <c r="CO15" i="1"/>
  <c r="CQ15" i="1"/>
  <c r="CN15" i="1"/>
  <c r="K13" i="48" s="1"/>
  <c r="CP15" i="1"/>
  <c r="CK16" i="1" s="1"/>
  <c r="F282" i="11"/>
  <c r="C285" i="17" l="1"/>
  <c r="B285" i="17" s="1"/>
  <c r="A286" i="17"/>
  <c r="CS15" i="1"/>
  <c r="M13" i="48" s="1"/>
  <c r="CT15" i="1"/>
  <c r="CV15" i="1"/>
  <c r="CU15" i="1"/>
  <c r="F283" i="11"/>
  <c r="C286" i="17" l="1"/>
  <c r="B286" i="17" s="1"/>
  <c r="CN16" i="1" s="1"/>
  <c r="K15" i="48" s="1"/>
  <c r="A287" i="17"/>
  <c r="CW15" i="1"/>
  <c r="CR15" i="1"/>
  <c r="CX15" i="1"/>
  <c r="CY15" i="1"/>
  <c r="F284" i="11"/>
  <c r="P13" i="48" l="1"/>
  <c r="CJ16" i="1"/>
  <c r="CJ20" i="1" s="1"/>
  <c r="D13" i="48" s="1"/>
  <c r="C287" i="17"/>
  <c r="B287" i="17" s="1"/>
  <c r="CO16" i="1" s="1"/>
  <c r="A288" i="17"/>
  <c r="F285" i="11"/>
  <c r="C288" i="17" l="1"/>
  <c r="B288" i="17" s="1"/>
  <c r="CP16" i="1" s="1"/>
  <c r="CK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A296" i="17"/>
  <c r="F293" i="11"/>
  <c r="P17" i="48" l="1"/>
  <c r="CJ17" i="1"/>
  <c r="C296" i="17"/>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CK18"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CJ18" i="1" s="1"/>
  <c r="G13" i="48"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H12" i="1" l="1"/>
  <c r="CK12" i="1"/>
  <c r="CK19" i="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G12" i="1" l="1"/>
  <c r="CJ19" i="1"/>
  <c r="D15" i="48" s="1"/>
  <c r="CJ12" i="1"/>
  <c r="D15" i="18" s="1"/>
  <c r="C320" i="17"/>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CB31" i="11" s="1"/>
  <c r="A501" i="17"/>
  <c r="F498" i="11"/>
  <c r="J28" i="18" l="1"/>
  <c r="J28" i="48"/>
  <c r="C501" i="17"/>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AW24" i="11" s="1"/>
  <c r="F617" i="11"/>
  <c r="AS26" i="11" l="1"/>
  <c r="AR26" i="11"/>
  <c r="X21" i="11" s="1"/>
  <c r="C621" i="17"/>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<sst xmlns="http://schemas.openxmlformats.org/spreadsheetml/2006/main" count="7312" uniqueCount="2586">
  <si>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</si>
  <si>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</si>
  <si>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</si>
  <si>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</si>
  <si>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</si>
  <si>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</si>
  <si>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</si>
  <si>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</si>
  <si>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</si>
  <si>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</si>
  <si>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</si>
  <si>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</si>
  <si>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</si>
  <si>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</si>
  <si>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</si>
  <si>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</si>
  <si>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</si>
  <si>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</si>
  <si>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</si>
  <si>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</si>
  <si>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</si>
  <si>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</si>
  <si>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</si>
  <si>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</si>
  <si>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</si>
  <si>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</si>
  <si>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</si>
  <si>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</si>
  <si>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</si>
  <si>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</si>
  <si>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</si>
  <si>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</si>
  <si>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</si>
  <si>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</si>
  <si>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</si>
  <si>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</si>
  <si>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</si>
  <si>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</si>
  <si>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</si>
  <si>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</si>
  <si>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</si>
  <si>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</si>
  <si>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</si>
  <si>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</si>
  <si>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</si>
  <si>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</si>
  <si>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</si>
  <si>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</si>
  <si>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</si>
  <si>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</si>
  <si>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</si>
  <si>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</si>
  <si>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</si>
  <si>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</si>
  <si>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</si>
  <si>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</si>
  <si>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</si>
  <si>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</si>
  <si>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</si>
  <si>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</si>
  <si>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</si>
  <si>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</si>
  <si>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</si>
  <si>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</si>
  <si>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</si>
  <si>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</si>
  <si>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</si>
  <si>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</si>
  <si>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</si>
  <si>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</si>
  <si>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</si>
  <si>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</si>
  <si>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</si>
  <si>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</si>
  <si>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</si>
  <si>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</si>
  <si>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</si>
  <si>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</si>
  <si>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</si>
  <si>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</si>
  <si>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</si>
  <si>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</si>
  <si>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</si>
  <si>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</si>
  <si>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</si>
  <si>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</si>
  <si>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</si>
  <si>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</si>
  <si>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</si>
  <si>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</si>
  <si>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</si>
  <si>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</si>
  <si>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</si>
  <si>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</si>
  <si>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</si>
  <si>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</si>
  <si>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</si>
  <si>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</si>
  <si>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</si>
  <si>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</si>
  <si>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</si>
  <si>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</si>
  <si>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</si>
  <si>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</si>
  <si>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</si>
  <si>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</si>
  <si>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</si>
  <si>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</si>
  <si>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</si>
  <si>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</si>
  <si>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</si>
  <si>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</si>
  <si>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</si>
  <si>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</si>
  <si>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</si>
  <si>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</si>
  <si>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</si>
  <si>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</si>
  <si>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</si>
  <si>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</si>
  <si>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</si>
  <si>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</si>
  <si>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</si>
  <si>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</si>
  <si>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</si>
  <si>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</si>
  <si>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</si>
  <si>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</si>
  <si>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</si>
  <si>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</si>
  <si>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</si>
  <si>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</si>
  <si>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</si>
  <si>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</si>
  <si>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</si>
  <si>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</si>
  <si>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</si>
  <si>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</si>
  <si>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</si>
  <si>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</si>
  <si>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</si>
  <si>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</si>
  <si>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</si>
  <si>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</si>
  <si>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</si>
  <si>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</si>
  <si>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</si>
  <si>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</si>
  <si>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</si>
  <si>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</si>
  <si>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</si>
  <si>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</si>
  <si>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</si>
  <si>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</si>
  <si>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</si>
  <si>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</si>
  <si>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</si>
  <si>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</si>
  <si>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</si>
  <si>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</si>
  <si>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</si>
  <si>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</si>
  <si>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</si>
  <si>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</si>
  <si>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</si>
  <si>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</si>
  <si>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</si>
  <si>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</si>
  <si>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</si>
  <si>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</si>
  <si>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</si>
  <si>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</si>
  <si>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</si>
  <si>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</si>
  <si>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</si>
  <si>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</si>
  <si>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</si>
  <si>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</si>
  <si>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</si>
  <si>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</si>
  <si>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</si>
  <si>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</si>
  <si>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</si>
  <si>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</si>
  <si>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</si>
  <si>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</si>
  <si>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</si>
  <si>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</si>
  <si>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</si>
  <si>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</si>
  <si>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</si>
  <si>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</si>
  <si>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</si>
  <si>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</si>
  <si>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</si>
  <si>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</si>
  <si>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</si>
  <si>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</si>
  <si>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</si>
  <si>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</si>
  <si>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</si>
  <si>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</si>
  <si>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</si>
  <si>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</si>
  <si>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</si>
  <si>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</si>
  <si>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</si>
  <si>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</si>
  <si>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</si>
  <si>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</si>
  <si>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</si>
  <si>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</si>
  <si>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</si>
  <si>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</si>
  <si>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</si>
  <si>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</si>
  <si>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</si>
  <si>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</si>
  <si>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</si>
  <si>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</si>
  <si>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</si>
  <si>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</si>
  <si>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</si>
  <si>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</si>
  <si>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</si>
  <si>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</si>
  <si>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</si>
  <si>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</si>
  <si>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</si>
  <si>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</si>
  <si>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</si>
  <si>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</si>
  <si>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</si>
  <si>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</si>
  <si>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</si>
  <si>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</si>
  <si>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</si>
  <si>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</si>
  <si>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</si>
  <si>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</si>
  <si>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</si>
  <si>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</si>
  <si>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</si>
  <si>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</si>
  <si>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</si>
  <si>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</si>
  <si>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</si>
  <si>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</si>
  <si>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</si>
  <si>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</si>
  <si>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</si>
  <si>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</si>
  <si>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</si>
  <si>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</si>
  <si>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</si>
  <si>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</si>
  <si>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</si>
  <si>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</si>
  <si>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</si>
  <si>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</si>
  <si>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</si>
  <si>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</si>
  <si>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</si>
  <si>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</si>
  <si>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</si>
  <si>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</si>
  <si>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</si>
  <si>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</si>
  <si>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</si>
  <si>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</si>
  <si>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</si>
  <si>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</si>
  <si>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</si>
  <si>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</si>
  <si>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</si>
  <si>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</si>
  <si>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</si>
  <si>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</si>
  <si>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</si>
  <si>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</si>
  <si>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</si>
  <si>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</si>
  <si>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</si>
  <si>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</si>
  <si>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</si>
  <si>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</si>
  <si>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</si>
  <si>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</si>
  <si>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</si>
  <si>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</si>
  <si>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</si>
  <si>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</si>
  <si>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</si>
  <si>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</si>
  <si>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</si>
  <si>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</si>
  <si>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</si>
  <si>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</si>
  <si>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</si>
  <si>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</si>
  <si>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</si>
  <si>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</si>
  <si>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</si>
  <si>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</si>
  <si>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</si>
  <si>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</si>
  <si>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</si>
  <si>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</si>
  <si>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</si>
  <si>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</si>
  <si>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</si>
  <si>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</si>
  <si>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</si>
  <si>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</si>
  <si>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</si>
  <si>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</si>
  <si>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</si>
  <si>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</si>
  <si>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</si>
  <si>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</si>
  <si>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</si>
  <si>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</si>
  <si>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</si>
  <si>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</si>
  <si>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</si>
  <si>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</si>
  <si>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</si>
  <si>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</si>
  <si>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</si>
  <si>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</si>
  <si>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</si>
  <si>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</si>
  <si>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</si>
  <si>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</si>
  <si>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</si>
  <si>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</si>
  <si>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</si>
  <si>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</si>
  <si>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</si>
  <si>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</si>
  <si>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</si>
  <si>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</si>
  <si>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</si>
  <si>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</si>
  <si>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</si>
  <si>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</si>
  <si>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</si>
  <si>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</si>
  <si>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</si>
  <si>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</si>
  <si>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</si>
  <si>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</si>
  <si>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</si>
  <si>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</si>
  <si>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</si>
  <si>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</si>
  <si>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</si>
  <si>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</si>
  <si>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</si>
  <si>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</si>
  <si>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</si>
  <si>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</si>
  <si>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</si>
  <si>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</si>
  <si>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</si>
  <si>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</si>
  <si>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</si>
  <si>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</si>
  <si>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</si>
  <si>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</si>
  <si>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</si>
  <si>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</si>
  <si>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</si>
  <si>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</si>
  <si>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</si>
  <si>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</si>
  <si>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</si>
  <si>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</si>
  <si>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</si>
  <si>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</si>
  <si>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</si>
  <si>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</si>
  <si>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</si>
  <si>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</si>
  <si>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</si>
  <si>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</si>
  <si>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</si>
  <si>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</si>
  <si>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</si>
  <si>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</si>
  <si>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</si>
  <si>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</si>
  <si>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</si>
  <si>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</si>
  <si>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</si>
  <si>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</si>
  <si>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</si>
  <si>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</si>
  <si>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</si>
  <si>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</si>
  <si>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</si>
  <si>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</si>
  <si>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</si>
  <si>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</si>
  <si>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</si>
  <si>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</si>
  <si>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</si>
  <si>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</si>
  <si>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</si>
  <si>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</si>
  <si>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</si>
  <si>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</si>
  <si>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</si>
  <si>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</si>
  <si>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</si>
  <si>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</si>
  <si>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</si>
  <si>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</si>
  <si>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</si>
  <si>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</si>
  <si>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</si>
  <si>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</si>
  <si>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</si>
  <si>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</si>
  <si>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</si>
  <si>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</si>
  <si>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</si>
  <si>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</si>
  <si>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</si>
  <si>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</si>
  <si>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</si>
  <si>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</si>
  <si>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</si>
  <si>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</si>
  <si>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</si>
  <si>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</si>
  <si>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</si>
  <si>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</si>
  <si>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</si>
  <si>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</si>
  <si>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</si>
  <si>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</si>
  <si>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</si>
  <si>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</si>
  <si>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</si>
  <si>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</si>
  <si>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</si>
  <si>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</si>
  <si>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</si>
  <si>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</si>
  <si>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</si>
  <si>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</si>
  <si>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</si>
  <si>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</si>
  <si>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</si>
  <si>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</si>
  <si>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</si>
  <si>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</si>
  <si>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</si>
  <si>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</si>
  <si>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</si>
  <si>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</si>
  <si>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</si>
  <si>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</si>
  <si>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</si>
  <si>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</si>
  <si>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</si>
  <si>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</si>
  <si>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</si>
  <si>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</si>
  <si>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</si>
  <si>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</si>
  <si>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</si>
  <si>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</si>
  <si>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</si>
  <si>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</si>
  <si>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</si>
  <si>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</si>
  <si>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</si>
  <si>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</si>
  <si>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</si>
  <si>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</si>
  <si>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</si>
  <si>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</si>
  <si>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</si>
  <si>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</si>
  <si>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</si>
  <si>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</si>
  <si>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</si>
  <si>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</si>
  <si>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</si>
  <si>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</si>
  <si>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</si>
  <si>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</si>
  <si>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</si>
  <si>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</si>
  <si>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</si>
  <si>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</si>
  <si>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</si>
  <si>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</si>
  <si>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</si>
  <si>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</si>
  <si>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</si>
  <si>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</si>
  <si>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</si>
  <si>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</si>
  <si>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</si>
  <si>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</si>
  <si>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</si>
  <si>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</si>
  <si>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</si>
  <si>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</si>
  <si>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</si>
  <si>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</si>
  <si>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</si>
  <si>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</si>
  <si>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</si>
  <si>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</si>
  <si>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</si>
  <si>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</si>
  <si>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</si>
  <si>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</si>
  <si>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</si>
  <si>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</si>
  <si>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</si>
  <si>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</si>
  <si>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</si>
  <si>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</si>
  <si>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</si>
  <si>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</si>
  <si>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</si>
  <si>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</si>
  <si>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</si>
  <si>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</si>
  <si>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</si>
  <si>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</si>
  <si>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</si>
  <si>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</si>
  <si>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</si>
  <si>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</si>
  <si>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</si>
  <si>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</si>
  <si>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</si>
  <si>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</si>
  <si>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</si>
  <si>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</si>
  <si>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</si>
  <si>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</si>
  <si>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</si>
  <si>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</si>
  <si>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</si>
  <si>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</si>
  <si>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</si>
  <si>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</si>
  <si>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</si>
  <si>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</si>
  <si>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</si>
  <si>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</si>
  <si>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</si>
  <si>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</si>
  <si>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</si>
  <si>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</si>
  <si>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</si>
  <si>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</si>
  <si>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</si>
  <si>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</si>
  <si>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</si>
  <si>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</si>
  <si>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</si>
  <si>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</si>
  <si>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</si>
  <si>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</si>
  <si>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</si>
  <si>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</si>
  <si>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</si>
  <si>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</si>
  <si>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</si>
  <si>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</si>
  <si>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</si>
  <si>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</si>
  <si>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</si>
  <si>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</si>
  <si>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</si>
  <si>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</si>
  <si>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</si>
  <si>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</si>
  <si>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</si>
  <si>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</si>
  <si>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</si>
  <si>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</si>
  <si>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</si>
  <si>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</si>
  <si>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</si>
  <si>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</si>
  <si>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</si>
  <si>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</si>
  <si>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</si>
  <si>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</si>
  <si>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</si>
  <si>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</si>
  <si>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</si>
  <si>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</si>
  <si>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</si>
  <si>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</si>
  <si>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</si>
  <si>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</si>
  <si>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</si>
  <si>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</si>
  <si>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</si>
  <si>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</si>
  <si>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</si>
  <si>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</si>
  <si>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</si>
  <si>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</si>
  <si>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</si>
  <si>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</si>
  <si>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</si>
  <si>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</si>
  <si>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</si>
  <si>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</si>
  <si>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</si>
  <si>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</si>
  <si>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</si>
  <si>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</si>
  <si>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</si>
  <si>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</si>
  <si>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</si>
  <si>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</si>
  <si>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</si>
  <si>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</si>
  <si>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</si>
  <si>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</si>
  <si>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</si>
  <si>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</si>
  <si>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</si>
  <si>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</si>
  <si>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</si>
  <si>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</si>
  <si>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</si>
  <si>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</si>
  <si>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</si>
  <si>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</si>
  <si>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</si>
  <si>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</si>
  <si>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</si>
  <si>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</si>
  <si>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</si>
  <si>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</si>
  <si>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</si>
  <si>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</si>
  <si>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</si>
  <si>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</si>
  <si>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</si>
  <si>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</si>
  <si>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</si>
  <si>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</si>
  <si>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</si>
  <si>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</si>
  <si>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</si>
  <si>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</si>
  <si>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</si>
  <si>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</si>
  <si>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</si>
  <si>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</si>
  <si>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</si>
  <si>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</si>
  <si>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</si>
  <si>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</si>
  <si>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</si>
  <si>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</si>
  <si>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</si>
  <si>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</si>
  <si>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</si>
  <si>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</si>
  <si>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</si>
  <si>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</si>
  <si>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</si>
  <si>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</si>
  <si>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</si>
  <si>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</si>
  <si>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</si>
  <si>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</si>
  <si>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</si>
  <si>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</si>
  <si>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</si>
  <si>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</si>
  <si>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</si>
  <si>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</si>
  <si>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</si>
  <si>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</si>
  <si>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</si>
  <si>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</si>
  <si>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</si>
  <si>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</si>
  <si>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</si>
  <si>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</si>
  <si>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</si>
  <si>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</si>
  <si>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</si>
  <si>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</si>
  <si>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</si>
  <si>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</si>
  <si>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</si>
  <si>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</si>
  <si>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</si>
  <si>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</si>
  <si>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</si>
  <si>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</si>
  <si>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</si>
  <si>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</si>
  <si>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</si>
  <si>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</si>
  <si>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</si>
  <si>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</si>
  <si>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</si>
  <si>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</si>
  <si>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</si>
  <si>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</si>
  <si>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</si>
  <si>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</si>
  <si>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</si>
  <si>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</si>
  <si>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</si>
  <si>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</si>
  <si>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</si>
  <si>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</si>
  <si>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</si>
  <si>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</si>
  <si>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</si>
  <si>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</si>
  <si>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</si>
  <si>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</si>
  <si>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</si>
  <si>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</si>
  <si>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</si>
  <si>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</si>
  <si>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</si>
  <si>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</si>
  <si>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</si>
  <si>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</si>
  <si>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</si>
  <si>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</si>
  <si>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</si>
  <si>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</si>
  <si>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</si>
  <si>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</si>
  <si>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</si>
  <si>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</si>
  <si>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</si>
  <si>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</si>
  <si>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</si>
  <si>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</si>
  <si>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</si>
  <si>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</si>
  <si>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</si>
  <si>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</si>
  <si>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</si>
  <si>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</si>
  <si>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</si>
  <si>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</si>
  <si>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</si>
  <si>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</si>
  <si>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</si>
  <si>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</si>
  <si>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</si>
  <si>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</si>
  <si>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</si>
  <si>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</si>
  <si>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</si>
  <si>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</si>
  <si>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</si>
  <si>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</si>
  <si>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</si>
  <si>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</si>
  <si>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</si>
  <si>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</si>
  <si>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</si>
  <si>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</si>
  <si>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</si>
  <si>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</si>
  <si>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</si>
  <si>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</si>
  <si>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</si>
  <si>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</si>
  <si>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</si>
  <si>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</si>
  <si>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</si>
  <si>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</si>
  <si>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</si>
  <si>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</si>
  <si>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</si>
  <si>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</si>
  <si>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</si>
  <si>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</si>
  <si>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</si>
  <si>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</si>
  <si>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</si>
  <si>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</si>
  <si>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</si>
  <si>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</si>
  <si>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</si>
  <si>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</si>
  <si>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</si>
  <si>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</si>
  <si>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</si>
  <si>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</si>
  <si>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</si>
  <si>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</si>
  <si>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</si>
  <si>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</si>
  <si>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</si>
  <si>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</si>
  <si>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</si>
  <si>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</si>
  <si>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</si>
  <si>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</si>
  <si>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</si>
  <si>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</si>
  <si>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</si>
  <si>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</si>
  <si>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</si>
  <si>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</si>
  <si>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</si>
  <si>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</si>
  <si>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</si>
  <si>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</si>
  <si>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</si>
  <si>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</si>
  <si>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</si>
  <si>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</si>
  <si>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</si>
  <si>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</si>
  <si>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</si>
  <si>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</si>
  <si>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</si>
  <si>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</si>
  <si>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</si>
  <si>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</si>
  <si>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</si>
  <si>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</si>
  <si>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</si>
  <si>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</si>
  <si>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</si>
  <si>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</si>
  <si>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</si>
  <si>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</si>
  <si>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</si>
  <si>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</si>
  <si>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</si>
  <si>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</si>
  <si>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</si>
  <si>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</si>
  <si>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</si>
  <si>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</si>
  <si>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</si>
  <si>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</si>
  <si>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</si>
  <si>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</si>
  <si>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</si>
  <si>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</si>
  <si>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</si>
  <si>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</si>
  <si>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</si>
  <si>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</si>
  <si>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</si>
  <si>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</si>
  <si>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</si>
  <si>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</si>
  <si>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</si>
  <si>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</si>
  <si>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</si>
  <si>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</si>
  <si>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</si>
  <si>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</si>
  <si>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</si>
  <si>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</si>
  <si>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</si>
  <si>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</si>
  <si>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</si>
  <si>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</si>
  <si>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</si>
  <si>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</si>
  <si>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</si>
  <si>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</si>
  <si>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</si>
  <si>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</si>
  <si>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</si>
  <si>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</si>
  <si>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</si>
  <si>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</si>
  <si>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</si>
  <si>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</si>
  <si>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</si>
  <si>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</si>
  <si>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</si>
  <si>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</si>
  <si>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</si>
  <si>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</si>
  <si>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</si>
  <si>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</si>
  <si>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</si>
  <si>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</si>
  <si>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</si>
  <si>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</si>
  <si>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</si>
  <si>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</si>
  <si>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</si>
  <si>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</si>
  <si>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</si>
  <si>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</si>
  <si>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</si>
  <si>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</si>
  <si>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</si>
  <si>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</si>
  <si>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</si>
  <si>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</si>
  <si>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</si>
  <si>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</si>
  <si>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</si>
  <si>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</si>
  <si>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</si>
  <si>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</si>
  <si>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</si>
  <si>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</si>
  <si>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</si>
  <si>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</si>
  <si>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</si>
  <si>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</si>
  <si>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</si>
  <si>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</si>
  <si>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</si>
  <si>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</si>
  <si>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</si>
  <si>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</si>
  <si>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</si>
  <si>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</si>
  <si>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</si>
  <si>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</si>
  <si>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</si>
  <si>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</si>
  <si>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</si>
  <si>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</si>
  <si>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</si>
  <si>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</si>
  <si>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</si>
  <si>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</si>
  <si>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</si>
  <si>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</si>
  <si>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</si>
  <si>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</si>
  <si>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</si>
  <si>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</si>
  <si>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</si>
  <si>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</si>
  <si>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</si>
  <si>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</si>
  <si>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</si>
  <si>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</si>
  <si>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</si>
  <si>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</si>
  <si>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</si>
  <si>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</si>
  <si>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</si>
  <si>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</si>
  <si>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</si>
  <si>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</si>
  <si>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</si>
  <si>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</si>
  <si>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</si>
  <si>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</si>
  <si>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</si>
  <si>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</si>
  <si>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</si>
  <si>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</si>
  <si>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</si>
  <si>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</si>
  <si>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</si>
  <si>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</si>
  <si>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</si>
  <si>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</si>
  <si>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</si>
  <si>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</si>
  <si>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</si>
  <si>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</si>
  <si>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</si>
  <si>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</si>
  <si>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</si>
  <si>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</si>
  <si>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</si>
  <si>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</si>
  <si>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</si>
  <si>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</si>
  <si>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</si>
  <si>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</si>
  <si>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</si>
  <si>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</si>
  <si>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</si>
  <si>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</si>
  <si>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</si>
  <si>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</si>
  <si>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</si>
  <si>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</si>
  <si>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</si>
  <si>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</si>
  <si>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</si>
  <si>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</si>
  <si>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</si>
  <si>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</si>
  <si>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</si>
  <si>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</si>
  <si>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</si>
  <si>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</si>
  <si>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</si>
  <si>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</si>
  <si>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</si>
  <si>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</si>
  <si>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</si>
  <si>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</si>
  <si>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</si>
  <si>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</si>
  <si>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</si>
  <si>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</si>
  <si>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</si>
  <si>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</si>
  <si>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</si>
  <si>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</si>
  <si>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</si>
  <si>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</si>
  <si>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</si>
  <si>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</si>
  <si>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</si>
  <si>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</si>
  <si>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</si>
  <si>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</si>
  <si>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</si>
  <si>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</si>
  <si>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</si>
  <si>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</si>
  <si>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</si>
  <si>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</si>
  <si>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</si>
  <si>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</si>
  <si>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</si>
  <si>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</si>
  <si>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</si>
  <si>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</si>
  <si>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</si>
  <si>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</si>
  <si>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</si>
  <si>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</si>
  <si>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</si>
  <si>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</si>
  <si>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</si>
  <si>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</si>
  <si>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</si>
  <si>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</si>
  <si>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</si>
  <si>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</si>
  <si>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</si>
  <si>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</si>
  <si>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</si>
  <si>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</si>
  <si>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</si>
  <si>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</si>
  <si>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</si>
  <si>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</si>
  <si>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</si>
  <si>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</si>
  <si>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</si>
  <si>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</si>
  <si>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</si>
  <si>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</si>
  <si>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</si>
  <si>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</si>
  <si>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</si>
  <si>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</si>
  <si>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</si>
  <si>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</si>
  <si>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</si>
  <si>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</si>
  <si>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</si>
  <si>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</si>
  <si>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</si>
  <si>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</si>
  <si>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</si>
  <si>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</si>
  <si>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</si>
  <si>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</si>
  <si>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</si>
  <si>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</si>
  <si>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</si>
  <si>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</si>
  <si>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</si>
  <si>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</si>
  <si>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</si>
  <si>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</si>
  <si>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</si>
  <si>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</si>
  <si>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</si>
  <si>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</si>
  <si>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</si>
  <si>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</si>
  <si>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</si>
  <si>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</si>
  <si>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</si>
  <si>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</si>
  <si>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</si>
  <si>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</si>
  <si>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</si>
  <si>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</si>
  <si>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</si>
  <si>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</si>
  <si>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</si>
  <si>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</si>
  <si>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</si>
  <si>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</si>
  <si>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</si>
  <si>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</si>
  <si>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</si>
  <si>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</si>
  <si>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</si>
  <si>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</si>
  <si>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</si>
  <si>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</si>
  <si>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</si>
  <si>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</si>
  <si>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</si>
  <si>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</si>
  <si>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</si>
  <si>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</si>
  <si>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</si>
  <si>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</si>
  <si>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</si>
  <si>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</si>
  <si>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</si>
  <si>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</si>
  <si>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</si>
  <si>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</si>
  <si>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</si>
  <si>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</si>
  <si>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</si>
  <si>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</si>
  <si>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</si>
  <si>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</si>
  <si>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</si>
  <si>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</si>
  <si>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</si>
  <si>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</si>
  <si>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</si>
  <si>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</si>
  <si>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</si>
  <si>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</si>
  <si>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</si>
  <si>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</si>
  <si>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</si>
  <si>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</si>
  <si>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</si>
  <si>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</si>
  <si>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</si>
  <si>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</si>
  <si>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</si>
  <si>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</si>
  <si>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</si>
  <si>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</si>
  <si>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</si>
  <si>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</si>
  <si>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</si>
  <si>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</si>
  <si>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</si>
  <si>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</si>
  <si>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</si>
  <si>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</si>
  <si>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</si>
  <si>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</si>
  <si>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</si>
  <si>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</si>
  <si>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</si>
  <si>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</si>
  <si>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</si>
  <si>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</si>
  <si>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</si>
  <si>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</si>
  <si>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</si>
  <si>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</si>
  <si>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</si>
  <si>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</si>
  <si>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</si>
  <si>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</si>
  <si>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</si>
  <si>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</si>
  <si>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</si>
  <si>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</si>
  <si>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</si>
  <si>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</si>
  <si>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</si>
  <si>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</si>
  <si>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</si>
  <si>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</si>
  <si>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</si>
  <si>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</si>
  <si>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</si>
  <si>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</si>
  <si>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</si>
  <si>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</si>
  <si>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</si>
  <si>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</si>
  <si>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</si>
  <si>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</si>
  <si>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</si>
  <si>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</si>
  <si>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</si>
  <si>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</si>
  <si>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</si>
  <si>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</si>
  <si>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</si>
  <si>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</si>
  <si>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</si>
  <si>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</si>
  <si>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</si>
  <si>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</si>
  <si>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</si>
  <si>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</si>
  <si>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</si>
  <si>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</si>
  <si>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</si>
  <si>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</si>
  <si>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</si>
  <si>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</si>
  <si>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</si>
  <si>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</si>
  <si>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</si>
  <si>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</si>
  <si>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</si>
  <si>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</si>
  <si>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</si>
  <si>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</si>
  <si>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</si>
  <si>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</si>
  <si>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</si>
  <si>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</si>
  <si>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</si>
  <si>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</si>
  <si>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</si>
  <si>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</si>
  <si>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</si>
  <si>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</si>
  <si>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</si>
  <si>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</si>
  <si>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</si>
  <si>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</si>
  <si>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</si>
  <si>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</si>
  <si>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</si>
  <si>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</si>
  <si>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</si>
  <si>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</si>
  <si>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</si>
  <si>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</si>
  <si>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</si>
  <si>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</si>
  <si>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</si>
  <si>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</si>
  <si>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</si>
  <si>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</si>
  <si>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</si>
  <si>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</si>
  <si>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</si>
  <si>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</si>
  <si>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</si>
  <si>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</si>
  <si>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</si>
  <si>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</si>
  <si>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</si>
  <si>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</si>
  <si>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</si>
  <si>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</si>
  <si>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</si>
  <si>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</si>
  <si>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</si>
  <si>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</si>
  <si>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</si>
  <si>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</si>
  <si>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</si>
  <si>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</si>
  <si>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</si>
  <si>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</si>
  <si>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</si>
  <si>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</si>
  <si>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</si>
  <si>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</si>
  <si>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</si>
  <si>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</si>
  <si>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</si>
  <si>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</si>
  <si>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</si>
  <si>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</si>
  <si>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</si>
  <si>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</si>
  <si>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</si>
  <si>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</si>
  <si>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</si>
  <si>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</si>
  <si>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</si>
  <si>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</si>
  <si>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</si>
  <si>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</si>
  <si>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</si>
  <si>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</si>
  <si>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</si>
  <si>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</si>
  <si>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</si>
  <si>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</si>
  <si>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</si>
  <si>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</si>
  <si>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</si>
  <si>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</si>
  <si>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</si>
  <si>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</si>
  <si>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</si>
  <si>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</si>
  <si>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</si>
  <si>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</si>
  <si>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</si>
  <si>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</si>
  <si>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</si>
  <si>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</si>
  <si>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</si>
  <si>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</si>
  <si>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</si>
  <si>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</si>
  <si>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</si>
  <si>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</si>
  <si>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</si>
  <si>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</si>
  <si>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</si>
  <si>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</si>
  <si>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</si>
  <si>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</si>
  <si>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</si>
  <si>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</si>
  <si>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</si>
  <si>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</si>
  <si>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</si>
  <si>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</si>
  <si>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</si>
  <si>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</si>
  <si>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</si>
  <si>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</si>
  <si>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</si>
  <si>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</si>
  <si>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</si>
  <si>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</si>
  <si>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</si>
  <si>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</si>
  <si>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</si>
  <si>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</si>
  <si>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</si>
  <si>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</si>
  <si>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</si>
  <si>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</si>
  <si>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</si>
  <si>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</si>
  <si>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</si>
  <si>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</si>
  <si>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</si>
  <si>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</si>
  <si>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</si>
  <si>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</si>
  <si>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</si>
  <si>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</si>
  <si>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</si>
  <si>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</si>
  <si>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</si>
  <si>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</si>
  <si>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</si>
  <si>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</si>
  <si>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</si>
  <si>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</si>
  <si>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</si>
  <si>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</si>
  <si>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</si>
  <si>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</si>
  <si>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</si>
  <si>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</si>
  <si>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</si>
  <si>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</si>
  <si>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</si>
  <si>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</si>
  <si>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</si>
  <si>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</si>
  <si>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</si>
  <si>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</si>
  <si>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</si>
  <si>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</si>
  <si>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</si>
  <si>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</si>
  <si>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</si>
  <si>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</si>
  <si>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</si>
  <si>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</si>
  <si>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</si>
  <si>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</si>
  <si>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</si>
  <si>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</si>
  <si>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</si>
  <si>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</si>
  <si>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</si>
  <si>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</si>
  <si>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</si>
  <si>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</si>
  <si>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</si>
  <si>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</si>
  <si>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</si>
  <si>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</si>
  <si>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</si>
  <si>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</si>
  <si>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</si>
  <si>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</si>
  <si>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</si>
  <si>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</si>
  <si>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</si>
  <si>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</si>
  <si>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</si>
  <si>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</si>
  <si>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</si>
  <si>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</si>
  <si>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</si>
  <si>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</si>
  <si>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</si>
  <si>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</si>
  <si>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</si>
  <si>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</si>
  <si>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</si>
  <si>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</si>
  <si>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</si>
  <si>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</si>
  <si>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</si>
  <si>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</si>
  <si>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</si>
  <si>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</si>
  <si>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</si>
  <si>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</si>
  <si>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</si>
  <si>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</si>
  <si>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</si>
  <si>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</si>
  <si>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</si>
  <si>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</si>
  <si>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</si>
  <si>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</si>
  <si>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</si>
  <si>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</si>
  <si>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</si>
  <si>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</si>
  <si>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</si>
  <si>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</si>
  <si>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</si>
  <si>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</si>
  <si>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</si>
  <si>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</si>
  <si>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</si>
  <si>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</si>
  <si>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</si>
  <si>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</si>
  <si>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</si>
  <si>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</si>
  <si>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</si>
  <si>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</si>
  <si>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</si>
  <si>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</si>
  <si>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</si>
  <si>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</si>
  <si>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</si>
  <si>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</si>
  <si>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</si>
  <si>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</si>
  <si>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</si>
  <si>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</si>
  <si>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</si>
  <si>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</si>
  <si>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</si>
  <si>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</si>
  <si>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</si>
  <si>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</si>
  <si>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</si>
  <si>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</si>
  <si>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</si>
  <si>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</si>
  <si>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</si>
  <si>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</si>
  <si>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</si>
  <si>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</si>
  <si>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</si>
  <si>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</si>
  <si>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</si>
  <si>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</si>
  <si>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</si>
  <si>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</si>
  <si>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</si>
  <si>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</si>
  <si>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</si>
  <si>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</si>
  <si>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</si>
  <si>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</si>
  <si>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</si>
  <si>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</si>
  <si>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</si>
  <si>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</si>
  <si>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</si>
  <si>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</si>
  <si>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</si>
  <si>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</si>
  <si>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</si>
  <si>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</si>
  <si>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</si>
  <si>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</si>
  <si>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</si>
  <si>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</si>
  <si>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</si>
  <si>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</si>
  <si>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</si>
  <si>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</si>
  <si>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</si>
  <si>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</si>
  <si>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</si>
  <si>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</si>
  <si>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</si>
  <si>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</si>
  <si>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</si>
  <si>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</si>
  <si>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</si>
  <si>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</si>
  <si>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</si>
  <si>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</si>
  <si>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</si>
  <si>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</si>
  <si>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</si>
  <si>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</si>
  <si>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</si>
  <si>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</si>
  <si>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</si>
  <si>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</si>
  <si>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</si>
  <si>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</si>
  <si>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</si>
  <si>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</si>
  <si>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</si>
  <si>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</si>
  <si>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</si>
  <si>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</si>
  <si>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</si>
  <si>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</si>
  <si>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</si>
  <si>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</si>
  <si>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</si>
  <si>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</si>
  <si>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</si>
  <si>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</si>
  <si>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</si>
  <si>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</si>
  <si>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</si>
  <si>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</si>
  <si>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</si>
  <si>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</si>
  <si>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</si>
  <si>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</si>
  <si>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</si>
  <si>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</si>
  <si>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</si>
  <si>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</si>
  <si>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</si>
  <si>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</si>
  <si>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</si>
  <si>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</si>
  <si>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</si>
  <si>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</si>
  <si>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</si>
  <si>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</si>
  <si>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</si>
  <si>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</si>
  <si>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</si>
  <si>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</si>
  <si>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</si>
  <si>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</si>
  <si>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</si>
  <si>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</si>
  <si>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</si>
  <si>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</si>
  <si>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</si>
  <si>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</si>
  <si>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</si>
  <si>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</si>
  <si>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</si>
  <si>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</si>
  <si>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</si>
  <si>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</si>
  <si>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</si>
  <si>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</si>
  <si>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</si>
  <si>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</si>
  <si>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</si>
  <si>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</si>
  <si>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</si>
  <si>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</si>
  <si>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</si>
  <si>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</si>
  <si>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</si>
  <si>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</si>
  <si>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</si>
  <si>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</si>
  <si>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</si>
  <si>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</si>
  <si>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</si>
  <si>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</si>
  <si>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</si>
  <si>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</si>
  <si>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</si>
  <si>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</si>
  <si>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</si>
  <si>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</si>
  <si>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</si>
  <si>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</si>
  <si>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</si>
  <si>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</si>
  <si>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</si>
  <si>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</si>
  <si>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</si>
  <si>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</si>
  <si>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</si>
  <si>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</si>
  <si>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</si>
  <si>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</si>
  <si>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</si>
  <si>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</si>
  <si>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</si>
  <si>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</si>
  <si>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</si>
  <si>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</si>
  <si>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</si>
  <si>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</si>
  <si>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</si>
  <si>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</si>
  <si>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</si>
  <si>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</si>
  <si>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</si>
  <si>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</si>
  <si>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</si>
  <si>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</si>
  <si>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</si>
  <si>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</si>
  <si>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</si>
  <si>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</si>
  <si>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</si>
  <si>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</si>
  <si>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</si>
  <si>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</si>
  <si>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</si>
  <si>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</si>
  <si>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</si>
  <si>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</si>
  <si>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</si>
  <si>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</si>
  <si>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</si>
  <si>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</si>
  <si>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</si>
  <si>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</si>
  <si>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</si>
  <si>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</si>
  <si>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</si>
  <si>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</si>
  <si>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</si>
  <si>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</si>
  <si>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</si>
  <si>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</si>
  <si>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</si>
  <si>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</si>
  <si>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</si>
  <si>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</si>
  <si>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</si>
  <si>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</si>
  <si>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</si>
  <si>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</si>
  <si>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</si>
  <si>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</si>
  <si>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</si>
  <si>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</si>
  <si>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</si>
  <si>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</si>
  <si>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</si>
  <si>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</si>
  <si>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</si>
  <si>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</si>
  <si>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</si>
  <si>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</si>
  <si>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</si>
  <si>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</si>
  <si>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</si>
  <si>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</si>
  <si>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</si>
  <si>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</si>
  <si>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</si>
  <si>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</si>
  <si>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</si>
  <si>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</si>
  <si>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</si>
  <si>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</si>
  <si>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</si>
  <si>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</si>
  <si>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</si>
  <si>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</si>
  <si>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</si>
  <si>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</si>
  <si>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</si>
  <si>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</si>
  <si>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</si>
  <si>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</si>
  <si>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</si>
  <si>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</si>
  <si>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</si>
  <si>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</si>
  <si>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</si>
  <si>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</si>
  <si>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</si>
  <si>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</si>
  <si>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</si>
  <si>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</si>
  <si>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</si>
  <si>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</si>
  <si>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</si>
  <si>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</si>
  <si>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</si>
  <si>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</si>
  <si>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</si>
  <si>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</si>
  <si>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</si>
  <si>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</si>
  <si>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</si>
  <si>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</si>
  <si>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</si>
  <si>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</si>
  <si>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</si>
  <si>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</si>
  <si>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</si>
  <si>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</si>
  <si>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</si>
  <si>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</si>
  <si>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</si>
  <si>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</si>
  <si>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</si>
  <si>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</si>
  <si>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</si>
  <si>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</si>
  <si>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</si>
  <si>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</si>
  <si>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</si>
  <si>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</si>
  <si>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</si>
  <si>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</si>
  <si>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</si>
  <si>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</si>
  <si>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</si>
  <si>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</si>
  <si>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</si>
  <si>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</si>
  <si>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</si>
  <si>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</si>
  <si>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</si>
  <si>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</si>
  <si>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</si>
  <si>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</si>
  <si>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</si>
  <si>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</si>
  <si>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</si>
  <si>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</si>
  <si>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</si>
  <si>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</si>
  <si>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</si>
  <si>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</si>
  <si>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</si>
  <si>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</si>
  <si>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</si>
  <si>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</si>
  <si>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</si>
  <si>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</si>
  <si>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</si>
  <si>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</si>
  <si>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</si>
  <si>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</si>
  <si>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</si>
  <si>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</si>
  <si>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</si>
  <si>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</si>
  <si>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</si>
  <si>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</si>
  <si>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</si>
  <si>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</si>
  <si>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</si>
  <si>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</si>
  <si>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</si>
  <si>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</si>
  <si>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</si>
  <si>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</si>
  <si>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</si>
  <si>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</si>
  <si>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</si>
  <si>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</si>
  <si>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</si>
  <si>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</si>
  <si>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</si>
  <si>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</si>
  <si>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</si>
  <si>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</si>
  <si>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</si>
  <si>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</si>
  <si>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</si>
  <si>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</si>
  <si>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</si>
  <si>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</si>
  <si>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</si>
  <si>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</si>
  <si>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</si>
  <si>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</si>
  <si>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</si>
  <si>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</si>
  <si>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</si>
  <si>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</si>
  <si>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</si>
  <si>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</si>
  <si>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</si>
  <si>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</si>
  <si>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</si>
  <si>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</si>
  <si>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</si>
  <si>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</si>
  <si>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</si>
  <si>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</si>
  <si>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</si>
  <si>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</si>
  <si>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</si>
  <si>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</si>
  <si>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</si>
  <si>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</si>
  <si>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</si>
  <si>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</si>
  <si>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</si>
  <si>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</si>
  <si>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</si>
  <si>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</si>
  <si>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</si>
  <si>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</si>
  <si>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</si>
  <si>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</si>
  <si>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</si>
  <si>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</si>
  <si>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</si>
  <si>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</si>
  <si>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</si>
  <si>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</si>
  <si>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</si>
  <si>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</si>
  <si>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</si>
  <si>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</si>
  <si>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</si>
  <si>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</si>
  <si>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</si>
  <si>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</si>
  <si>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</si>
  <si>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</si>
  <si>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</si>
  <si>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</si>
  <si>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</si>
  <si>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</si>
  <si>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</si>
  <si>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</si>
  <si>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</si>
  <si>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</si>
  <si>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</si>
  <si>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</si>
  <si>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</si>
  <si>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</si>
  <si>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</si>
  <si>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</si>
  <si>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</si>
  <si>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</si>
  <si>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</si>
  <si>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</si>
  <si>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</si>
  <si>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</si>
  <si>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</si>
  <si>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</si>
  <si>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</si>
  <si>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</si>
  <si>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</si>
  <si>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</si>
  <si>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</si>
  <si>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</si>
  <si>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</si>
  <si>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</si>
  <si>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</si>
  <si>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</si>
  <si>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</si>
  <si>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</si>
  <si>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</si>
  <si>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</si>
  <si>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</si>
  <si>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</si>
  <si>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</si>
  <si>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</si>
  <si>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</si>
  <si>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</si>
  <si>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</si>
  <si>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</si>
  <si>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</si>
  <si>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</si>
  <si>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</si>
  <si>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</si>
  <si>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</si>
  <si>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</si>
  <si>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</si>
  <si>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</si>
  <si>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</si>
  <si>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</si>
  <si>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</si>
  <si>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</si>
  <si>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</si>
  <si>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</si>
  <si>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</si>
  <si>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</si>
  <si>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</si>
  <si>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</si>
  <si>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</si>
  <si>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</si>
  <si>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</si>
  <si>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</si>
  <si>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</si>
  <si>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</si>
  <si>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</si>
  <si>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</si>
  <si>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</si>
  <si>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</si>
  <si>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</si>
  <si>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</si>
  <si>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</si>
  <si>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</si>
  <si>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</si>
  <si>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</si>
  <si>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</si>
  <si>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</si>
  <si>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</si>
  <si>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</si>
  <si>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</si>
  <si>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</si>
  <si>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</si>
  <si>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</si>
  <si>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</si>
  <si>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</si>
  <si>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</si>
  <si>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</si>
  <si>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</si>
  <si>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</si>
  <si>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</si>
  <si>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</si>
  <si>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</si>
  <si>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</si>
  <si>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</si>
  <si>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</si>
  <si>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</si>
  <si>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</si>
  <si>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</si>
  <si>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</si>
  <si>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</si>
  <si>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</si>
  <si>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</si>
  <si>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</si>
  <si>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</si>
  <si>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</si>
  <si>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</si>
  <si>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</si>
  <si>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</si>
  <si>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</si>
  <si>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</si>
  <si>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</si>
  <si>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</si>
  <si>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</si>
  <si>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</si>
  <si>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</si>
  <si>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</si>
  <si>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</si>
  <si>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</si>
  <si>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</si>
  <si>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</si>
  <si>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</si>
  <si>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</si>
  <si>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</si>
  <si>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</si>
  <si>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</si>
  <si>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</si>
  <si>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</si>
  <si>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</si>
  <si>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</si>
  <si>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</si>
  <si>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</si>
  <si>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</si>
  <si>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</si>
  <si>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</si>
  <si>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</si>
  <si>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</si>
  <si>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</si>
  <si>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</si>
  <si>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</si>
  <si>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</si>
  <si>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</si>
  <si>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</si>
  <si>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</si>
  <si>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</si>
  <si>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</si>
  <si>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</si>
  <si>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</si>
  <si>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</si>
  <si>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</si>
  <si>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</si>
  <si>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</si>
  <si>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</si>
  <si>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</si>
  <si>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</si>
  <si>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</si>
  <si>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</si>
  <si>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</si>
  <si>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</si>
  <si>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</si>
  <si>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</si>
  <si>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</si>
  <si>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</si>
  <si>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</si>
  <si>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</si>
  <si>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</si>
  <si>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</si>
  <si>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</si>
  <si>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</si>
  <si>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</si>
  <si>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</si>
  <si>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</si>
  <si>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</si>
  <si>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</si>
  <si>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</si>
  <si>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</si>
  <si>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</si>
  <si>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</si>
  <si>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</si>
  <si>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</si>
  <si>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</si>
  <si>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</si>
  <si>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</si>
  <si>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</si>
  <si>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</si>
  <si>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</si>
  <si>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</si>
  <si>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</si>
  <si>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</si>
  <si>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</si>
  <si>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</si>
  <si>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</si>
  <si>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</si>
  <si>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</si>
  <si>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</si>
  <si>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</si>
  <si>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</si>
  <si>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</si>
  <si>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</si>
  <si>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</si>
  <si>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</si>
  <si>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</si>
  <si>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</si>
  <si>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</si>
  <si>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</si>
  <si>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</si>
  <si>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</si>
  <si>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</si>
  <si>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</si>
  <si>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</si>
  <si>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</si>
  <si>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</si>
  <si>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</si>
  <si>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</si>
  <si>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</si>
  <si>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</si>
  <si>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</si>
  <si>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</si>
  <si>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</si>
  <si>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</si>
  <si>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</si>
  <si>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</si>
  <si>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</si>
  <si>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</si>
  <si>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</si>
  <si>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</si>
  <si>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</si>
  <si>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</si>
  <si>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</si>
  <si>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</si>
  <si>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</si>
  <si>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</si>
  <si>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</si>
  <si>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</si>
  <si>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</si>
  <si>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</si>
  <si>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</si>
  <si>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</si>
  <si>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</si>
  <si>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</si>
  <si>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</si>
  <si>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</si>
  <si>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</si>
  <si>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</si>
  <si>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</si>
  <si>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</si>
  <si>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</si>
  <si>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</si>
  <si>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</si>
  <si>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</si>
  <si>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</si>
  <si>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</si>
  <si>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</si>
  <si>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</si>
  <si>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</si>
  <si>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</si>
  <si>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</si>
  <si>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</si>
  <si>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</si>
  <si>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</si>
  <si>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</si>
  <si>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</si>
  <si>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</si>
  <si>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</si>
  <si>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</si>
  <si>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</si>
  <si>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</si>
  <si>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</si>
  <si>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</si>
  <si>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</si>
  <si>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</si>
  <si>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</si>
  <si>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</si>
  <si>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</si>
  <si>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</si>
  <si>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</si>
  <si>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</si>
  <si>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</si>
  <si>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</si>
  <si>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</si>
  <si>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</si>
  <si>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</si>
  <si>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</si>
  <si>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</si>
  <si>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</si>
  <si>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</si>
  <si>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</si>
  <si>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</si>
  <si>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</si>
  <si>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</si>
  <si>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</si>
  <si>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</si>
  <si>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</si>
  <si>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</si>
  <si>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</si>
  <si>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</si>
  <si>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</si>
  <si>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</si>
  <si>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</si>
  <si>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</si>
  <si>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</si>
  <si>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</si>
  <si>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</si>
  <si>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</si>
  <si>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</si>
  <si>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</si>
  <si>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</si>
  <si>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</si>
  <si>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</si>
  <si>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</si>
  <si>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</si>
  <si>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</si>
  <si>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</si>
  <si>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</si>
  <si>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</si>
  <si>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</si>
  <si>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</si>
  <si>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</si>
  <si>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</si>
  <si>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</si>
  <si>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</si>
  <si>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</si>
  <si>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</si>
  <si>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</si>
  <si>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</si>
  <si>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</si>
  <si>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</si>
  <si>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</si>
  <si>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</si>
  <si>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</si>
  <si>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</si>
  <si>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</si>
  <si>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</si>
  <si>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</si>
  <si>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</si>
  <si>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</si>
  <si>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</si>
  <si>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</si>
  <si>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</si>
  <si>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</si>
  <si>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</si>
  <si>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</si>
  <si>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</si>
  <si>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</si>
  <si>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</si>
  <si>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</si>
  <si>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</si>
  <si>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</si>
  <si>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</si>
  <si>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</si>
  <si>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</si>
  <si>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</si>
  <si>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</si>
  <si>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</si>
  <si>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</si>
  <si>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</si>
  <si>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</si>
  <si>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</si>
  <si>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</si>
  <si>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</si>
  <si>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</si>
  <si>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</si>
  <si>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</si>
  <si>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</si>
  <si>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</si>
  <si>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</si>
  <si>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</si>
  <si>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</si>
  <si>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</si>
  <si>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</si>
  <si>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</si>
  <si>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</si>
  <si>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</si>
  <si>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</si>
  <si>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</si>
  <si>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</si>
  <si>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</si>
  <si>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</si>
  <si>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</si>
  <si>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</si>
  <si>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</si>
  <si>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</si>
  <si>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</si>
  <si>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</si>
  <si>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</si>
  <si>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</si>
  <si>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</si>
  <si>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</si>
  <si>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</si>
  <si>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</si>
  <si>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</si>
  <si>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</si>
  <si>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</si>
  <si>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</si>
  <si>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</si>
  <si>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</si>
  <si>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</si>
  <si>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</si>
  <si>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</si>
  <si>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</si>
  <si>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</si>
  <si>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</si>
  <si>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</si>
  <si>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</si>
  <si>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</si>
  <si>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</si>
  <si>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</si>
  <si>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</si>
  <si>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</si>
  <si>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</si>
  <si>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</si>
  <si>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</si>
  <si>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</si>
  <si>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</si>
  <si>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</si>
  <si>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</si>
  <si>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</si>
  <si>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</si>
  <si>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</si>
  <si>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</si>
  <si>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</si>
  <si>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</si>
  <si>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</si>
  <si>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</si>
  <si>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</si>
  <si>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</si>
  <si>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</si>
  <si>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</si>
  <si>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</si>
  <si>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</si>
  <si>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</si>
  <si>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</si>
  <si>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</si>
  <si>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</si>
  <si>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</si>
  <si>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</si>
  <si>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</si>
  <si>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</si>
  <si>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</si>
  <si>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</si>
  <si>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</si>
  <si>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</si>
  <si>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</si>
  <si>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</si>
  <si>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</si>
  <si>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</si>
  <si>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</si>
  <si>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</si>
  <si>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</si>
  <si>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</si>
  <si>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</si>
  <si>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</si>
  <si>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</si>
  <si>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</si>
  <si>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</si>
  <si>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</si>
  <si>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</si>
  <si>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</si>
  <si>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</si>
  <si>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</si>
  <si>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</si>
  <si>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</si>
  <si>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</si>
  <si>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</si>
  <si>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</si>
  <si>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</si>
  <si>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</si>
  <si>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</si>
  <si>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</si>
  <si>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</si>
  <si>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</si>
  <si>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</si>
  <si>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</si>
  <si>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</si>
  <si>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</si>
  <si>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</si>
  <si>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</si>
  <si>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</si>
  <si>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</si>
  <si>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</si>
  <si>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</si>
  <si>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</si>
  <si>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</si>
  <si>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</si>
  <si>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</si>
  <si>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</si>
  <si>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</si>
  <si>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</si>
  <si>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</si>
  <si>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</si>
  <si>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</si>
  <si>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</si>
  <si>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</si>
  <si>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</si>
  <si>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</si>
  <si>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</si>
  <si>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</si>
  <si>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</si>
  <si>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</si>
  <si>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</si>
  <si>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</si>
  <si>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</si>
  <si>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</si>
  <si>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</si>
  <si>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</si>
  <si>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</si>
  <si>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</si>
  <si>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</si>
  <si>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</si>
  <si>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</si>
  <si>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</si>
  <si>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</si>
  <si>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</si>
  <si>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</si>
  <si>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</si>
  <si>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</si>
  <si>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</si>
  <si>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</si>
  <si>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</si>
  <si>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</si>
  <si>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</si>
  <si>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</si>
  <si>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</si>
  <si>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</si>
  <si>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</si>
  <si>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</si>
  <si>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</si>
  <si>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</si>
  <si>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</si>
  <si>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</si>
  <si>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</si>
  <si>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</si>
  <si>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</si>
  <si>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</si>
  <si>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</si>
  <si>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</si>
  <si>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</si>
  <si>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</si>
  <si>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</si>
  <si>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</si>
  <si>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</si>
  <si>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</si>
  <si>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</si>
  <si>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</si>
  <si>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</si>
  <si>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</si>
  <si>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</si>
  <si>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</si>
  <si>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</si>
  <si>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</si>
  <si>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</si>
  <si>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</si>
  <si>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</si>
  <si>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</si>
  <si>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</si>
  <si>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</si>
  <si>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</si>
  <si>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</si>
  <si>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</si>
  <si>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</si>
  <si>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</si>
  <si>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</si>
  <si>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</si>
  <si>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</si>
  <si>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</si>
  <si>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</si>
  <si>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</si>
  <si>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</si>
  <si>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</si>
  <si>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</si>
  <si>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</si>
  <si>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</si>
  <si>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</si>
  <si>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</si>
  <si>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</si>
  <si>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</si>
  <si>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</si>
  <si>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</si>
  <si>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</si>
  <si>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</si>
  <si>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</si>
  <si>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</si>
  <si>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</si>
  <si>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</si>
  <si>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</si>
  <si>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</si>
  <si>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</si>
  <si>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</si>
  <si>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</si>
  <si>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</si>
  <si>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</si>
  <si>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</si>
  <si>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</si>
  <si>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</si>
  <si>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</si>
  <si>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</si>
  <si>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</si>
  <si>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</si>
  <si>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</si>
  <si>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</si>
  <si>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</si>
  <si>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</si>
  <si>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</si>
  <si>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</si>
  <si>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</si>
  <si>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</si>
  <si>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</si>
  <si>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</si>
  <si>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</si>
  <si>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</si>
  <si>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</si>
  <si>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</si>
  <si>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</si>
  <si>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</si>
  <si>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</si>
  <si>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</si>
  <si>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</si>
  <si>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</si>
  <si>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</si>
  <si>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</si>
  <si>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</si>
  <si>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</si>
  <si>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</si>
  <si>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</si>
  <si>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</si>
  <si>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</si>
  <si>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</si>
  <si>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</si>
  <si>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</si>
  <si>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</si>
  <si>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</si>
  <si>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</si>
  <si>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</si>
  <si>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</si>
  <si>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</si>
  <si>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</si>
  <si>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</si>
  <si>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</si>
  <si>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</si>
  <si>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</si>
  <si>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</si>
  <si>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</si>
  <si>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</si>
  <si>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</si>
  <si>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</si>
  <si>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</si>
  <si>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</si>
  <si>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</si>
  <si>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</si>
  <si>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</si>
  <si>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</si>
  <si>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</si>
  <si>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</si>
  <si>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</si>
  <si>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</si>
  <si>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</si>
  <si>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</si>
  <si>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</si>
  <si>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</si>
  <si>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</si>
  <si>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</si>
  <si>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</si>
  <si>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</si>
  <si>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</si>
  <si>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</si>
  <si>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</si>
  <si>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</si>
  <si>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</si>
  <si>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</si>
  <si>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</si>
  <si>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</si>
  <si>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</si>
  <si>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</si>
  <si>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</si>
  <si>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</si>
  <si>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</si>
  <si>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</si>
  <si>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</si>
  <si>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</si>
  <si>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</si>
  <si>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</si>
  <si>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</si>
  <si>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</si>
  <si>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</si>
  <si>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</si>
  <si>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</si>
  <si>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</si>
  <si>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</si>
  <si>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</si>
  <si>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</si>
  <si>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[0.370150]</t>
  </si>
  <si>
    <t>0 [0.789697]</t>
  </si>
  <si>
    <t>0 [1.177873]</t>
  </si>
  <si>
    <t>0 [1.590484]</t>
  </si>
  <si>
    <t>0 [1.999907]</t>
  </si>
  <si>
    <t>0 [2.406172]</t>
  </si>
  <si>
    <t>0 [2.807584]</t>
  </si>
  <si>
    <t>0 [3.216041]</t>
  </si>
  <si>
    <t>0 [3.621994]</t>
  </si>
  <si>
    <t>0 [4.045424]</t>
  </si>
  <si>
    <t>0 [4.473019]</t>
  </si>
  <si>
    <t>0 [4.847211]</t>
  </si>
  <si>
    <t>0 [5.254261]</t>
  </si>
  <si>
    <t>0 [5.654229]</t>
  </si>
  <si>
    <t>0 [6.059916]</t>
  </si>
  <si>
    <t>0 [6.469055]</t>
  </si>
  <si>
    <t>0 [6.872641]</t>
  </si>
  <si>
    <t>0 [7.281502]</t>
  </si>
  <si>
    <t>0 [7.682982]</t>
  </si>
  <si>
    <t>0 [8.092042]</t>
  </si>
  <si>
    <t>0 [8.505053]</t>
  </si>
  <si>
    <t>0 [8.903035]</t>
  </si>
  <si>
    <t>0 [9.313613]</t>
  </si>
  <si>
    <t>0 [9.713908]</t>
  </si>
  <si>
    <t>0 [10.123112]</t>
  </si>
  <si>
    <t>vision^김정국^1^64^일상센터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</si>
</sst>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79.63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79.626474999999999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3.3761799999999997</c:v>
                </c:pt>
                <c:pt idx="1">
                  <c:v>2.8731400000000002</c:v>
                </c:pt>
                <c:pt idx="2">
                  <c:v>1.8493000000000002</c:v>
                </c:pt>
                <c:pt idx="3">
                  <c:v>0.81915899999999997</c:v>
                </c:pt>
                <c:pt idx="4">
                  <c:v>0.91969999999999996</c:v>
                </c:pt>
                <c:pt idx="5">
                  <c:v>1.00329</c:v>
                </c:pt>
                <c:pt idx="6">
                  <c:v>1.0817999999999999</c:v>
                </c:pt>
                <c:pt idx="7">
                  <c:v>1.16472</c:v>
                </c:pt>
                <c:pt idx="8">
                  <c:v>1.2457400000000001</c:v>
                </c:pt>
                <c:pt idx="9">
                  <c:v>1.3236600000000001</c:v>
                </c:pt>
                <c:pt idx="10">
                  <c:v>1.3970499999999999</c:v>
                </c:pt>
                <c:pt idx="11">
                  <c:v>1.47112</c:v>
                </c:pt>
                <c:pt idx="12">
                  <c:v>1.5493899999999998</c:v>
                </c:pt>
                <c:pt idx="13">
                  <c:v>1.6333900000000001</c:v>
                </c:pt>
                <c:pt idx="14">
                  <c:v>1.7082299999999999</c:v>
                </c:pt>
                <c:pt idx="15">
                  <c:v>1.77565</c:v>
                </c:pt>
                <c:pt idx="16">
                  <c:v>1.8371899999999999</c:v>
                </c:pt>
                <c:pt idx="17">
                  <c:v>1.8917000000000002</c:v>
                </c:pt>
                <c:pt idx="18">
                  <c:v>1.9419</c:v>
                </c:pt>
                <c:pt idx="19">
                  <c:v>1.9701900000000001</c:v>
                </c:pt>
                <c:pt idx="20">
                  <c:v>1.9918100000000001</c:v>
                </c:pt>
                <c:pt idx="21">
                  <c:v>2.0048499999999998</c:v>
                </c:pt>
                <c:pt idx="22">
                  <c:v>2.0174099999999999</c:v>
                </c:pt>
                <c:pt idx="23">
                  <c:v>2.0293700000000001</c:v>
                </c:pt>
                <c:pt idx="24">
                  <c:v>2.04399</c:v>
                </c:pt>
                <c:pt idx="25">
                  <c:v>2.0567600000000001</c:v>
                </c:pt>
              </c:numCache>
            </c:numRef>
          </c:xVal>
          <c:yVal>
            <c:numRef>
              <c:f>[0]!FT_PH</c:f>
              <c:numCache>
                <c:formatCode>0.00</c:formatCode>
                <c:ptCount val="26"/>
                <c:pt idx="0">
                  <c:v>11.399900000000001</c:v>
                </c:pt>
                <c:pt idx="1">
                  <c:v>4.9921599999999993</c:v>
                </c:pt>
                <c:pt idx="2">
                  <c:v>13.095300000000002</c:v>
                </c:pt>
                <c:pt idx="3">
                  <c:v>84.729200000000006</c:v>
                </c:pt>
                <c:pt idx="4">
                  <c:v>84.511899999999997</c:v>
                </c:pt>
                <c:pt idx="5">
                  <c:v>83.289000000000001</c:v>
                </c:pt>
                <c:pt idx="6">
                  <c:v>81.683300000000003</c:v>
                </c:pt>
                <c:pt idx="7">
                  <c:v>79.633799999999994</c:v>
                </c:pt>
                <c:pt idx="8">
                  <c:v>77.914500000000004</c:v>
                </c:pt>
                <c:pt idx="9">
                  <c:v>75.991</c:v>
                </c:pt>
                <c:pt idx="10">
                  <c:v>74.011200000000002</c:v>
                </c:pt>
                <c:pt idx="11">
                  <c:v>72.25200000000001</c:v>
                </c:pt>
                <c:pt idx="12">
                  <c:v>71.477599999999995</c:v>
                </c:pt>
                <c:pt idx="13">
                  <c:v>71.565699999999993</c:v>
                </c:pt>
                <c:pt idx="14">
                  <c:v>71.844499999999996</c:v>
                </c:pt>
                <c:pt idx="15">
                  <c:v>72.186300000000003</c:v>
                </c:pt>
                <c:pt idx="16">
                  <c:v>72.7042</c:v>
                </c:pt>
                <c:pt idx="17">
                  <c:v>73.304699999999997</c:v>
                </c:pt>
                <c:pt idx="18">
                  <c:v>73.979799999999997</c:v>
                </c:pt>
                <c:pt idx="19">
                  <c:v>74.599499999999992</c:v>
                </c:pt>
                <c:pt idx="20">
                  <c:v>74.936899999999994</c:v>
                </c:pt>
                <c:pt idx="21">
                  <c:v>74.641900000000007</c:v>
                </c:pt>
                <c:pt idx="22">
                  <c:v>74.39139999999999</c:v>
                </c:pt>
                <c:pt idx="23">
                  <c:v>74.228899999999996</c:v>
                </c:pt>
                <c:pt idx="24">
                  <c:v>74.049800000000005</c:v>
                </c:pt>
                <c:pt idx="25">
                  <c:v>74.031300000000002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2.8731400000000002</c:v>
                </c:pt>
                <c:pt idx="1">
                  <c:v>2.0174099999999999</c:v>
                </c:pt>
              </c:numCache>
            </c:numRef>
          </c:xVal>
          <c:yVal>
            <c:numRef>
              <c:f>info!$W$2:$W$3</c:f>
              <c:numCache>
                <c:formatCode>0.00</c:formatCode>
                <c:ptCount val="2"/>
                <c:pt idx="0">
                  <c:v>4.9921599999999993</c:v>
                </c:pt>
                <c:pt idx="1">
                  <c:v>74.39139999999999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2.8731400000000002</c:v>
                </c:pt>
                <c:pt idx="1">
                  <c:v>0.81915899999999997</c:v>
                </c:pt>
              </c:numCache>
            </c:numRef>
          </c:xVal>
          <c:yVal>
            <c:numRef>
              <c:f>info!$W$15:$W$16</c:f>
              <c:numCache>
                <c:formatCode>0.00_ </c:formatCode>
                <c:ptCount val="2"/>
                <c:pt idx="0">
                  <c:v>4.9921599999999993</c:v>
                </c:pt>
                <c:pt idx="1">
                  <c:v>84.729200000000006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1.7298726538461533</c:v>
                </c:pt>
              </c:numCache>
            </c:numRef>
          </c:xVal>
          <c:yVal>
            <c:numRef>
              <c:f>info!$N$9</c:f>
              <c:numCache>
                <c:formatCode>0.0</c:formatCode>
                <c:ptCount val="1"/>
                <c:pt idx="0">
                  <c:v>68.132529230769237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18.502099999999999</c:v>
                </c:pt>
                <c:pt idx="1">
                  <c:v>29.701699999999999</c:v>
                </c:pt>
                <c:pt idx="2">
                  <c:v>12.746</c:v>
                </c:pt>
                <c:pt idx="3">
                  <c:v>22.298200000000001</c:v>
                </c:pt>
                <c:pt idx="4">
                  <c:v>60.947200000000002</c:v>
                </c:pt>
                <c:pt idx="5">
                  <c:v>31.298300000000001</c:v>
                </c:pt>
                <c:pt idx="6">
                  <c:v>9.4289199999999997</c:v>
                </c:pt>
                <c:pt idx="7">
                  <c:v>47.645699999999998</c:v>
                </c:pt>
                <c:pt idx="8">
                  <c:v>26.158300000000001</c:v>
                </c:pt>
                <c:pt idx="9">
                  <c:v>77.948599999999999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79.63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79.626474999999999</c:v>
                </c:pt>
                <c:pt idx="1">
                  <c:v>79.626474999999999</c:v>
                </c:pt>
                <c:pt idx="2">
                  <c:v>0</c:v>
                </c:pt>
              </c:numCache>
            </c:numRef>
          </c:xVal>
          <c:yVal>
            <c:numRef>
              <c:f>'R2'!$I$5:$I$7</c:f>
              <c:numCache>
                <c:formatCode>0.0_ </c:formatCode>
                <c:ptCount val="3"/>
                <c:pt idx="0">
                  <c:v>0</c:v>
                </c:pt>
                <c:pt idx="1">
                  <c:v>90.898421790070572</c:v>
                </c:pt>
                <c:pt idx="2">
                  <c:v>90.898421790070572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28.904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28.903666666666666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0.87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0.86711000000000005</c:v>
                </c:pt>
                <c:pt idx="1">
                  <c:v>0.86711000000000005</c:v>
                </c:pt>
                <c:pt idx="2">
                  <c:v>0</c:v>
                </c:pt>
              </c:numCache>
            </c:numRef>
          </c:xVal>
          <c:yVal>
            <c:numRef>
              <c:f>'R3'!$I$6:$I$8</c:f>
              <c:numCache>
                <c:formatCode>0.0_ </c:formatCode>
                <c:ptCount val="3"/>
                <c:pt idx="0">
                  <c:v>0</c:v>
                </c:pt>
                <c:pt idx="1">
                  <c:v>7.3691564379773826</c:v>
                </c:pt>
                <c:pt idx="2">
                  <c:v>7.3691564379773826</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-5.4287205632777464</c:v>
                </c:pt>
                <c:pt idx="1">
                  <c:v>-5.4287205632777464</c:v>
                </c:pt>
                <c:pt idx="2">
                  <c:v>-7</c:v>
                </c:pt>
              </c:numCache>
            </c:numRef>
          </c:xVal>
          <c:yVal>
            <c:numRef>
              <c:f>'R'!$I$5:$I$7</c:f>
              <c:numCache>
                <c:formatCode>0.0_ </c:formatCode>
                <c:ptCount val="3"/>
                <c:pt idx="0">
                  <c:v>0</c:v>
                </c:pt>
                <c:pt idx="1">
                  <c:v>0.65239946246276148</c:v>
                </c:pt>
                <c:pt idx="2">
                  <c:v>0.65239946246276148</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-5.4287205632777464</c:v>
                </c:pt>
              </c:numCache>
            </c:numRef>
          </c:xVal>
          <c:yVal>
            <c:numRef>
              <c:f>'R'!$I$4</c:f>
              <c:numCache>
                <c:formatCode>0.00_ </c:formatCode>
                <c:ptCount val="1"/>
                <c:pt idx="0">
                  <c:v>0.65239946246276148</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79.63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79.626474999999999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3.3761799999999997</c:v>
                </c:pt>
                <c:pt idx="1">
                  <c:v>2.8731400000000002</c:v>
                </c:pt>
                <c:pt idx="2">
                  <c:v>1.8493000000000002</c:v>
                </c:pt>
                <c:pt idx="3">
                  <c:v>0.81915899999999997</c:v>
                </c:pt>
                <c:pt idx="4">
                  <c:v>0.91969999999999996</c:v>
                </c:pt>
                <c:pt idx="5">
                  <c:v>1.00329</c:v>
                </c:pt>
                <c:pt idx="6">
                  <c:v>1.0817999999999999</c:v>
                </c:pt>
                <c:pt idx="7">
                  <c:v>1.16472</c:v>
                </c:pt>
                <c:pt idx="8">
                  <c:v>1.2457400000000001</c:v>
                </c:pt>
                <c:pt idx="9">
                  <c:v>1.3236600000000001</c:v>
                </c:pt>
                <c:pt idx="10">
                  <c:v>1.3970499999999999</c:v>
                </c:pt>
                <c:pt idx="11">
                  <c:v>1.47112</c:v>
                </c:pt>
                <c:pt idx="12">
                  <c:v>1.5493899999999998</c:v>
                </c:pt>
                <c:pt idx="13">
                  <c:v>1.6333900000000001</c:v>
                </c:pt>
                <c:pt idx="14">
                  <c:v>1.7082299999999999</c:v>
                </c:pt>
                <c:pt idx="15">
                  <c:v>1.77565</c:v>
                </c:pt>
                <c:pt idx="16">
                  <c:v>1.8371899999999999</c:v>
                </c:pt>
                <c:pt idx="17">
                  <c:v>1.8917000000000002</c:v>
                </c:pt>
                <c:pt idx="18">
                  <c:v>1.9419</c:v>
                </c:pt>
                <c:pt idx="19">
                  <c:v>1.9701900000000001</c:v>
                </c:pt>
                <c:pt idx="20">
                  <c:v>1.9918100000000001</c:v>
                </c:pt>
                <c:pt idx="21">
                  <c:v>2.0048499999999998</c:v>
                </c:pt>
                <c:pt idx="22">
                  <c:v>2.0174099999999999</c:v>
                </c:pt>
                <c:pt idx="23">
                  <c:v>2.0293700000000001</c:v>
                </c:pt>
                <c:pt idx="24">
                  <c:v>2.04399</c:v>
                </c:pt>
                <c:pt idx="25">
                  <c:v>2.0567600000000001</c:v>
                </c:pt>
              </c:numCache>
            </c:numRef>
          </c:xVal>
          <c:yVal>
            <c:numRef>
              <c:f>[0]!FT_PH</c:f>
              <c:numCache>
                <c:formatCode>0.00</c:formatCode>
                <c:ptCount val="26"/>
                <c:pt idx="0">
                  <c:v>11.399900000000001</c:v>
                </c:pt>
                <c:pt idx="1">
                  <c:v>4.9921599999999993</c:v>
                </c:pt>
                <c:pt idx="2">
                  <c:v>13.095300000000002</c:v>
                </c:pt>
                <c:pt idx="3">
                  <c:v>84.729200000000006</c:v>
                </c:pt>
                <c:pt idx="4">
                  <c:v>84.511899999999997</c:v>
                </c:pt>
                <c:pt idx="5">
                  <c:v>83.289000000000001</c:v>
                </c:pt>
                <c:pt idx="6">
                  <c:v>81.683300000000003</c:v>
                </c:pt>
                <c:pt idx="7">
                  <c:v>79.633799999999994</c:v>
                </c:pt>
                <c:pt idx="8">
                  <c:v>77.914500000000004</c:v>
                </c:pt>
                <c:pt idx="9">
                  <c:v>75.991</c:v>
                </c:pt>
                <c:pt idx="10">
                  <c:v>74.011200000000002</c:v>
                </c:pt>
                <c:pt idx="11">
                  <c:v>72.25200000000001</c:v>
                </c:pt>
                <c:pt idx="12">
                  <c:v>71.477599999999995</c:v>
                </c:pt>
                <c:pt idx="13">
                  <c:v>71.565699999999993</c:v>
                </c:pt>
                <c:pt idx="14">
                  <c:v>71.844499999999996</c:v>
                </c:pt>
                <c:pt idx="15">
                  <c:v>72.186300000000003</c:v>
                </c:pt>
                <c:pt idx="16">
                  <c:v>72.7042</c:v>
                </c:pt>
                <c:pt idx="17">
                  <c:v>73.304699999999997</c:v>
                </c:pt>
                <c:pt idx="18">
                  <c:v>73.979799999999997</c:v>
                </c:pt>
                <c:pt idx="19">
                  <c:v>74.599499999999992</c:v>
                </c:pt>
                <c:pt idx="20">
                  <c:v>74.936899999999994</c:v>
                </c:pt>
                <c:pt idx="21">
                  <c:v>74.641900000000007</c:v>
                </c:pt>
                <c:pt idx="22">
                  <c:v>74.39139999999999</c:v>
                </c:pt>
                <c:pt idx="23">
                  <c:v>74.228899999999996</c:v>
                </c:pt>
                <c:pt idx="24">
                  <c:v>74.049800000000005</c:v>
                </c:pt>
                <c:pt idx="25">
                  <c:v>74.031300000000002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2.8731400000000002</c:v>
                </c:pt>
                <c:pt idx="1">
                  <c:v>2.0174099999999999</c:v>
                </c:pt>
              </c:numCache>
            </c:numRef>
          </c:xVal>
          <c:yVal>
            <c:numRef>
              <c:f>info!$W$2:$W$3</c:f>
              <c:numCache>
                <c:formatCode>0.00</c:formatCode>
                <c:ptCount val="2"/>
                <c:pt idx="0">
                  <c:v>4.9921599999999993</c:v>
                </c:pt>
                <c:pt idx="1">
                  <c:v>74.39139999999999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2.8731400000000002</c:v>
                </c:pt>
                <c:pt idx="1">
                  <c:v>0.81915899999999997</c:v>
                </c:pt>
              </c:numCache>
            </c:numRef>
          </c:xVal>
          <c:yVal>
            <c:numRef>
              <c:f>info!$W$15:$W$16</c:f>
              <c:numCache>
                <c:formatCode>0.00_ </c:formatCode>
                <c:ptCount val="2"/>
                <c:pt idx="0">
                  <c:v>4.9921599999999993</c:v>
                </c:pt>
                <c:pt idx="1">
                  <c:v>84.729200000000006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1.7298726538461533</c:v>
                </c:pt>
              </c:numCache>
            </c:numRef>
          </c:xVal>
          <c:yVal>
            <c:numRef>
              <c:f>info!$N$9</c:f>
              <c:numCache>
                <c:formatCode>0.0</c:formatCode>
                <c:ptCount val="1"/>
                <c:pt idx="0">
                  <c:v>68.132529230769237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18.502099999999999</c:v>
                </c:pt>
                <c:pt idx="1">
                  <c:v>29.701699999999999</c:v>
                </c:pt>
                <c:pt idx="2">
                  <c:v>12.746</c:v>
                </c:pt>
                <c:pt idx="3">
                  <c:v>22.298200000000001</c:v>
                </c:pt>
                <c:pt idx="4">
                  <c:v>60.947200000000002</c:v>
                </c:pt>
                <c:pt idx="5">
                  <c:v>31.298300000000001</c:v>
                </c:pt>
                <c:pt idx="6">
                  <c:v>9.4289199999999997</c:v>
                </c:pt>
                <c:pt idx="7">
                  <c:v>47.645699999999998</c:v>
                </c:pt>
                <c:pt idx="8">
                  <c:v>26.158300000000001</c:v>
                </c:pt>
                <c:pt idx="9">
                  <c:v>77.948599999999999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79.63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79.626474999999999</c:v>
                </c:pt>
                <c:pt idx="1">
                  <c:v>79.626474999999999</c:v>
                </c:pt>
                <c:pt idx="2">
                  <c:v>0</c:v>
                </c:pt>
              </c:numCache>
            </c:numRef>
          </c:xVal>
          <c:yVal>
            <c:numRef>
              <c:f>'R2'!$I$5:$I$7</c:f>
              <c:numCache>
                <c:formatCode>0.0_ </c:formatCode>
                <c:ptCount val="3"/>
                <c:pt idx="0">
                  <c:v>0</c:v>
                </c:pt>
                <c:pt idx="1">
                  <c:v>90.898421790070572</c:v>
                </c:pt>
                <c:pt idx="2">
                  <c:v>90.898421790070572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28.904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28.903666666666666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0.87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0.86711000000000005</c:v>
                </c:pt>
                <c:pt idx="1">
                  <c:v>0.86711000000000005</c:v>
                </c:pt>
                <c:pt idx="2">
                  <c:v>0</c:v>
                </c:pt>
              </c:numCache>
            </c:numRef>
          </c:xVal>
          <c:yVal>
            <c:numRef>
              <c:f>'R3'!$I$6:$I$8</c:f>
              <c:numCache>
                <c:formatCode>0.0_ </c:formatCode>
                <c:ptCount val="3"/>
                <c:pt idx="0">
                  <c:v>0</c:v>
                </c:pt>
                <c:pt idx="1">
                  <c:v>7.3691564379773826</c:v>
                </c:pt>
                <c:pt idx="2">
                  <c:v>7.3691564379773826</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-5.4287205632777464</c:v>
                </c:pt>
                <c:pt idx="1">
                  <c:v>-5.4287205632777464</c:v>
                </c:pt>
                <c:pt idx="2">
                  <c:v>-7</c:v>
                </c:pt>
              </c:numCache>
            </c:numRef>
          </c:xVal>
          <c:yVal>
            <c:numRef>
              <c:f>'R'!$I$5:$I$7</c:f>
              <c:numCache>
                <c:formatCode>0.0_ </c:formatCode>
                <c:ptCount val="3"/>
                <c:pt idx="0">
                  <c:v>0</c:v>
                </c:pt>
                <c:pt idx="1">
                  <c:v>0.65239946246276148</c:v>
                </c:pt>
                <c:pt idx="2">
                  <c:v>0.65239946246276148</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-5.4287205632777464</c:v>
                </c:pt>
              </c:numCache>
            </c:numRef>
          </c:xVal>
          <c:yVal>
            <c:numRef>
              <c:f>'R'!$I$4</c:f>
              <c:numCache>
                <c:formatCode>0.00_ </c:formatCode>
                <c:ptCount val="1"/>
                <c:pt idx="0">
                  <c:v>0.65239946246276148</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0.37014999999999998</c:v>
                </c:pt>
                <c:pt idx="2">
                  <c:v>0.78969699999999998</c:v>
                </c:pt>
                <c:pt idx="3">
                  <c:v>1.17787</c:v>
                </c:pt>
                <c:pt idx="4">
                  <c:v>1.5904799999999999</c:v>
                </c:pt>
                <c:pt idx="5">
                  <c:v>1.9999100000000001</c:v>
                </c:pt>
                <c:pt idx="6">
                  <c:v>2.4061699999999999</c:v>
                </c:pt>
                <c:pt idx="7">
                  <c:v>2.8075800000000002</c:v>
                </c:pt>
                <c:pt idx="8">
                  <c:v>3.21604</c:v>
                </c:pt>
                <c:pt idx="9">
                  <c:v>3.6219899999999998</c:v>
                </c:pt>
                <c:pt idx="10">
                  <c:v>4.04542</c:v>
                </c:pt>
                <c:pt idx="11">
                  <c:v>4.47302</c:v>
                </c:pt>
                <c:pt idx="12">
                  <c:v>4.8472099999999996</c:v>
                </c:pt>
                <c:pt idx="13">
                  <c:v>5.2542600000000004</c:v>
                </c:pt>
                <c:pt idx="14">
                  <c:v>5.6542300000000001</c:v>
                </c:pt>
                <c:pt idx="15">
                  <c:v>6.05992</c:v>
                </c:pt>
                <c:pt idx="16">
                  <c:v>6.4690500000000002</c:v>
                </c:pt>
                <c:pt idx="17">
                  <c:v>6.8726399999999996</c:v>
                </c:pt>
                <c:pt idx="18">
                  <c:v>7.2815000000000003</c:v>
                </c:pt>
                <c:pt idx="19">
                  <c:v>7.6829799999999997</c:v>
                </c:pt>
                <c:pt idx="20">
                  <c:v>8.0920400000000008</c:v>
                </c:pt>
                <c:pt idx="21">
                  <c:v>8.5050500000000007</c:v>
                </c:pt>
                <c:pt idx="22">
                  <c:v>8.9030400000000007</c:v>
                </c:pt>
                <c:pt idx="23">
                  <c:v>9.3136100000000006</c:v>
                </c:pt>
                <c:pt idx="24">
                  <c:v>9.7139100000000003</c:v>
                </c:pt>
                <c:pt idx="25">
                  <c:v>10.123100000000001</c:v>
                </c:pt>
              </c:numCache>
            </c:numRef>
          </c:xVal>
          <c:yVal>
            <c:numRef>
              <c:f>FT!$J$2:$J$2000</c:f>
              <c:numCache>
                <c:formatCode>General</c:formatCode>
                <c:ptCount val="1999"/>
                <c:pt idx="0">
                  <c:v>3.3761799999999997</c:v>
                </c:pt>
                <c:pt idx="1">
                  <c:v>2.8731400000000002</c:v>
                </c:pt>
                <c:pt idx="2">
                  <c:v>1.8493000000000002</c:v>
                </c:pt>
                <c:pt idx="3">
                  <c:v>0.81915899999999997</c:v>
                </c:pt>
                <c:pt idx="4">
                  <c:v>0.91969999999999996</c:v>
                </c:pt>
                <c:pt idx="5">
                  <c:v>1.00329</c:v>
                </c:pt>
                <c:pt idx="6">
                  <c:v>1.0817999999999999</c:v>
                </c:pt>
                <c:pt idx="7">
                  <c:v>1.16472</c:v>
                </c:pt>
                <c:pt idx="8">
                  <c:v>1.2457400000000001</c:v>
                </c:pt>
                <c:pt idx="9">
                  <c:v>1.3236600000000001</c:v>
                </c:pt>
                <c:pt idx="10">
                  <c:v>1.3970499999999999</c:v>
                </c:pt>
                <c:pt idx="11">
                  <c:v>1.47112</c:v>
                </c:pt>
                <c:pt idx="12">
                  <c:v>1.5493899999999998</c:v>
                </c:pt>
                <c:pt idx="13">
                  <c:v>1.6333900000000001</c:v>
                </c:pt>
                <c:pt idx="14">
                  <c:v>1.7082299999999999</c:v>
                </c:pt>
                <c:pt idx="15">
                  <c:v>1.77565</c:v>
                </c:pt>
                <c:pt idx="16">
                  <c:v>1.8371899999999999</c:v>
                </c:pt>
                <c:pt idx="17">
                  <c:v>1.8917000000000002</c:v>
                </c:pt>
                <c:pt idx="18">
                  <c:v>1.9419</c:v>
                </c:pt>
                <c:pt idx="19">
                  <c:v>1.9701900000000001</c:v>
                </c:pt>
                <c:pt idx="20">
                  <c:v>1.9918100000000001</c:v>
                </c:pt>
                <c:pt idx="21">
                  <c:v>2.0048499999999998</c:v>
                </c:pt>
                <c:pt idx="22">
                  <c:v>2.0174099999999999</c:v>
                </c:pt>
                <c:pt idx="23">
                  <c:v>2.0293700000000001</c:v>
                </c:pt>
                <c:pt idx="24">
                  <c:v>2.04399</c:v>
                </c:pt>
                <c:pt idx="25">
                  <c:v>2.0567600000000001</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3.3761799999999997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3.3761799999999997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3.3761799999999997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3.3761799999999997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3.3761799999999997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3.3761799999999997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3.3761799999999997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3.3761799999999997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3.3761799999999997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3.3761799999999997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3.3761799999999997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3.3761799999999997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3.3761799999999997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3.3761799999999997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3.3761799999999997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3.3761799999999997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3.3761799999999997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3.3761799999999997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3.3761799999999997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3.3761799999999997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3.3761799999999997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3.3761799999999997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3.3761799999999997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3.3761799999999997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0.37014999999999998</c:v>
                </c:pt>
                <c:pt idx="2">
                  <c:v>0.78969699999999998</c:v>
                </c:pt>
                <c:pt idx="3">
                  <c:v>1.17787</c:v>
                </c:pt>
                <c:pt idx="4">
                  <c:v>1.5904799999999999</c:v>
                </c:pt>
                <c:pt idx="5">
                  <c:v>1.9999100000000001</c:v>
                </c:pt>
                <c:pt idx="6">
                  <c:v>2.4061699999999999</c:v>
                </c:pt>
                <c:pt idx="7">
                  <c:v>2.8075800000000002</c:v>
                </c:pt>
                <c:pt idx="8">
                  <c:v>3.21604</c:v>
                </c:pt>
                <c:pt idx="9">
                  <c:v>3.6219899999999998</c:v>
                </c:pt>
                <c:pt idx="10">
                  <c:v>4.04542</c:v>
                </c:pt>
                <c:pt idx="11">
                  <c:v>4.47302</c:v>
                </c:pt>
                <c:pt idx="12">
                  <c:v>4.8472099999999996</c:v>
                </c:pt>
                <c:pt idx="13">
                  <c:v>5.2542600000000004</c:v>
                </c:pt>
                <c:pt idx="14">
                  <c:v>5.6542300000000001</c:v>
                </c:pt>
                <c:pt idx="15">
                  <c:v>6.05992</c:v>
                </c:pt>
                <c:pt idx="16">
                  <c:v>6.4690500000000002</c:v>
                </c:pt>
                <c:pt idx="17">
                  <c:v>6.8726399999999996</c:v>
                </c:pt>
                <c:pt idx="18">
                  <c:v>7.2815000000000003</c:v>
                </c:pt>
                <c:pt idx="19">
                  <c:v>7.6829799999999997</c:v>
                </c:pt>
                <c:pt idx="20">
                  <c:v>8.0920400000000008</c:v>
                </c:pt>
                <c:pt idx="21">
                  <c:v>8.5050500000000007</c:v>
                </c:pt>
                <c:pt idx="22">
                  <c:v>8.9030400000000007</c:v>
                </c:pt>
                <c:pt idx="23">
                  <c:v>9.3136100000000006</c:v>
                </c:pt>
                <c:pt idx="24">
                  <c:v>9.7139100000000003</c:v>
                </c:pt>
                <c:pt idx="25">
                  <c:v>10.123100000000001</c:v>
                </c:pt>
              </c:numCache>
            </c:numRef>
          </c:xVal>
          <c:yVal>
            <c:numRef>
              <c:f>FT!$K$2:$K$2000</c:f>
              <c:numCache>
                <c:formatCode>General</c:formatCode>
                <c:ptCount val="1999"/>
                <c:pt idx="0">
                  <c:v>11.399900000000001</c:v>
                </c:pt>
                <c:pt idx="1">
                  <c:v>4.9921599999999993</c:v>
                </c:pt>
                <c:pt idx="2">
                  <c:v>13.095300000000002</c:v>
                </c:pt>
                <c:pt idx="3">
                  <c:v>84.729200000000006</c:v>
                </c:pt>
                <c:pt idx="4">
                  <c:v>84.511899999999997</c:v>
                </c:pt>
                <c:pt idx="5">
                  <c:v>83.289000000000001</c:v>
                </c:pt>
                <c:pt idx="6">
                  <c:v>81.683300000000003</c:v>
                </c:pt>
                <c:pt idx="7">
                  <c:v>79.633799999999994</c:v>
                </c:pt>
                <c:pt idx="8">
                  <c:v>77.914500000000004</c:v>
                </c:pt>
                <c:pt idx="9">
                  <c:v>75.991</c:v>
                </c:pt>
                <c:pt idx="10">
                  <c:v>74.011200000000002</c:v>
                </c:pt>
                <c:pt idx="11">
                  <c:v>72.25200000000001</c:v>
                </c:pt>
                <c:pt idx="12">
                  <c:v>71.477599999999995</c:v>
                </c:pt>
                <c:pt idx="13">
                  <c:v>71.565699999999993</c:v>
                </c:pt>
                <c:pt idx="14">
                  <c:v>71.844499999999996</c:v>
                </c:pt>
                <c:pt idx="15">
                  <c:v>72.186300000000003</c:v>
                </c:pt>
                <c:pt idx="16">
                  <c:v>72.7042</c:v>
                </c:pt>
                <c:pt idx="17">
                  <c:v>73.304699999999997</c:v>
                </c:pt>
                <c:pt idx="18">
                  <c:v>73.979799999999997</c:v>
                </c:pt>
                <c:pt idx="19">
                  <c:v>74.599499999999992</c:v>
                </c:pt>
                <c:pt idx="20">
                  <c:v>74.936899999999994</c:v>
                </c:pt>
                <c:pt idx="21">
                  <c:v>74.641900000000007</c:v>
                </c:pt>
                <c:pt idx="22">
                  <c:v>74.39139999999999</c:v>
                </c:pt>
                <c:pt idx="23">
                  <c:v>74.228899999999996</c:v>
                </c:pt>
                <c:pt idx="24">
                  <c:v>74.049800000000005</c:v>
                </c:pt>
                <c:pt idx="25">
                  <c:v>74.031300000000002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11.399900000000001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11.399900000000001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11.399900000000001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11.399900000000001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11.399900000000001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11.399900000000001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11.399900000000001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11.399900000000001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11.399900000000001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11.399900000000001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11.399900000000001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11.399900000000001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11.399900000000001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11.399900000000001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11.399900000000001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11.399900000000001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11.399900000000001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11.399900000000001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11.399900000000001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11.399900000000001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11.399900000000001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11.399900000000001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11.399900000000001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11.399900000000001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0.37014999999999998</c:v>
                </c:pt>
                <c:pt idx="2">
                  <c:v>0.78969699999999998</c:v>
                </c:pt>
                <c:pt idx="3">
                  <c:v>1.17787</c:v>
                </c:pt>
                <c:pt idx="4">
                  <c:v>1.5904799999999999</c:v>
                </c:pt>
                <c:pt idx="5">
                  <c:v>1.9999100000000001</c:v>
                </c:pt>
                <c:pt idx="6">
                  <c:v>2.4061699999999999</c:v>
                </c:pt>
                <c:pt idx="7">
                  <c:v>2.8075800000000002</c:v>
                </c:pt>
                <c:pt idx="8">
                  <c:v>3.21604</c:v>
                </c:pt>
                <c:pt idx="9">
                  <c:v>3.6219899999999998</c:v>
                </c:pt>
                <c:pt idx="10">
                  <c:v>4.04542</c:v>
                </c:pt>
                <c:pt idx="11">
                  <c:v>4.47302</c:v>
                </c:pt>
                <c:pt idx="12">
                  <c:v>4.8472099999999996</c:v>
                </c:pt>
                <c:pt idx="13">
                  <c:v>5.2542600000000004</c:v>
                </c:pt>
                <c:pt idx="14">
                  <c:v>5.6542300000000001</c:v>
                </c:pt>
                <c:pt idx="15">
                  <c:v>6.05992</c:v>
                </c:pt>
                <c:pt idx="16">
                  <c:v>6.4690500000000002</c:v>
                </c:pt>
                <c:pt idx="17">
                  <c:v>6.8726399999999996</c:v>
                </c:pt>
                <c:pt idx="18">
                  <c:v>7.2815000000000003</c:v>
                </c:pt>
                <c:pt idx="19">
                  <c:v>7.6829799999999997</c:v>
                </c:pt>
                <c:pt idx="20">
                  <c:v>8.0920400000000008</c:v>
                </c:pt>
                <c:pt idx="21">
                  <c:v>8.5050500000000007</c:v>
                </c:pt>
                <c:pt idx="22">
                  <c:v>8.9030400000000007</c:v>
                </c:pt>
                <c:pt idx="23">
                  <c:v>9.3136100000000006</c:v>
                </c:pt>
                <c:pt idx="24">
                  <c:v>9.7139100000000003</c:v>
                </c:pt>
                <c:pt idx="25">
                  <c:v>10.123100000000001</c:v>
                </c:pt>
              </c:numCache>
            </c:numRef>
          </c:xVal>
          <c:yVal>
            <c:numRef>
              <c:f>FT!$L$2:$L$2000</c:f>
              <c:numCache>
                <c:formatCode>General</c:formatCode>
                <c:ptCount val="1999"/>
                <c:pt idx="0">
                  <c:v>3.376567600068717</c:v>
                </c:pt>
                <c:pt idx="1">
                  <c:v>1.737527583062433</c:v>
                </c:pt>
                <c:pt idx="2">
                  <c:v>7.0812199210512086</c:v>
                </c:pt>
                <c:pt idx="3">
                  <c:v>103.43437598805605</c:v>
                </c:pt>
                <c:pt idx="4">
                  <c:v>91.890725236490155</c:v>
                </c:pt>
                <c:pt idx="5">
                  <c:v>83.015877762162489</c:v>
                </c:pt>
                <c:pt idx="6">
                  <c:v>75.506840451100032</c:v>
                </c:pt>
                <c:pt idx="7">
                  <c:v>68.371625798475165</c:v>
                </c:pt>
                <c:pt idx="8">
                  <c:v>62.544752516576494</c:v>
                </c:pt>
                <c:pt idx="9">
                  <c:v>57.409757792786664</c:v>
                </c:pt>
                <c:pt idx="10">
                  <c:v>52.976772484878857</c:v>
                </c:pt>
                <c:pt idx="11">
                  <c:v>49.113600522051236</c:v>
                </c:pt>
                <c:pt idx="12">
                  <c:v>46.132736109049368</c:v>
                </c:pt>
                <c:pt idx="13">
                  <c:v>43.81421460888091</c:v>
                </c:pt>
                <c:pt idx="14">
                  <c:v>42.05786106086417</c:v>
                </c:pt>
                <c:pt idx="15">
                  <c:v>40.653450848984882</c:v>
                </c:pt>
                <c:pt idx="16">
                  <c:v>39.5735879250377</c:v>
                </c:pt>
                <c:pt idx="17">
                  <c:v>38.750700428186285</c:v>
                </c:pt>
                <c:pt idx="18">
                  <c:v>38.096606416396313</c:v>
                </c:pt>
                <c:pt idx="19">
                  <c:v>37.86411462853836</c:v>
                </c:pt>
                <c:pt idx="20">
                  <c:v>37.622514195631105</c:v>
                </c:pt>
                <c:pt idx="21">
                  <c:v>37.230665635833113</c:v>
                </c:pt>
                <c:pt idx="22">
                  <c:v>36.874705686994709</c:v>
                </c:pt>
                <c:pt idx="23">
                  <c:v>36.577312170772203</c:v>
                </c:pt>
                <c:pt idx="24">
                  <c:v>36.228063738080913</c:v>
                </c:pt>
                <c:pt idx="25">
                  <c:v>35.994136408720507</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info!$C$2:$C$257</c:f>
              <c:numCache>
                <c:formatCode>0.00</c:formatCode>
                <c:ptCount val="256"/>
                <c:pt idx="0">
                  <c:v>0</c:v>
                </c:pt>
                <c:pt idx="1">
                  <c:v>0</c:v>
                </c:pt>
                <c:pt idx="2">
                  <c:v>0</c:v>
                </c:pt>
                <c:pt idx="3">
                  <c:v>0</c:v>
                </c:pt>
                <c:pt idx="4">
                  <c:v>0</c:v>
                </c:pt>
                <c:pt idx="5">
                  <c:v>0</c:v>
                </c:pt>
                <c:pt idx="6">
                  <c:v>3.1092040958808471E-2</c:v>
                </c:pt>
                <c:pt idx="7">
                  <c:v>0</c:v>
                </c:pt>
                <c:pt idx="8">
                  <c:v>0.32085175703979518</c:v>
                </c:pt>
                <c:pt idx="9">
                  <c:v>0</c:v>
                </c:pt>
                <c:pt idx="10">
                  <c:v>0</c:v>
                </c:pt>
                <c:pt idx="11">
                  <c:v>0.19281543895193637</c:v>
                </c:pt>
                <c:pt idx="12">
                  <c:v>0</c:v>
                </c:pt>
                <c:pt idx="13">
                  <c:v>5.0686867718928393E-2</c:v>
                </c:pt>
                <c:pt idx="14">
                  <c:v>0</c:v>
                </c:pt>
                <c:pt idx="15">
                  <c:v>0</c:v>
                </c:pt>
                <c:pt idx="16">
                  <c:v>3.0331524045503704E-2</c:v>
                </c:pt>
                <c:pt idx="17">
                  <c:v>0</c:v>
                </c:pt>
                <c:pt idx="18">
                  <c:v>0</c:v>
                </c:pt>
                <c:pt idx="19">
                  <c:v>3.4089378362469031E-2</c:v>
                </c:pt>
                <c:pt idx="20">
                  <c:v>0</c:v>
                </c:pt>
                <c:pt idx="21">
                  <c:v>6.9520801106106853E-2</c:v>
                </c:pt>
                <c:pt idx="22">
                  <c:v>0</c:v>
                </c:pt>
                <c:pt idx="23">
                  <c:v>0</c:v>
                </c:pt>
                <c:pt idx="24">
                  <c:v>0.12673924352147189</c:v>
                </c:pt>
                <c:pt idx="25">
                  <c:v>0</c:v>
                </c:pt>
                <c:pt idx="26">
                  <c:v>0.23688106613369109</c:v>
                </c:pt>
                <c:pt idx="27">
                  <c:v>0</c:v>
                </c:pt>
                <c:pt idx="28">
                  <c:v>0</c:v>
                </c:pt>
                <c:pt idx="29">
                  <c:v>0.35838615176114663</c:v>
                </c:pt>
                <c:pt idx="30">
                  <c:v>0</c:v>
                </c:pt>
                <c:pt idx="31">
                  <c:v>0.45546482498049257</c:v>
                </c:pt>
                <c:pt idx="32">
                  <c:v>0</c:v>
                </c:pt>
                <c:pt idx="33">
                  <c:v>0</c:v>
                </c:pt>
                <c:pt idx="34">
                  <c:v>0.44839765089186712</c:v>
                </c:pt>
                <c:pt idx="35">
                  <c:v>0</c:v>
                </c:pt>
                <c:pt idx="36">
                  <c:v>0</c:v>
                </c:pt>
                <c:pt idx="37">
                  <c:v>0.43103943928048294</c:v>
                </c:pt>
                <c:pt idx="38">
                  <c:v>0</c:v>
                </c:pt>
                <c:pt idx="39">
                  <c:v>0.45582417281550741</c:v>
                </c:pt>
                <c:pt idx="40">
                  <c:v>0</c:v>
                </c:pt>
                <c:pt idx="41">
                  <c:v>0</c:v>
                </c:pt>
                <c:pt idx="42">
                  <c:v>0.67216868129611629</c:v>
                </c:pt>
                <c:pt idx="43">
                  <c:v>0</c:v>
                </c:pt>
                <c:pt idx="44">
                  <c:v>0.79193075880573316</c:v>
                </c:pt>
                <c:pt idx="45">
                  <c:v>0</c:v>
                </c:pt>
                <c:pt idx="46">
                  <c:v>0</c:v>
                </c:pt>
                <c:pt idx="47">
                  <c:v>1</c:v>
                </c:pt>
                <c:pt idx="48">
                  <c:v>0</c:v>
                </c:pt>
                <c:pt idx="49">
                  <c:v>0.95173102985667157</c:v>
                </c:pt>
                <c:pt idx="50">
                  <c:v>0</c:v>
                </c:pt>
                <c:pt idx="51">
                  <c:v>0</c:v>
                </c:pt>
                <c:pt idx="52">
                  <c:v>0.93853098605045926</c:v>
                </c:pt>
                <c:pt idx="53">
                  <c:v>0</c:v>
                </c:pt>
                <c:pt idx="54">
                  <c:v>0</c:v>
                </c:pt>
                <c:pt idx="55">
                  <c:v>0.83335500828211206</c:v>
                </c:pt>
                <c:pt idx="56">
                  <c:v>0</c:v>
                </c:pt>
                <c:pt idx="57">
                  <c:v>0.7452258073348027</c:v>
                </c:pt>
                <c:pt idx="58">
                  <c:v>0</c:v>
                </c:pt>
                <c:pt idx="59">
                  <c:v>0</c:v>
                </c:pt>
                <c:pt idx="60">
                  <c:v>0.57155813221262441</c:v>
                </c:pt>
                <c:pt idx="61">
                  <c:v>0</c:v>
                </c:pt>
                <c:pt idx="62">
                  <c:v>0.41457446371613571</c:v>
                </c:pt>
                <c:pt idx="63">
                  <c:v>0</c:v>
                </c:pt>
                <c:pt idx="64">
                  <c:v>0</c:v>
                </c:pt>
                <c:pt idx="65">
                  <c:v>0.20391004668099494</c:v>
                </c:pt>
                <c:pt idx="66">
                  <c:v>0</c:v>
                </c:pt>
                <c:pt idx="67">
                  <c:v>0.14602082164026889</c:v>
                </c:pt>
                <c:pt idx="68">
                  <c:v>0</c:v>
                </c:pt>
                <c:pt idx="69">
                  <c:v>0</c:v>
                </c:pt>
                <c:pt idx="70">
                  <c:v>0.11206553135566537</c:v>
                </c:pt>
                <c:pt idx="71">
                  <c:v>0</c:v>
                </c:pt>
                <c:pt idx="72">
                  <c:v>0</c:v>
                </c:pt>
                <c:pt idx="73">
                  <c:v>0.10182069569740858</c:v>
                </c:pt>
                <c:pt idx="74">
                  <c:v>0</c:v>
                </c:pt>
                <c:pt idx="75">
                  <c:v>4.8986639105258113E-2</c:v>
                </c:pt>
                <c:pt idx="76">
                  <c:v>0</c:v>
                </c:pt>
                <c:pt idx="77">
                  <c:v>0</c:v>
                </c:pt>
                <c:pt idx="78">
                  <c:v>3.1494647428438445E-2</c:v>
                </c:pt>
                <c:pt idx="79">
                  <c:v>0</c:v>
                </c:pt>
                <c:pt idx="80">
                  <c:v>5.8157880326903857E-3</c:v>
                </c:pt>
                <c:pt idx="81">
                  <c:v>0</c:v>
                </c:pt>
                <c:pt idx="82">
                  <c:v>0</c:v>
                </c:pt>
                <c:pt idx="83">
                  <c:v>2.3263117907158211E-3</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info!$E$2:$E$257</c:f>
              <c:numCache>
                <c:formatCode>0.00</c:formatCode>
                <c:ptCount val="256"/>
                <c:pt idx="0">
                  <c:v>1.191292122966256E-5</c:v>
                </c:pt>
                <c:pt idx="1">
                  <c:v>1.4771254063813019E-5</c:v>
                </c:pt>
                <c:pt idx="2">
                  <c:v>1.8277544537288648E-5</c:v>
                </c:pt>
                <c:pt idx="3">
                  <c:v>2.2569384666695371E-5</c:v>
                </c:pt>
                <c:pt idx="4">
                  <c:v>2.7811407680551124E-5</c:v>
                </c:pt>
                <c:pt idx="5">
                  <c:v>3.4200118355976086E-5</c:v>
                </c:pt>
                <c:pt idx="6">
                  <c:v>4.1969484184793039E-5</c:v>
                </c:pt>
                <c:pt idx="7">
                  <c:v>5.1397386866100362E-5</c:v>
                </c:pt>
                <c:pt idx="8">
                  <c:v>6.2813042761581978E-5</c:v>
                </c:pt>
                <c:pt idx="9">
                  <c:v>7.6605510193685926E-5</c:v>
                </c:pt>
                <c:pt idx="10">
                  <c:v>9.3233410648691951E-5</c:v>
                </c:pt>
                <c:pt idx="11">
                  <c:v>1.132359998636666E-4</c:v>
                </c:pt>
                <c:pt idx="12">
                  <c:v>1.3724573318592807E-4</c:v>
                </c:pt>
                <c:pt idx="13">
                  <c:v>1.6600247721131861E-4</c:v>
                </c:pt>
                <c:pt idx="14">
                  <c:v>2.003695262044659E-4</c:v>
                </c:pt>
                <c:pt idx="15">
                  <c:v>2.4135158680559619E-4</c:v>
                </c:pt>
                <c:pt idx="16">
                  <c:v>2.9011489761363837E-4</c:v>
                </c:pt>
                <c:pt idx="17">
                  <c:v>3.4800965093789385E-4</c:v>
                </c:pt>
                <c:pt idx="18">
                  <c:v>4.1659488182078426E-4</c:v>
                </c:pt>
                <c:pt idx="19">
                  <c:v>4.9766598380262606E-4</c:v>
                </c:pt>
                <c:pt idx="20">
                  <c:v>5.9328500124227292E-4</c:v>
                </c:pt>
                <c:pt idx="21">
                  <c:v>7.0581383371467077E-4</c:v>
                </c:pt>
                <c:pt idx="22">
                  <c:v>8.3795046845069844E-4</c:v>
                </c:pt>
                <c:pt idx="23">
                  <c:v>9.9276833133476127E-4</c:v>
                </c:pt>
                <c:pt idx="24">
                  <c:v>1.173758815010095E-3</c:v>
                </c:pt>
                <c:pt idx="25">
                  <c:v>1.384877003567264E-3</c:v>
                </c:pt>
                <c:pt idx="26">
                  <c:v>1.6305905665619661E-3</c:v>
                </c:pt>
                <c:pt idx="27">
                  <c:v>1.9159317402483616E-3</c:v>
                </c:pt>
                <c:pt idx="28">
                  <c:v>2.2465522505429204E-3</c:v>
                </c:pt>
                <c:pt idx="29">
                  <c:v>2.6287809600922616E-3</c:v>
                </c:pt>
                <c:pt idx="30">
                  <c:v>3.0696839407975628E-3</c:v>
                </c:pt>
                <c:pt idx="31">
                  <c:v>3.5771265833185397E-3</c:v>
                </c:pt>
                <c:pt idx="32">
                  <c:v>4.1598372567217103E-3</c:v>
                </c:pt>
                <c:pt idx="33">
                  <c:v>4.8274719250690941E-3</c:v>
                </c:pt>
                <c:pt idx="34">
                  <c:v>5.5906790141509516E-3</c:v>
                </c:pt>
                <c:pt idx="35">
                  <c:v>6.4611637018270468E-3</c:v>
                </c:pt>
                <c:pt idx="36">
                  <c:v>7.4517506809490897E-3</c:v>
                </c:pt>
                <c:pt idx="37">
                  <c:v>8.5764443163170792E-3</c:v>
                </c:pt>
                <c:pt idx="38">
                  <c:v>9.8504849886441159E-3</c:v>
                </c:pt>
                <c:pt idx="39">
                  <c:v>1.129040029148352E-2</c:v>
                </c:pt>
                <c:pt idx="40">
                  <c:v>1.2914049624270193E-2</c:v>
                </c:pt>
                <c:pt idx="41">
                  <c:v>1.4740660609133042E-2</c:v>
                </c:pt>
                <c:pt idx="42">
                  <c:v>1.6790855654339836E-2</c:v>
                </c:pt>
                <c:pt idx="43">
                  <c:v>1.9086666896800004E-2</c:v>
                </c:pt>
                <c:pt idx="44">
                  <c:v>2.1651537683848452E-2</c:v>
                </c:pt>
                <c:pt idx="45">
                  <c:v>2.4510308704597819E-2</c:v>
                </c:pt>
                <c:pt idx="46">
                  <c:v>2.7689186857580463E-2</c:v>
                </c:pt>
                <c:pt idx="47">
                  <c:v>3.1215694948309905E-2</c:v>
                </c:pt>
                <c:pt idx="48">
                  <c:v>3.5118600351753688E-2</c:v>
                </c:pt>
                <c:pt idx="49">
                  <c:v>3.9427820854296268E-2</c:v>
                </c:pt>
                <c:pt idx="50">
                  <c:v>4.4174306011000933E-2</c:v>
                </c:pt>
                <c:pt idx="51">
                  <c:v>4.9389892519804891E-2</c:v>
                </c:pt>
                <c:pt idx="52">
                  <c:v>5.510713232705533E-2</c:v>
                </c:pt>
                <c:pt idx="53">
                  <c:v>6.1359092440129756E-2</c:v>
                </c:pt>
                <c:pt idx="54">
                  <c:v>6.8179125733536211E-2</c:v>
                </c:pt>
                <c:pt idx="55">
                  <c:v>7.5600612394626621E-2</c:v>
                </c:pt>
                <c:pt idx="56">
                  <c:v>8.3656672062545623E-2</c:v>
                </c:pt>
                <c:pt idx="57">
                  <c:v>9.2379847166757456E-2</c:v>
                </c:pt>
                <c:pt idx="58">
                  <c:v>0.10180175846564353</c:v>
                </c:pt>
                <c:pt idx="59">
                  <c:v>0.11195273431613657</c:v>
                </c:pt>
                <c:pt idx="60">
                  <c:v>0.12286141576567912</c:v>
                </c:pt>
                <c:pt idx="61">
                  <c:v>0.13455434014018003</c:v>
                </c:pt>
                <c:pt idx="62">
                  <c:v>0.14705550639699966</c:v>
                </c:pt>
                <c:pt idx="63">
                  <c:v>0.16038592611003383</c:v>
                </c:pt>
                <c:pt idx="64">
                  <c:v>0.17456316454330933</c:v>
                </c:pt>
                <c:pt idx="65">
                  <c:v>0.18960087683786836</c:v>
                </c:pt>
                <c:pt idx="66">
                  <c:v>0.20550834487108205</c:v>
                </c:pt>
                <c:pt idx="67">
                  <c:v>0.22229002083442398</c:v>
                </c:pt>
                <c:pt idx="68">
                  <c:v>0.23994508400148046</c:v>
                </c:pt>
                <c:pt idx="69">
                  <c:v>0.25846701750898105</c:v>
                </c:pt>
                <c:pt idx="70">
                  <c:v>0.27784321223679836</c:v>
                </c:pt>
                <c:pt idx="71">
                  <c:v>0.29805460503583353</c:v>
                </c:pt>
                <c:pt idx="72">
                  <c:v>0.31907535860425718</c:v>
                </c:pt>
                <c:pt idx="73">
                  <c:v>0.34087259024304423</c:v>
                </c:pt>
                <c:pt idx="74">
                  <c:v>0.36340615652322628</c:v>
                </c:pt>
                <c:pt idx="75">
                  <c:v>0.38662850056413611</c:v>
                </c:pt>
                <c:pt idx="76">
                  <c:v>0.41048456815087486</c:v>
                </c:pt>
                <c:pt idx="77">
                  <c:v>0.43491179830978921</c:v>
                </c:pt>
                <c:pt idx="78">
                  <c:v>0.45984019321533393</c:v>
                </c:pt>
                <c:pt idx="79">
                  <c:v>0.48519247142570265</c:v>
                </c:pt>
                <c:pt idx="80">
                  <c:v>0.51088430744670277</c:v>
                </c:pt>
                <c:pt idx="81">
                  <c:v>0.53682465951513436</c:v>
                </c:pt>
                <c:pt idx="82">
                  <c:v>0.56291618628922202</c:v>
                </c:pt>
                <c:pt idx="83">
                  <c:v>0.58905575185199877</c:v>
                </c:pt>
                <c:pt idx="84">
                  <c:v>0.61513501709417284</c:v>
                </c:pt>
                <c:pt idx="85">
                  <c:v>0.64104111416846066</c:v>
                </c:pt>
                <c:pt idx="86">
                  <c:v>0.66665739932200685</c:v>
                </c:pt>
                <c:pt idx="87">
                  <c:v>0.69186427804316497</c:v>
                </c:pt>
                <c:pt idx="88">
                  <c:v>0.71654009513025518</c:v>
                </c:pt>
                <c:pt idx="89">
                  <c:v>0.74056208102991883</c:v>
                </c:pt>
                <c:pt idx="90">
                  <c:v>0.76380734462809508</c:v>
                </c:pt>
                <c:pt idx="91">
                  <c:v>0.78615390163308707</c:v>
                </c:pt>
                <c:pt idx="92">
                  <c:v>0.80748172679193464</c:v>
                </c:pt>
                <c:pt idx="93">
                  <c:v>0.82767381745025015</c:v>
                </c:pt>
                <c:pt idx="94">
                  <c:v>0.84661725542109534</c:v>
                </c:pt>
                <c:pt idx="95">
                  <c:v>0.86420425378621013</c:v>
                </c:pt>
                <c:pt idx="96">
                  <c:v>0.88033317512513976</c:v>
                </c:pt>
                <c:pt idx="97">
                  <c:v>0.89490950776250511</c:v>
                </c:pt>
                <c:pt idx="98">
                  <c:v>0.90784678694436505</c:v>
                </c:pt>
                <c:pt idx="99">
                  <c:v>0.91906744840024257</c:v>
                </c:pt>
                <c:pt idx="100">
                  <c:v>0.92850360251213149</c:v>
                </c:pt>
                <c:pt idx="101">
                  <c:v>0.93609771828517641</c:v>
                </c:pt>
                <c:pt idx="102">
                  <c:v>0.94180320748181068</c:v>
                </c:pt>
                <c:pt idx="103">
                  <c:v>0.94558490062263145</c:v>
                </c:pt>
                <c:pt idx="104">
                  <c:v>0.94741940805023706</c:v>
                </c:pt>
                <c:pt idx="105">
                  <c:v>0.94729536087008848</c:v>
                </c:pt>
                <c:pt idx="106">
                  <c:v>0.94521352829603711</c:v>
                </c:pt>
                <c:pt idx="107">
                  <c:v>0.94118680970600377</c:v>
                </c:pt>
                <c:pt idx="108">
                  <c:v>0.93524010152260117</c:v>
                </c:pt>
                <c:pt idx="109">
                  <c:v>0.92741004084065115</c:v>
                </c:pt>
                <c:pt idx="110">
                  <c:v>0.91774462949506075</c:v>
                </c:pt>
                <c:pt idx="111">
                  <c:v>0.90630274396567356</c:v>
                </c:pt>
                <c:pt idx="112">
                  <c:v>0.89315353811931708</c:v>
                </c:pt>
                <c:pt idx="113">
                  <c:v>0.87837574726442191</c:v>
                </c:pt>
                <c:pt idx="114">
                  <c:v>0.86205690331424079</c:v>
                </c:pt>
                <c:pt idx="115">
                  <c:v>0.844292471998213</c:v>
                </c:pt>
                <c:pt idx="116">
                  <c:v>0.82518492400874688</c:v>
                </c:pt>
                <c:pt idx="117">
                  <c:v>0.80484275270818628</c:v>
                </c:pt>
                <c:pt idx="118">
                  <c:v>0.7833794515380974</c:v>
                </c:pt>
                <c:pt idx="119">
                  <c:v>0.76091246456508388</c:v>
                </c:pt>
                <c:pt idx="120">
                  <c:v>0.73756212366358331</c:v>
                </c:pt>
                <c:pt idx="121">
                  <c:v>0.71345058568065667</c:v>
                </c:pt>
                <c:pt idx="122">
                  <c:v>0.68870078255916078</c:v>
                </c:pt>
                <c:pt idx="123">
                  <c:v>0.66343539682655839</c:v>
                </c:pt>
                <c:pt idx="124">
                  <c:v>0.63777587410326142</c:v>
                </c:pt>
                <c:pt idx="125">
                  <c:v>0.61184148336652511</c:v>
                </c:pt>
                <c:pt idx="126">
                  <c:v>0.58574843464563375</c:v>
                </c:pt>
                <c:pt idx="127">
                  <c:v>0.55960906264600752</c:v>
                </c:pt>
                <c:pt idx="128">
                  <c:v>0.53353108352969414</c:v>
                </c:pt>
                <c:pt idx="129">
                  <c:v>0.50761693074427849</c:v>
                </c:pt>
                <c:pt idx="130">
                  <c:v>0.48196317441853059</c:v>
                </c:pt>
                <c:pt idx="131">
                  <c:v>0.45666002745772266</c:v>
                </c:pt>
                <c:pt idx="132">
                  <c:v>0.43179094010013402</c:v>
                </c:pt>
                <c:pt idx="133">
                  <c:v>0.40743228336299886</c:v>
                </c:pt>
                <c:pt idx="134">
                  <c:v>0.3836531205332992</c:v>
                </c:pt>
                <c:pt idx="135">
                  <c:v>0.36051506466627192</c:v>
                </c:pt>
                <c:pt idx="136">
                  <c:v>0.33807221895948036</c:v>
                </c:pt>
                <c:pt idx="137">
                  <c:v>0.3163711958872541</c:v>
                </c:pt>
                <c:pt idx="138">
                  <c:v>0.29545121012041448</c:v>
                </c:pt>
                <c:pt idx="139">
                  <c:v>0.27534423952777232</c:v>
                </c:pt>
                <c:pt idx="140">
                  <c:v>0.25607524796387621</c:v>
                </c:pt>
                <c:pt idx="141">
                  <c:v>0.23766246309400704</c:v>
                </c:pt>
                <c:pt idx="142">
                  <c:v>0.22011770219150159</c:v>
                </c:pt>
                <c:pt idx="143">
                  <c:v>0.20344673866070162</c:v>
                </c:pt>
                <c:pt idx="144">
                  <c:v>0.18764970198506092</c:v>
                </c:pt>
                <c:pt idx="145">
                  <c:v>0.17272150386618818</c:v>
                </c:pt>
                <c:pt idx="146">
                  <c:v>0.15865228349589361</c:v>
                </c:pt>
                <c:pt idx="147">
                  <c:v>0.14542786517828493</c:v>
                </c:pt>
                <c:pt idx="148">
                  <c:v>0.13303022188017505</c:v>
                </c:pt>
                <c:pt idx="149">
                  <c:v>0.12143793872229772</c:v>
                </c:pt>
                <c:pt idx="150">
                  <c:v>0.1106266709174754</c:v>
                </c:pt>
                <c:pt idx="151">
                  <c:v>0.10056959120130188</c:v>
                </c:pt>
                <c:pt idx="152">
                  <c:v>9.1237822372616129E-2</c:v>
                </c:pt>
                <c:pt idx="153">
                  <c:v>8.2600851152151641E-2</c:v>
                </c:pt>
                <c:pt idx="154">
                  <c:v>7.4626920166058763E-2</c:v>
                </c:pt>
                <c:pt idx="155">
                  <c:v>6.728339545525093E-2</c:v>
                </c:pt>
                <c:pt idx="156">
                  <c:v>6.0537107491599802E-2</c:v>
                </c:pt>
                <c:pt idx="157">
                  <c:v>5.4354664238949968E-2</c:v>
                </c:pt>
                <c:pt idx="158">
                  <c:v>4.8702735323127501E-2</c:v>
                </c:pt>
                <c:pt idx="159">
                  <c:v>4.3548306864282606E-2</c:v>
                </c:pt>
                <c:pt idx="160">
                  <c:v>3.8858906972080026E-2</c:v>
                </c:pt>
                <c:pt idx="161">
                  <c:v>3.4602802305814993E-2</c:v>
                </c:pt>
                <c:pt idx="162">
                  <c:v>3.0749166455101836E-2</c:v>
                </c:pt>
                <c:pt idx="163">
                  <c:v>2.7268221201189703E-2</c:v>
                </c:pt>
                <c:pt idx="164">
                  <c:v>2.413135197408451E-2</c:v>
                </c:pt>
                <c:pt idx="165">
                  <c:v>2.131119902738484E-2</c:v>
                </c:pt>
                <c:pt idx="166">
                  <c:v>1.8781726012772518E-2</c:v>
                </c:pt>
                <c:pt idx="167">
                  <c:v>1.6518267751890373E-2</c:v>
                </c:pt>
                <c:pt idx="168">
                  <c:v>1.4497559077884768E-2</c:v>
                </c:pt>
                <c:pt idx="169">
                  <c:v>1.2697746655682664E-2</c:v>
                </c:pt>
                <c:pt idx="170">
                  <c:v>1.1098385692898593E-2</c:v>
                </c:pt>
                <c:pt idx="171">
                  <c:v>9.680423426135917E-3</c:v>
                </c:pt>
                <c:pt idx="172">
                  <c:v>8.4261712144670046E-3</c:v>
                </c:pt>
                <c:pt idx="173">
                  <c:v>7.3192669971469731E-3</c:v>
                </c:pt>
                <c:pt idx="174">
                  <c:v>6.3446297801506273E-3</c:v>
                </c:pt>
                <c:pt idx="175">
                  <c:v>5.4884077097772906E-3</c:v>
                </c:pt>
                <c:pt idx="176">
                  <c:v>4.7379211749652437E-3</c:v>
                </c:pt>
                <c:pt idx="177">
                  <c:v>4.0816022564583426E-3</c:v>
                </c:pt>
                <c:pt idx="178">
                  <c:v>3.5089317136164505E-3</c:v>
                </c:pt>
                <c:pt idx="179">
                  <c:v>3.010374571178193E-3</c:v>
                </c:pt>
                <c:pt idx="180">
                  <c:v>2.5773152410403849E-3</c:v>
                </c:pt>
                <c:pt idx="181">
                  <c:v>2.2019929901402301E-3</c:v>
                </c:pt>
                <c:pt idx="182">
                  <c:v>1.877438446494671E-3</c:v>
                </c:pt>
                <c:pt idx="183">
                  <c:v>1.5974117227199099E-3</c:v>
                </c:pt>
                <c:pt idx="184">
                  <c:v>1.3563426309616655E-3</c:v>
                </c:pt>
                <c:pt idx="185">
                  <c:v>1.1492733658643919E-3</c:v>
                </c:pt>
                <c:pt idx="186">
                  <c:v>9.7180394348228387E-4</c:v>
                </c:pt>
                <c:pt idx="187">
                  <c:v>8.2004060413782686E-4</c:v>
                </c:pt>
                <c:pt idx="188">
                  <c:v>6.9054731621157343E-4</c:v>
                </c:pt>
                <c:pt idx="189">
                  <c:v>5.803004555700248E-4</c:v>
                </c:pt>
                <c:pt idx="190">
                  <c:v>4.8664668153077634E-4</c:v>
                </c:pt>
                <c:pt idx="191">
                  <c:v>4.072639845317054E-4</c:v>
                </c:pt>
                <c:pt idx="192">
                  <c:v>3.4012584252746998E-4</c:v>
                </c:pt>
                <c:pt idx="193">
                  <c:v>2.8346839202938296E-4</c:v>
                </c:pt>
                <c:pt idx="194">
                  <c:v>2.357604950354996E-4</c:v>
                </c:pt>
                <c:pt idx="195">
                  <c:v>1.9567656424311031E-4</c:v>
                </c:pt>
                <c:pt idx="196">
                  <c:v>1.6207199526420985E-4</c:v>
                </c:pt>
                <c:pt idx="197">
                  <c:v>1.339610454501258E-4</c:v>
                </c:pt>
                <c:pt idx="198">
                  <c:v>1.1049699376718213E-4</c:v>
                </c:pt>
                <c:pt idx="199">
                  <c:v>9.0954414371151402E-5</c:v>
                </c:pt>
                <c:pt idx="200">
                  <c:v>7.471339755965722E-5</c:v>
                </c:pt>
                <c:pt idx="201">
                  <c:v>6.124555513421552E-5</c:v>
                </c:pt>
                <c:pt idx="202">
                  <c:v>5.0101652416596354E-5</c:v>
                </c:pt>
                <c:pt idx="203">
                  <c:v>4.090071582263951E-5</c:v>
                </c:pt>
                <c:pt idx="204">
                  <c:v>3.3320472631831532E-5</c:v>
                </c:pt>
                <c:pt idx="205">
                  <c:v>2.7088988079609325E-5</c:v>
                </c:pt>
                <c:pt idx="206">
                  <c:v>2.1977373862415655E-5</c:v>
                </c:pt>
                <c:pt idx="207">
                  <c:v>1.7793451345700727E-5</c:v>
                </c:pt>
                <c:pt idx="208">
                  <c:v>1.4376262004172368E-5</c:v>
                </c:pt>
                <c:pt idx="209">
                  <c:v>1.1591326739381683E-5</c:v>
                </c:pt>
                <c:pt idx="210">
                  <c:v>9.3265645825713037E-6</c:v>
                </c:pt>
                <c:pt idx="211">
                  <c:v>7.4887898000603007E-6</c:v>
                </c:pt>
                <c:pt idx="212">
                  <c:v>6.0007144994822973E-6</c:v>
                </c:pt>
                <c:pt idx="213">
                  <c:v>4.7983914353772634E-6</c:v>
                </c:pt>
                <c:pt idx="214">
                  <c:v>3.829038798521478E-6</c:v>
                </c:pt>
                <c:pt idx="215">
                  <c:v>3.0491953275604614E-6</c:v>
                </c:pt>
                <c:pt idx="216">
                  <c:v>2.4231600998641076E-6</c:v>
                </c:pt>
                <c:pt idx="217">
                  <c:v>1.9216768476474632E-6</c:v>
                </c:pt>
                <c:pt idx="218">
                  <c:v>1.5208276203586121E-6</c:v>
                </c:pt>
                <c:pt idx="219">
                  <c:v>1.2011050966373826E-6</c:v>
                </c:pt>
                <c:pt idx="220">
                  <c:v>9.4663686501887197E-7</c:v>
                </c:pt>
                <c:pt idx="221">
                  <c:v>7.4453857143687585E-7</c:v>
                </c:pt>
                <c:pt idx="222">
                  <c:v>5.8437600487122395E-7</c:v>
                </c:pt>
                <c:pt idx="223">
                  <c:v>4.577189924994093E-7</c:v>
                </c:pt>
                <c:pt idx="224">
                  <c:v>3.5777243484490583E-7</c:v>
                </c:pt>
                <c:pt idx="225">
                  <c:v>2.7907196145722202E-7</c:v>
                </c:pt>
                <c:pt idx="226">
                  <c:v>2.1723355929264389E-7</c:v>
                </c:pt>
                <c:pt idx="227">
                  <c:v>1.6874814838183817E-7</c:v>
                </c:pt>
                <c:pt idx="228">
                  <c:v>1.3081348000302271E-7</c:v>
                </c:pt>
                <c:pt idx="229">
                  <c:v>1.0119693693326475E-7</c:v>
                </c:pt>
                <c:pt idx="230">
                  <c:v>7.8123846912879398E-8</c:v>
                </c:pt>
                <c:pt idx="231">
                  <c:v>6.0186800671471271E-8</c:v>
                </c:pt>
                <c:pt idx="232">
                  <c:v>4.6272214150985014E-8</c:v>
                </c:pt>
                <c:pt idx="233">
                  <c:v>3.5501008385518249E-8</c:v>
                </c:pt>
                <c:pt idx="234">
                  <c:v>2.7180815457531379E-8</c:v>
                </c:pt>
                <c:pt idx="235">
                  <c:v>2.0767568888861442E-8</c:v>
                </c:pt>
                <c:pt idx="236">
                  <c:v>1.583471395540179E-8</c:v>
                </c:pt>
                <c:pt idx="237">
                  <c:v>1.2048588450444647E-8</c:v>
                </c:pt>
                <c:pt idx="238">
                  <c:v>9.1487867119620272E-9</c:v>
                </c:pt>
                <c:pt idx="239">
                  <c:v>6.9325373889879494E-9</c:v>
                </c:pt>
                <c:pt idx="240">
                  <c:v>5.2423054620988892E-9</c:v>
                </c:pt>
                <c:pt idx="241">
                  <c:v>3.9559774800003215E-9</c:v>
                </c:pt>
                <c:pt idx="242">
                  <c:v>2.979110986683606E-9</c:v>
                </c:pt>
                <c:pt idx="243">
                  <c:v>2.2388290867295083E-9</c:v>
                </c:pt>
                <c:pt idx="244">
                  <c:v>1.6790227590413698E-9</c:v>
                </c:pt>
                <c:pt idx="245">
                  <c:v>1.2565900321783347E-9</c:v>
                </c:pt>
                <c:pt idx="246">
                  <c:v>9.3849512862937189E-10</c:v>
                </c:pt>
                <c:pt idx="247">
                  <c:v>6.9947439287281448E-10</c:v>
                </c:pt>
                <c:pt idx="248">
                  <c:v>5.2025109411627865E-10</c:v>
                </c:pt>
                <c:pt idx="249">
                  <c:v>3.861495823272773E-10</c:v>
                </c:pt>
                <c:pt idx="250">
                  <c:v>2.8602205431322959E-10</c:v>
                </c:pt>
                <c:pt idx="251">
                  <c:v>2.1141941105575591E-10</c:v>
                </c:pt>
                <c:pt idx="252">
                  <c:v>1.5595222696115233E-10</c:v>
                </c:pt>
                <c:pt idx="253">
                  <c:v>1.1479941838761175E-10</c:v>
                </c:pt>
                <c:pt idx="254">
                  <c:v>8.4331374675851551E-11</c:v>
                </c:pt>
                <c:pt idx="255">
                  <c:v>6.1821573792508636E-11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info!$D$2:$D$257</c:f>
              <c:numCache>
                <c:formatCode>0.00</c:formatCode>
                <c:ptCount val="256"/>
                <c:pt idx="0">
                  <c:v>0</c:v>
                </c:pt>
                <c:pt idx="1">
                  <c:v>0</c:v>
                </c:pt>
                <c:pt idx="2">
                  <c:v>0</c:v>
                </c:pt>
                <c:pt idx="3">
                  <c:v>1</c:v>
                </c:pt>
                <c:pt idx="4">
                  <c:v>0</c:v>
                </c:pt>
                <c:pt idx="5">
                  <c:v>0</c:v>
                </c:pt>
                <c:pt idx="6">
                  <c:v>0.97953760793592026</c:v>
                </c:pt>
                <c:pt idx="7">
                  <c:v>0</c:v>
                </c:pt>
                <c:pt idx="8">
                  <c:v>0.41138461794658077</c:v>
                </c:pt>
                <c:pt idx="9">
                  <c:v>0</c:v>
                </c:pt>
                <c:pt idx="10">
                  <c:v>0</c:v>
                </c:pt>
                <c:pt idx="11">
                  <c:v>0.32049513369740618</c:v>
                </c:pt>
                <c:pt idx="12">
                  <c:v>0</c:v>
                </c:pt>
                <c:pt idx="13">
                  <c:v>0.33791953703933636</c:v>
                </c:pt>
                <c:pt idx="14">
                  <c:v>0</c:v>
                </c:pt>
                <c:pt idx="15">
                  <c:v>0</c:v>
                </c:pt>
                <c:pt idx="16">
                  <c:v>0.31629903412986521</c:v>
                </c:pt>
                <c:pt idx="17">
                  <c:v>0</c:v>
                </c:pt>
                <c:pt idx="18">
                  <c:v>0</c:v>
                </c:pt>
                <c:pt idx="19">
                  <c:v>0.30842153185834381</c:v>
                </c:pt>
                <c:pt idx="20">
                  <c:v>0</c:v>
                </c:pt>
                <c:pt idx="21">
                  <c:v>0.26906966672498417</c:v>
                </c:pt>
                <c:pt idx="22">
                  <c:v>0</c:v>
                </c:pt>
                <c:pt idx="23">
                  <c:v>0</c:v>
                </c:pt>
                <c:pt idx="24">
                  <c:v>0.22536868819033279</c:v>
                </c:pt>
                <c:pt idx="25">
                  <c:v>0</c:v>
                </c:pt>
                <c:pt idx="26">
                  <c:v>0.18479694209605943</c:v>
                </c:pt>
                <c:pt idx="27">
                  <c:v>0</c:v>
                </c:pt>
                <c:pt idx="28">
                  <c:v>0</c:v>
                </c:pt>
                <c:pt idx="29">
                  <c:v>0.15981500842144458</c:v>
                </c:pt>
                <c:pt idx="30">
                  <c:v>0</c:v>
                </c:pt>
                <c:pt idx="31">
                  <c:v>0.14635892160912053</c:v>
                </c:pt>
                <c:pt idx="32">
                  <c:v>0</c:v>
                </c:pt>
                <c:pt idx="33">
                  <c:v>0</c:v>
                </c:pt>
                <c:pt idx="34">
                  <c:v>0.1261200103721859</c:v>
                </c:pt>
                <c:pt idx="35">
                  <c:v>0</c:v>
                </c:pt>
                <c:pt idx="36">
                  <c:v>0</c:v>
                </c:pt>
                <c:pt idx="37">
                  <c:v>9.8028797522386343E-2</c:v>
                </c:pt>
                <c:pt idx="38">
                  <c:v>0</c:v>
                </c:pt>
                <c:pt idx="39">
                  <c:v>7.585963635812068E-2</c:v>
                </c:pt>
                <c:pt idx="40">
                  <c:v>0</c:v>
                </c:pt>
                <c:pt idx="41">
                  <c:v>0</c:v>
                </c:pt>
                <c:pt idx="42">
                  <c:v>6.0841080107506787E-2</c:v>
                </c:pt>
                <c:pt idx="43">
                  <c:v>0</c:v>
                </c:pt>
                <c:pt idx="44">
                  <c:v>4.6139024361265935E-2</c:v>
                </c:pt>
                <c:pt idx="45">
                  <c:v>0</c:v>
                </c:pt>
                <c:pt idx="46">
                  <c:v>0</c:v>
                </c:pt>
                <c:pt idx="47">
                  <c:v>3.6057390017955451E-2</c:v>
                </c:pt>
                <c:pt idx="48">
                  <c:v>0</c:v>
                </c:pt>
                <c:pt idx="49">
                  <c:v>2.5418415175348555E-2</c:v>
                </c:pt>
                <c:pt idx="50">
                  <c:v>0</c:v>
                </c:pt>
                <c:pt idx="51">
                  <c:v>0</c:v>
                </c:pt>
                <c:pt idx="52">
                  <c:v>1.8044345398228096E-2</c:v>
                </c:pt>
                <c:pt idx="53">
                  <c:v>0</c:v>
                </c:pt>
                <c:pt idx="54">
                  <c:v>0</c:v>
                </c:pt>
                <c:pt idx="55">
                  <c:v>1.168148139958388E-2</c:v>
                </c:pt>
                <c:pt idx="56">
                  <c:v>0</c:v>
                </c:pt>
                <c:pt idx="57">
                  <c:v>6.8115158071731727E-3</c:v>
                </c:pt>
                <c:pt idx="58">
                  <c:v>0</c:v>
                </c:pt>
                <c:pt idx="59">
                  <c:v>0</c:v>
                </c:pt>
                <c:pt idx="60">
                  <c:v>3.7683315735087325E-3</c:v>
                </c:pt>
                <c:pt idx="61">
                  <c:v>0</c:v>
                </c:pt>
                <c:pt idx="62">
                  <c:v>2.209351528818607E-3</c:v>
                </c:pt>
                <c:pt idx="63">
                  <c:v>0</c:v>
                </c:pt>
                <c:pt idx="64">
                  <c:v>0</c:v>
                </c:pt>
                <c:pt idx="65">
                  <c:v>1.2111874088077479E-3</c:v>
                </c:pt>
                <c:pt idx="66">
                  <c:v>0</c:v>
                </c:pt>
                <c:pt idx="67">
                  <c:v>6.92976540979769E-4</c:v>
                </c:pt>
                <c:pt idx="68">
                  <c:v>0</c:v>
                </c:pt>
                <c:pt idx="69">
                  <c:v>0</c:v>
                </c:pt>
                <c:pt idx="70">
                  <c:v>3.6344302513274785E-4</c:v>
                </c:pt>
                <c:pt idx="71">
                  <c:v>0</c:v>
                </c:pt>
                <c:pt idx="72">
                  <c:v>0</c:v>
                </c:pt>
                <c:pt idx="73">
                  <c:v>1.4607296028285336E-4</c:v>
                </c:pt>
                <c:pt idx="74">
                  <c:v>0</c:v>
                </c:pt>
                <c:pt idx="75">
                  <c:v>6.0863511733461124E-5</c:v>
                </c:pt>
                <c:pt idx="76">
                  <c:v>0</c:v>
                </c:pt>
                <c:pt idx="77">
                  <c:v>0</c:v>
                </c:pt>
                <c:pt idx="78">
                  <c:v>2.5214626873348897E-5</c:v>
                </c:pt>
                <c:pt idx="79">
                  <c:v>0</c:v>
                </c:pt>
                <c:pt idx="80">
                  <c:v>3.4780859955877756E-6</c:v>
                </c:pt>
                <c:pt idx="81">
                  <c:v>0</c:v>
                </c:pt>
                <c:pt idx="82">
                  <c:v>0</c:v>
                </c:pt>
                <c:pt idx="83">
                  <c:v>8.6935521060111349E-7</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(56.6 , 7.4)
나른한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56.581681569556544</c:v>
                </c:pt>
              </c:numCache>
            </c:numRef>
          </c:xVal>
          <c:yVal>
            <c:numRef>
              <c:f>info!$W$20:$W$21</c:f>
              <c:numCache>
                <c:formatCode>General</c:formatCode>
                <c:ptCount val="2"/>
                <c:pt idx="0">
                  <c:v>50</c:v>
                </c:pt>
                <c:pt idx="1">
                  <c:v>7.3691564379773826</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(85.2 , 78.4)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85.165700000000001</c:v>
                      </c:pt>
                    </c:numCache>
                  </c:numRef>
                </c:xVal>
                <c:yVal>
                  <c:numRef>
                    <c:extLst>
                      <c:ext uri="{02D57815-91ED-43cb-92C2-25804820EDAC}">
                        <c15:formulaRef>
                          <c15:sqref>info!$W$18</c15:sqref>
                        </c15:formulaRef>
                      </c:ext>
                    </c:extLst>
                    <c:numCache>
                      <c:formatCode>General</c:formatCode>
                      <c:ptCount val="1"/>
                      <c:pt idx="0">
                        <c:v>21.623400000000004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(56.6 , 7.4)
나른한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56.581681569556544</c:v>
                </c:pt>
              </c:numCache>
            </c:numRef>
          </c:xVal>
          <c:yVal>
            <c:numRef>
              <c:f>info!$W$20:$W$21</c:f>
              <c:numCache>
                <c:formatCode>General</c:formatCode>
                <c:ptCount val="2"/>
                <c:pt idx="0">
                  <c:v>50</c:v>
                </c:pt>
                <c:pt idx="1">
                  <c:v>7.3691564379773826</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(85.2 , 78.4)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85.165700000000001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21.623400000000004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18.502099999999999</c:v>
                </c:pt>
                <c:pt idx="1">
                  <c:v>29.701699999999999</c:v>
                </c:pt>
                <c:pt idx="2">
                  <c:v>12.746</c:v>
                </c:pt>
                <c:pt idx="3">
                  <c:v>22.298200000000001</c:v>
                </c:pt>
                <c:pt idx="4">
                  <c:v>60.947200000000002</c:v>
                </c:pt>
                <c:pt idx="5">
                  <c:v>31.298300000000001</c:v>
                </c:pt>
                <c:pt idx="6">
                  <c:v>9.4289199999999997</c:v>
                </c:pt>
                <c:pt idx="7">
                  <c:v>47.645699999999998</c:v>
                </c:pt>
                <c:pt idx="8">
                  <c:v>26.158300000000001</c:v>
                </c:pt>
                <c:pt idx="9">
                  <c:v>77.948599999999999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0.33876189840091442</c:v>
                </c:pt>
                <c:pt idx="1">
                  <c:v>0.18886437084352281</c:v>
                </c:pt>
                <c:pt idx="2">
                  <c:v>0.47237373075556272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cat>
          <c:val>
            <c:numRef>
              <c:f>info!$C$2:$C$257</c:f>
              <c:numCache>
                <c:formatCode>0.00</c:formatCode>
                <c:ptCount val="256"/>
                <c:pt idx="0">
                  <c:v>0</c:v>
                </c:pt>
                <c:pt idx="1">
                  <c:v>0</c:v>
                </c:pt>
                <c:pt idx="2">
                  <c:v>0</c:v>
                </c:pt>
                <c:pt idx="3">
                  <c:v>0</c:v>
                </c:pt>
                <c:pt idx="4">
                  <c:v>0</c:v>
                </c:pt>
                <c:pt idx="5">
                  <c:v>0</c:v>
                </c:pt>
                <c:pt idx="6">
                  <c:v>3.1092040958808471E-2</c:v>
                </c:pt>
                <c:pt idx="7">
                  <c:v>0</c:v>
                </c:pt>
                <c:pt idx="8">
                  <c:v>0.32085175703979518</c:v>
                </c:pt>
                <c:pt idx="9">
                  <c:v>0</c:v>
                </c:pt>
                <c:pt idx="10">
                  <c:v>0</c:v>
                </c:pt>
                <c:pt idx="11">
                  <c:v>0.19281543895193637</c:v>
                </c:pt>
                <c:pt idx="12">
                  <c:v>0</c:v>
                </c:pt>
                <c:pt idx="13">
                  <c:v>5.0686867718928393E-2</c:v>
                </c:pt>
                <c:pt idx="14">
                  <c:v>0</c:v>
                </c:pt>
                <c:pt idx="15">
                  <c:v>0</c:v>
                </c:pt>
                <c:pt idx="16">
                  <c:v>3.0331524045503704E-2</c:v>
                </c:pt>
                <c:pt idx="17">
                  <c:v>0</c:v>
                </c:pt>
                <c:pt idx="18">
                  <c:v>0</c:v>
                </c:pt>
                <c:pt idx="19">
                  <c:v>3.4089378362469031E-2</c:v>
                </c:pt>
                <c:pt idx="20">
                  <c:v>0</c:v>
                </c:pt>
                <c:pt idx="21">
                  <c:v>6.9520801106106853E-2</c:v>
                </c:pt>
                <c:pt idx="22">
                  <c:v>0</c:v>
                </c:pt>
                <c:pt idx="23">
                  <c:v>0</c:v>
                </c:pt>
                <c:pt idx="24">
                  <c:v>0.12673924352147189</c:v>
                </c:pt>
                <c:pt idx="25">
                  <c:v>0</c:v>
                </c:pt>
                <c:pt idx="26">
                  <c:v>0.23688106613369109</c:v>
                </c:pt>
                <c:pt idx="27">
                  <c:v>0</c:v>
                </c:pt>
                <c:pt idx="28">
                  <c:v>0</c:v>
                </c:pt>
                <c:pt idx="29">
                  <c:v>0.35838615176114663</c:v>
                </c:pt>
                <c:pt idx="30">
                  <c:v>0</c:v>
                </c:pt>
                <c:pt idx="31">
                  <c:v>0.45546482498049257</c:v>
                </c:pt>
                <c:pt idx="32">
                  <c:v>0</c:v>
                </c:pt>
                <c:pt idx="33">
                  <c:v>0</c:v>
                </c:pt>
                <c:pt idx="34">
                  <c:v>0.44839765089186712</c:v>
                </c:pt>
                <c:pt idx="35">
                  <c:v>0</c:v>
                </c:pt>
                <c:pt idx="36">
                  <c:v>0</c:v>
                </c:pt>
                <c:pt idx="37">
                  <c:v>0.43103943928048294</c:v>
                </c:pt>
                <c:pt idx="38">
                  <c:v>0</c:v>
                </c:pt>
                <c:pt idx="39">
                  <c:v>0.45582417281550741</c:v>
                </c:pt>
                <c:pt idx="40">
                  <c:v>0</c:v>
                </c:pt>
                <c:pt idx="41">
                  <c:v>0</c:v>
                </c:pt>
                <c:pt idx="42">
                  <c:v>0.67216868129611629</c:v>
                </c:pt>
                <c:pt idx="43">
                  <c:v>0</c:v>
                </c:pt>
                <c:pt idx="44">
                  <c:v>0.79193075880573316</c:v>
                </c:pt>
                <c:pt idx="45">
                  <c:v>0</c:v>
                </c:pt>
                <c:pt idx="46">
                  <c:v>0</c:v>
                </c:pt>
                <c:pt idx="47">
                  <c:v>1</c:v>
                </c:pt>
                <c:pt idx="48">
                  <c:v>0</c:v>
                </c:pt>
                <c:pt idx="49">
                  <c:v>0.95173102985667157</c:v>
                </c:pt>
                <c:pt idx="50">
                  <c:v>0</c:v>
                </c:pt>
                <c:pt idx="51">
                  <c:v>0</c:v>
                </c:pt>
                <c:pt idx="52">
                  <c:v>0.93853098605045926</c:v>
                </c:pt>
                <c:pt idx="53">
                  <c:v>0</c:v>
                </c:pt>
                <c:pt idx="54">
                  <c:v>0</c:v>
                </c:pt>
                <c:pt idx="55">
                  <c:v>0.83335500828211206</c:v>
                </c:pt>
                <c:pt idx="56">
                  <c:v>0</c:v>
                </c:pt>
                <c:pt idx="57">
                  <c:v>0.7452258073348027</c:v>
                </c:pt>
                <c:pt idx="58">
                  <c:v>0</c:v>
                </c:pt>
                <c:pt idx="59">
                  <c:v>0</c:v>
                </c:pt>
                <c:pt idx="60">
                  <c:v>0.57155813221262441</c:v>
                </c:pt>
                <c:pt idx="61">
                  <c:v>0</c:v>
                </c:pt>
                <c:pt idx="62">
                  <c:v>0.41457446371613571</c:v>
                </c:pt>
                <c:pt idx="63">
                  <c:v>0</c:v>
                </c:pt>
                <c:pt idx="64">
                  <c:v>0</c:v>
                </c:pt>
                <c:pt idx="65">
                  <c:v>0.20391004668099494</c:v>
                </c:pt>
                <c:pt idx="66">
                  <c:v>0</c:v>
                </c:pt>
                <c:pt idx="67">
                  <c:v>0.14602082164026889</c:v>
                </c:pt>
                <c:pt idx="68">
                  <c:v>0</c:v>
                </c:pt>
                <c:pt idx="69">
                  <c:v>0</c:v>
                </c:pt>
                <c:pt idx="70">
                  <c:v>0.11206553135566537</c:v>
                </c:pt>
                <c:pt idx="71">
                  <c:v>0</c:v>
                </c:pt>
                <c:pt idx="72">
                  <c:v>0</c:v>
                </c:pt>
                <c:pt idx="73">
                  <c:v>0.10182069569740858</c:v>
                </c:pt>
                <c:pt idx="74">
                  <c:v>0</c:v>
                </c:pt>
                <c:pt idx="75">
                  <c:v>4.8986639105258113E-2</c:v>
                </c:pt>
                <c:pt idx="76">
                  <c:v>0</c:v>
                </c:pt>
                <c:pt idx="77">
                  <c:v>0</c:v>
                </c:pt>
                <c:pt idx="78">
                  <c:v>3.1494647428438445E-2</c:v>
                </c:pt>
                <c:pt idx="79">
                  <c:v>0</c:v>
                </c:pt>
                <c:pt idx="80">
                  <c:v>5.8157880326903857E-3</c:v>
                </c:pt>
                <c:pt idx="81">
                  <c:v>0</c:v>
                </c:pt>
                <c:pt idx="82">
                  <c:v>0</c:v>
                </c:pt>
                <c:pt idx="83">
                  <c:v>2.3263117907158211E-3</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3.3761799999999997</c:v>
                </c:pt>
                <c:pt idx="1">
                  <c:v>2.8731400000000002</c:v>
                </c:pt>
                <c:pt idx="2">
                  <c:v>1.8493000000000002</c:v>
                </c:pt>
                <c:pt idx="3">
                  <c:v>0.81915899999999997</c:v>
                </c:pt>
                <c:pt idx="4">
                  <c:v>0.91969999999999996</c:v>
                </c:pt>
                <c:pt idx="5">
                  <c:v>1.00329</c:v>
                </c:pt>
                <c:pt idx="6">
                  <c:v>1.0817999999999999</c:v>
                </c:pt>
                <c:pt idx="7">
                  <c:v>1.16472</c:v>
                </c:pt>
                <c:pt idx="8">
                  <c:v>1.2457400000000001</c:v>
                </c:pt>
                <c:pt idx="9">
                  <c:v>1.3236600000000001</c:v>
                </c:pt>
                <c:pt idx="10">
                  <c:v>1.3970499999999999</c:v>
                </c:pt>
                <c:pt idx="11">
                  <c:v>1.47112</c:v>
                </c:pt>
                <c:pt idx="12">
                  <c:v>1.5493899999999998</c:v>
                </c:pt>
                <c:pt idx="13">
                  <c:v>1.6333900000000001</c:v>
                </c:pt>
                <c:pt idx="14">
                  <c:v>1.7082299999999999</c:v>
                </c:pt>
                <c:pt idx="15">
                  <c:v>1.77565</c:v>
                </c:pt>
                <c:pt idx="16">
                  <c:v>1.8371899999999999</c:v>
                </c:pt>
                <c:pt idx="17">
                  <c:v>1.8917000000000002</c:v>
                </c:pt>
                <c:pt idx="18">
                  <c:v>1.9419</c:v>
                </c:pt>
                <c:pt idx="19">
                  <c:v>1.9701900000000001</c:v>
                </c:pt>
                <c:pt idx="20">
                  <c:v>1.9918100000000001</c:v>
                </c:pt>
                <c:pt idx="21">
                  <c:v>2.0048499999999998</c:v>
                </c:pt>
                <c:pt idx="22">
                  <c:v>2.0174099999999999</c:v>
                </c:pt>
                <c:pt idx="23">
                  <c:v>2.0293700000000001</c:v>
                </c:pt>
                <c:pt idx="24">
                  <c:v>2.04399</c:v>
                </c:pt>
                <c:pt idx="25">
                  <c:v>2.0567600000000001</c:v>
                </c:pt>
              </c:numCache>
              <c:extLst xmlns:c15="http://schemas.microsoft.com/office/drawing/2012/chart"/>
            </c:numRef>
          </c:xVal>
          <c:yVal>
            <c:numRef>
              <c:f>[0]!FT_PH</c:f>
              <c:numCache>
                <c:formatCode>0.00</c:formatCode>
                <c:ptCount val="26"/>
                <c:pt idx="0">
                  <c:v>11.399900000000001</c:v>
                </c:pt>
                <c:pt idx="1">
                  <c:v>4.9921599999999993</c:v>
                </c:pt>
                <c:pt idx="2">
                  <c:v>13.095300000000002</c:v>
                </c:pt>
                <c:pt idx="3">
                  <c:v>84.729200000000006</c:v>
                </c:pt>
                <c:pt idx="4">
                  <c:v>84.511899999999997</c:v>
                </c:pt>
                <c:pt idx="5">
                  <c:v>83.289000000000001</c:v>
                </c:pt>
                <c:pt idx="6">
                  <c:v>81.683300000000003</c:v>
                </c:pt>
                <c:pt idx="7">
                  <c:v>79.633799999999994</c:v>
                </c:pt>
                <c:pt idx="8">
                  <c:v>77.914500000000004</c:v>
                </c:pt>
                <c:pt idx="9">
                  <c:v>75.991</c:v>
                </c:pt>
                <c:pt idx="10">
                  <c:v>74.011200000000002</c:v>
                </c:pt>
                <c:pt idx="11">
                  <c:v>72.25200000000001</c:v>
                </c:pt>
                <c:pt idx="12">
                  <c:v>71.477599999999995</c:v>
                </c:pt>
                <c:pt idx="13">
                  <c:v>71.565699999999993</c:v>
                </c:pt>
                <c:pt idx="14">
                  <c:v>71.844499999999996</c:v>
                </c:pt>
                <c:pt idx="15">
                  <c:v>72.186300000000003</c:v>
                </c:pt>
                <c:pt idx="16">
                  <c:v>72.7042</c:v>
                </c:pt>
                <c:pt idx="17">
                  <c:v>73.304699999999997</c:v>
                </c:pt>
                <c:pt idx="18">
                  <c:v>73.979799999999997</c:v>
                </c:pt>
                <c:pt idx="19">
                  <c:v>74.599499999999992</c:v>
                </c:pt>
                <c:pt idx="20">
                  <c:v>74.936899999999994</c:v>
                </c:pt>
                <c:pt idx="21">
                  <c:v>74.641900000000007</c:v>
                </c:pt>
                <c:pt idx="22">
                  <c:v>74.39139999999999</c:v>
                </c:pt>
                <c:pt idx="23">
                  <c:v>74.228899999999996</c:v>
                </c:pt>
                <c:pt idx="24">
                  <c:v>74.049800000000005</c:v>
                </c:pt>
                <c:pt idx="25">
                  <c:v>74.031300000000002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3.3761799999999997</c:v>
                </c:pt>
              </c:numCache>
            </c:numRef>
          </c:xVal>
          <c:yVal>
            <c:numRef>
              <c:f>[0]!FT_PH01</c:f>
              <c:numCache>
                <c:formatCode>0.00</c:formatCode>
                <c:ptCount val="1"/>
                <c:pt idx="0">
                  <c:v>11.399900000000001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3.3761799999999997</c:v>
                </c:pt>
              </c:numCache>
            </c:numRef>
          </c:xVal>
          <c:yVal>
            <c:numRef>
              <c:f>[0]!FT_PH02</c:f>
              <c:numCache>
                <c:formatCode>0.00</c:formatCode>
                <c:ptCount val="1"/>
                <c:pt idx="0">
                  <c:v>11.399900000000001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3.3761799999999997</c:v>
                </c:pt>
              </c:numCache>
            </c:numRef>
          </c:xVal>
          <c:yVal>
            <c:numRef>
              <c:f>[0]!FT_PH03</c:f>
              <c:numCache>
                <c:formatCode>0.00</c:formatCode>
                <c:ptCount val="1"/>
                <c:pt idx="0">
                  <c:v>11.399900000000001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3.3761799999999997</c:v>
                </c:pt>
              </c:numCache>
            </c:numRef>
          </c:xVal>
          <c:yVal>
            <c:numRef>
              <c:f>[0]!FT_PH04</c:f>
              <c:numCache>
                <c:formatCode>0.00</c:formatCode>
                <c:ptCount val="1"/>
                <c:pt idx="0">
                  <c:v>11.399900000000001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3.3761799999999997</c:v>
                </c:pt>
              </c:numCache>
            </c:numRef>
          </c:xVal>
          <c:yVal>
            <c:numRef>
              <c:f>[0]!FT_PH05</c:f>
              <c:numCache>
                <c:formatCode>0.00</c:formatCode>
                <c:ptCount val="1"/>
                <c:pt idx="0">
                  <c:v>11.399900000000001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3.3761799999999997</c:v>
                </c:pt>
              </c:numCache>
            </c:numRef>
          </c:xVal>
          <c:yVal>
            <c:numRef>
              <c:f>[0]!FT_PH06</c:f>
              <c:numCache>
                <c:formatCode>0.00</c:formatCode>
                <c:ptCount val="1"/>
                <c:pt idx="0">
                  <c:v>11.399900000000001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3.3761799999999997</c:v>
                </c:pt>
              </c:numCache>
            </c:numRef>
          </c:xVal>
          <c:yVal>
            <c:numRef>
              <c:f>[0]!FT_PH07</c:f>
              <c:numCache>
                <c:formatCode>0.00</c:formatCode>
                <c:ptCount val="1"/>
                <c:pt idx="0">
                  <c:v>11.399900000000001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3.3761799999999997</c:v>
                </c:pt>
              </c:numCache>
            </c:numRef>
          </c:xVal>
          <c:yVal>
            <c:numRef>
              <c:f>[0]!FT_PH08</c:f>
              <c:numCache>
                <c:formatCode>0.00</c:formatCode>
                <c:ptCount val="1"/>
                <c:pt idx="0">
                  <c:v>11.399900000000001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3.3761799999999997</c:v>
                </c:pt>
              </c:numCache>
            </c:numRef>
          </c:xVal>
          <c:yVal>
            <c:numRef>
              <c:f>[0]!FT_PH09</c:f>
              <c:numCache>
                <c:formatCode>0.00</c:formatCode>
                <c:ptCount val="1"/>
                <c:pt idx="0">
                  <c:v>11.399900000000001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3.3761799999999997</c:v>
                </c:pt>
              </c:numCache>
            </c:numRef>
          </c:xVal>
          <c:yVal>
            <c:numRef>
              <c:f>[0]!FT_PH10</c:f>
              <c:numCache>
                <c:formatCode>0.00</c:formatCode>
                <c:ptCount val="1"/>
                <c:pt idx="0">
                  <c:v>11.399900000000001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3.3761799999999997</c:v>
                </c:pt>
              </c:numCache>
            </c:numRef>
          </c:xVal>
          <c:yVal>
            <c:numRef>
              <c:f>[0]!FT_PH11</c:f>
              <c:numCache>
                <c:formatCode>0.00</c:formatCode>
                <c:ptCount val="1"/>
                <c:pt idx="0">
                  <c:v>11.399900000000001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3.3761799999999997</c:v>
                </c:pt>
              </c:numCache>
            </c:numRef>
          </c:xVal>
          <c:yVal>
            <c:numRef>
              <c:f>[0]!FT_PH12</c:f>
              <c:numCache>
                <c:formatCode>0.00</c:formatCode>
                <c:ptCount val="1"/>
                <c:pt idx="0">
                  <c:v>11.399900000000001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3.3761799999999997</c:v>
                </c:pt>
              </c:numCache>
            </c:numRef>
          </c:xVal>
          <c:yVal>
            <c:numRef>
              <c:f>[0]!FT_PH13</c:f>
              <c:numCache>
                <c:formatCode>0.00</c:formatCode>
                <c:ptCount val="1"/>
                <c:pt idx="0">
                  <c:v>11.399900000000001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3.3761799999999997</c:v>
                </c:pt>
              </c:numCache>
            </c:numRef>
          </c:xVal>
          <c:yVal>
            <c:numRef>
              <c:f>[0]!FT_PH14</c:f>
              <c:numCache>
                <c:formatCode>0.00</c:formatCode>
                <c:ptCount val="1"/>
                <c:pt idx="0">
                  <c:v>11.399900000000001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3.3761799999999997</c:v>
                </c:pt>
              </c:numCache>
            </c:numRef>
          </c:xVal>
          <c:yVal>
            <c:numRef>
              <c:f>[0]!FT_PH15</c:f>
              <c:numCache>
                <c:formatCode>0.00</c:formatCode>
                <c:ptCount val="1"/>
                <c:pt idx="0">
                  <c:v>11.399900000000001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3.3761799999999997</c:v>
                </c:pt>
              </c:numCache>
            </c:numRef>
          </c:xVal>
          <c:yVal>
            <c:numRef>
              <c:f>[0]!FT_PH16</c:f>
              <c:numCache>
                <c:formatCode>0.00</c:formatCode>
                <c:ptCount val="1"/>
                <c:pt idx="0">
                  <c:v>11.399900000000001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3.3761799999999997</c:v>
                </c:pt>
              </c:numCache>
            </c:numRef>
          </c:xVal>
          <c:yVal>
            <c:numRef>
              <c:f>[0]!FT_PH17</c:f>
              <c:numCache>
                <c:formatCode>0.00</c:formatCode>
                <c:ptCount val="1"/>
                <c:pt idx="0">
                  <c:v>11.399900000000001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3.3761799999999997</c:v>
                </c:pt>
              </c:numCache>
            </c:numRef>
          </c:xVal>
          <c:yVal>
            <c:numRef>
              <c:f>[0]!FT_PH18</c:f>
              <c:numCache>
                <c:formatCode>0.00</c:formatCode>
                <c:ptCount val="1"/>
                <c:pt idx="0">
                  <c:v>11.399900000000001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3.3761799999999997</c:v>
                </c:pt>
              </c:numCache>
            </c:numRef>
          </c:xVal>
          <c:yVal>
            <c:numRef>
              <c:f>[0]!FT_PH19</c:f>
              <c:numCache>
                <c:formatCode>0.00</c:formatCode>
                <c:ptCount val="1"/>
                <c:pt idx="0">
                  <c:v>11.399900000000001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3.3761799999999997</c:v>
                </c:pt>
              </c:numCache>
            </c:numRef>
          </c:xVal>
          <c:yVal>
            <c:numRef>
              <c:f>[0]!FT_PH20</c:f>
              <c:numCache>
                <c:formatCode>0.00</c:formatCode>
                <c:ptCount val="1"/>
                <c:pt idx="0">
                  <c:v>11.399900000000001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3.3761799999999997</c:v>
                </c:pt>
              </c:numCache>
            </c:numRef>
          </c:xVal>
          <c:yVal>
            <c:numRef>
              <c:f>[0]!FT_PH21</c:f>
              <c:numCache>
                <c:formatCode>0.00</c:formatCode>
                <c:ptCount val="1"/>
                <c:pt idx="0">
                  <c:v>11.399900000000001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3.3761799999999997</c:v>
                </c:pt>
              </c:numCache>
            </c:numRef>
          </c:xVal>
          <c:yVal>
            <c:numRef>
              <c:f>[0]!FT_PH22</c:f>
              <c:numCache>
                <c:formatCode>0.00</c:formatCode>
                <c:ptCount val="1"/>
                <c:pt idx="0">
                  <c:v>11.399900000000001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3.3761799999999997</c:v>
                </c:pt>
              </c:numCache>
            </c:numRef>
          </c:xVal>
          <c:yVal>
            <c:numRef>
              <c:f>[0]!FT_PH23</c:f>
              <c:numCache>
                <c:formatCode>0.00</c:formatCode>
                <c:ptCount val="1"/>
                <c:pt idx="0">
                  <c:v>11.399900000000001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3.3761799999999997</c:v>
                </c:pt>
              </c:numCache>
            </c:numRef>
          </c:xVal>
          <c:yVal>
            <c:numRef>
              <c:f>[0]!FT_PH24</c:f>
              <c:numCache>
                <c:formatCode>0.00</c:formatCode>
                <c:ptCount val="1"/>
                <c:pt idx="0">
                  <c:v>11.399900000000001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3.3761799999999997</c:v>
                </c:pt>
              </c:numCache>
            </c:numRef>
          </c:xVal>
          <c:yVal>
            <c:numRef>
              <c:f>info!$H$2</c:f>
              <c:numCache>
                <c:formatCode>0.00</c:formatCode>
                <c:ptCount val="1"/>
                <c:pt idx="0">
                  <c:v>11.399900000000001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0.3235913680205369</c:v>
                </c:pt>
                <c:pt idx="1">
                  <c:v>0.40534462248451109</c:v>
                </c:pt>
                <c:pt idx="2">
                  <c:v>0.27106400949495196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0.37014999999999998</c:v>
                </c:pt>
                <c:pt idx="2">
                  <c:v>0.78969699999999998</c:v>
                </c:pt>
                <c:pt idx="3">
                  <c:v>1.17787</c:v>
                </c:pt>
                <c:pt idx="4">
                  <c:v>1.5904799999999999</c:v>
                </c:pt>
                <c:pt idx="5">
                  <c:v>1.9999100000000001</c:v>
                </c:pt>
                <c:pt idx="6">
                  <c:v>2.4061699999999999</c:v>
                </c:pt>
                <c:pt idx="7">
                  <c:v>2.8075800000000002</c:v>
                </c:pt>
                <c:pt idx="8">
                  <c:v>3.21604</c:v>
                </c:pt>
                <c:pt idx="9">
                  <c:v>3.6219899999999998</c:v>
                </c:pt>
                <c:pt idx="10">
                  <c:v>4.04542</c:v>
                </c:pt>
                <c:pt idx="11">
                  <c:v>4.47302</c:v>
                </c:pt>
                <c:pt idx="12">
                  <c:v>4.8472099999999996</c:v>
                </c:pt>
                <c:pt idx="13">
                  <c:v>5.2542600000000004</c:v>
                </c:pt>
                <c:pt idx="14">
                  <c:v>5.6542300000000001</c:v>
                </c:pt>
                <c:pt idx="15">
                  <c:v>6.05992</c:v>
                </c:pt>
                <c:pt idx="16">
                  <c:v>6.4690500000000002</c:v>
                </c:pt>
                <c:pt idx="17">
                  <c:v>6.8726399999999996</c:v>
                </c:pt>
                <c:pt idx="18">
                  <c:v>7.2815000000000003</c:v>
                </c:pt>
                <c:pt idx="19">
                  <c:v>7.6829799999999997</c:v>
                </c:pt>
                <c:pt idx="20">
                  <c:v>8.0920400000000008</c:v>
                </c:pt>
                <c:pt idx="21">
                  <c:v>8.5050500000000007</c:v>
                </c:pt>
                <c:pt idx="22">
                  <c:v>8.9030400000000007</c:v>
                </c:pt>
                <c:pt idx="23">
                  <c:v>9.3136100000000006</c:v>
                </c:pt>
                <c:pt idx="24">
                  <c:v>9.7139100000000003</c:v>
                </c:pt>
                <c:pt idx="25">
                  <c:v>10.123100000000001</c:v>
                </c:pt>
              </c:numCache>
            </c:numRef>
          </c:xVal>
          <c:yVal>
            <c:numRef>
              <c:f>[0]!FT_E</c:f>
              <c:numCache>
                <c:formatCode>0.00</c:formatCode>
                <c:ptCount val="26"/>
                <c:pt idx="0">
                  <c:v>3.3761799999999997</c:v>
                </c:pt>
                <c:pt idx="1">
                  <c:v>2.8731400000000002</c:v>
                </c:pt>
                <c:pt idx="2">
                  <c:v>1.8493000000000002</c:v>
                </c:pt>
                <c:pt idx="3">
                  <c:v>0.81915899999999997</c:v>
                </c:pt>
                <c:pt idx="4">
                  <c:v>0.91969999999999996</c:v>
                </c:pt>
                <c:pt idx="5">
                  <c:v>1.00329</c:v>
                </c:pt>
                <c:pt idx="6">
                  <c:v>1.0817999999999999</c:v>
                </c:pt>
                <c:pt idx="7">
                  <c:v>1.16472</c:v>
                </c:pt>
                <c:pt idx="8">
                  <c:v>1.2457400000000001</c:v>
                </c:pt>
                <c:pt idx="9">
                  <c:v>1.3236600000000001</c:v>
                </c:pt>
                <c:pt idx="10">
                  <c:v>1.3970499999999999</c:v>
                </c:pt>
                <c:pt idx="11">
                  <c:v>1.47112</c:v>
                </c:pt>
                <c:pt idx="12">
                  <c:v>1.5493899999999998</c:v>
                </c:pt>
                <c:pt idx="13">
                  <c:v>1.6333900000000001</c:v>
                </c:pt>
                <c:pt idx="14">
                  <c:v>1.7082299999999999</c:v>
                </c:pt>
                <c:pt idx="15">
                  <c:v>1.77565</c:v>
                </c:pt>
                <c:pt idx="16">
                  <c:v>1.8371899999999999</c:v>
                </c:pt>
                <c:pt idx="17">
                  <c:v>1.8917000000000002</c:v>
                </c:pt>
                <c:pt idx="18">
                  <c:v>1.9419</c:v>
                </c:pt>
                <c:pt idx="19">
                  <c:v>1.9701900000000001</c:v>
                </c:pt>
                <c:pt idx="20">
                  <c:v>1.9918100000000001</c:v>
                </c:pt>
                <c:pt idx="21">
                  <c:v>2.0048499999999998</c:v>
                </c:pt>
                <c:pt idx="22">
                  <c:v>2.0174099999999999</c:v>
                </c:pt>
                <c:pt idx="23">
                  <c:v>2.0293700000000001</c:v>
                </c:pt>
                <c:pt idx="24">
                  <c:v>2.04399</c:v>
                </c:pt>
                <c:pt idx="25">
                  <c:v>2.0567600000000001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3.3761799999999997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3.3761799999999997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3.3761799999999997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3.3761799999999997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3.3761799999999997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3.3761799999999997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3.3761799999999997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3.3761799999999997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3.3761799999999997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3.3761799999999997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3.3761799999999997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3.3761799999999997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3.3761799999999997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3.3761799999999997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3.3761799999999997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3.3761799999999997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3.3761799999999997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3.3761799999999997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3.3761799999999997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3.3761799999999997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3.3761799999999997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3.3761799999999997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3.3761799999999997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3.3761799999999997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0.37014999999999998</c:v>
                </c:pt>
                <c:pt idx="2">
                  <c:v>0.78969699999999998</c:v>
                </c:pt>
                <c:pt idx="3">
                  <c:v>1.17787</c:v>
                </c:pt>
                <c:pt idx="4">
                  <c:v>1.5904799999999999</c:v>
                </c:pt>
                <c:pt idx="5">
                  <c:v>1.9999100000000001</c:v>
                </c:pt>
                <c:pt idx="6">
                  <c:v>2.4061699999999999</c:v>
                </c:pt>
                <c:pt idx="7">
                  <c:v>2.8075800000000002</c:v>
                </c:pt>
                <c:pt idx="8">
                  <c:v>3.21604</c:v>
                </c:pt>
                <c:pt idx="9">
                  <c:v>3.6219899999999998</c:v>
                </c:pt>
                <c:pt idx="10">
                  <c:v>4.04542</c:v>
                </c:pt>
                <c:pt idx="11">
                  <c:v>4.47302</c:v>
                </c:pt>
                <c:pt idx="12">
                  <c:v>4.8472099999999996</c:v>
                </c:pt>
                <c:pt idx="13">
                  <c:v>5.2542600000000004</c:v>
                </c:pt>
                <c:pt idx="14">
                  <c:v>5.6542300000000001</c:v>
                </c:pt>
                <c:pt idx="15">
                  <c:v>6.05992</c:v>
                </c:pt>
                <c:pt idx="16">
                  <c:v>6.4690500000000002</c:v>
                </c:pt>
                <c:pt idx="17">
                  <c:v>6.8726399999999996</c:v>
                </c:pt>
                <c:pt idx="18">
                  <c:v>7.2815000000000003</c:v>
                </c:pt>
                <c:pt idx="19">
                  <c:v>7.6829799999999997</c:v>
                </c:pt>
                <c:pt idx="20">
                  <c:v>8.0920400000000008</c:v>
                </c:pt>
                <c:pt idx="21">
                  <c:v>8.5050500000000007</c:v>
                </c:pt>
                <c:pt idx="22">
                  <c:v>8.9030400000000007</c:v>
                </c:pt>
                <c:pt idx="23">
                  <c:v>9.3136100000000006</c:v>
                </c:pt>
                <c:pt idx="24">
                  <c:v>9.7139100000000003</c:v>
                </c:pt>
                <c:pt idx="25">
                  <c:v>10.123100000000001</c:v>
                </c:pt>
              </c:numCache>
            </c:numRef>
          </c:xVal>
          <c:yVal>
            <c:numRef>
              <c:f>[0]!FT_PH</c:f>
              <c:numCache>
                <c:formatCode>0.00</c:formatCode>
                <c:ptCount val="26"/>
                <c:pt idx="0">
                  <c:v>11.399900000000001</c:v>
                </c:pt>
                <c:pt idx="1">
                  <c:v>4.9921599999999993</c:v>
                </c:pt>
                <c:pt idx="2">
                  <c:v>13.095300000000002</c:v>
                </c:pt>
                <c:pt idx="3">
                  <c:v>84.729200000000006</c:v>
                </c:pt>
                <c:pt idx="4">
                  <c:v>84.511899999999997</c:v>
                </c:pt>
                <c:pt idx="5">
                  <c:v>83.289000000000001</c:v>
                </c:pt>
                <c:pt idx="6">
                  <c:v>81.683300000000003</c:v>
                </c:pt>
                <c:pt idx="7">
                  <c:v>79.633799999999994</c:v>
                </c:pt>
                <c:pt idx="8">
                  <c:v>77.914500000000004</c:v>
                </c:pt>
                <c:pt idx="9">
                  <c:v>75.991</c:v>
                </c:pt>
                <c:pt idx="10">
                  <c:v>74.011200000000002</c:v>
                </c:pt>
                <c:pt idx="11">
                  <c:v>72.25200000000001</c:v>
                </c:pt>
                <c:pt idx="12">
                  <c:v>71.477599999999995</c:v>
                </c:pt>
                <c:pt idx="13">
                  <c:v>71.565699999999993</c:v>
                </c:pt>
                <c:pt idx="14">
                  <c:v>71.844499999999996</c:v>
                </c:pt>
                <c:pt idx="15">
                  <c:v>72.186300000000003</c:v>
                </c:pt>
                <c:pt idx="16">
                  <c:v>72.7042</c:v>
                </c:pt>
                <c:pt idx="17">
                  <c:v>73.304699999999997</c:v>
                </c:pt>
                <c:pt idx="18">
                  <c:v>73.979799999999997</c:v>
                </c:pt>
                <c:pt idx="19">
                  <c:v>74.599499999999992</c:v>
                </c:pt>
                <c:pt idx="20">
                  <c:v>74.936899999999994</c:v>
                </c:pt>
                <c:pt idx="21">
                  <c:v>74.641900000000007</c:v>
                </c:pt>
                <c:pt idx="22">
                  <c:v>74.39139999999999</c:v>
                </c:pt>
                <c:pt idx="23">
                  <c:v>74.228899999999996</c:v>
                </c:pt>
                <c:pt idx="24">
                  <c:v>74.049800000000005</c:v>
                </c:pt>
                <c:pt idx="25">
                  <c:v>74.031300000000002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11.399900000000001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11.399900000000001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11.399900000000001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11.399900000000001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11.399900000000001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11.399900000000001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11.399900000000001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11.399900000000001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11.399900000000001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11.399900000000001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11.399900000000001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11.399900000000001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11.399900000000001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11.399900000000001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11.399900000000001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11.399900000000001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11.399900000000001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11.399900000000001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11.399900000000001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11.399900000000001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11.399900000000001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11.399900000000001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11.399900000000001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11.399900000000001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0.65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-5.4287205632777464</c:v>
                </c:pt>
                <c:pt idx="1">
                  <c:v>-5.4287205632777464</c:v>
                </c:pt>
                <c:pt idx="2">
                  <c:v>-7</c:v>
                </c:pt>
              </c:numCache>
            </c:numRef>
          </c:xVal>
          <c:yVal>
            <c:numRef>
              <c:f>'R'!$I$5:$I$7</c:f>
              <c:numCache>
                <c:formatCode>0.0_ </c:formatCode>
                <c:ptCount val="3"/>
                <c:pt idx="0">
                  <c:v>0</c:v>
                </c:pt>
                <c:pt idx="1">
                  <c:v>0.65239946246276148</c:v>
                </c:pt>
                <c:pt idx="2">
                  <c:v>0.65239946246276148</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-5.4287205632777464</c:v>
                </c:pt>
                <c:pt idx="1">
                  <c:v>-5.4287205632777464</c:v>
                </c:pt>
                <c:pt idx="2">
                  <c:v>-7</c:v>
                </c:pt>
              </c:numCache>
            </c:numRef>
          </c:xVal>
          <c:yVal>
            <c:numRef>
              <c:f>'R'!$I$5:$I$7</c:f>
              <c:numCache>
                <c:formatCode>0.0_ </c:formatCode>
                <c:ptCount val="3"/>
                <c:pt idx="0">
                  <c:v>0</c:v>
                </c:pt>
                <c:pt idx="1">
                  <c:v>0.65239946246276148</c:v>
                </c:pt>
                <c:pt idx="2">
                  <c:v>0.65239946246276148</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-5.4287205632777464</c:v>
                </c:pt>
              </c:numCache>
            </c:numRef>
          </c:xVal>
          <c:yVal>
            <c:numRef>
              <c:f>'R'!$I$4</c:f>
              <c:numCache>
                <c:formatCode>0.00_ </c:formatCode>
                <c:ptCount val="1"/>
                <c:pt idx="0">
                  <c:v>0.65239946246276148</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79.63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79.626474999999999</c:v>
                </c:pt>
                <c:pt idx="1">
                  <c:v>79.626474999999999</c:v>
                </c:pt>
                <c:pt idx="2">
                  <c:v>0</c:v>
                </c:pt>
              </c:numCache>
            </c:numRef>
          </c:xVal>
          <c:yVal>
            <c:numRef>
              <c:f>'R2'!$I$5:$I$7</c:f>
              <c:numCache>
                <c:formatCode>0.0_ </c:formatCode>
                <c:ptCount val="3"/>
                <c:pt idx="0">
                  <c:v>0</c:v>
                </c:pt>
                <c:pt idx="1">
                  <c:v>90.898421790070572</c:v>
                </c:pt>
                <c:pt idx="2">
                  <c:v>90.898421790070572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0.87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0.86711000000000005</c:v>
                </c:pt>
                <c:pt idx="1">
                  <c:v>0.86711000000000005</c:v>
                </c:pt>
                <c:pt idx="2">
                  <c:v>0</c:v>
                </c:pt>
              </c:numCache>
            </c:numRef>
          </c:xVal>
          <c:yVal>
            <c:numRef>
              <c:f>'R3'!$I$6:$I$8</c:f>
              <c:numCache>
                <c:formatCode>0.0_ </c:formatCode>
                <c:ptCount val="3"/>
                <c:pt idx="0">
                  <c:v>0</c:v>
                </c:pt>
                <c:pt idx="1">
                  <c:v>7.3691564379773826</c:v>
                </c:pt>
                <c:pt idx="2">
                  <c:v>7.3691564379773826</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감정변이도0.87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0.86711000000000005</c:v>
                </c:pt>
                <c:pt idx="1">
                  <c:v>0.86711000000000005</c:v>
                </c:pt>
                <c:pt idx="2">
                  <c:v>0</c:v>
                </c:pt>
              </c:numCache>
            </c:numRef>
          </c:xVal>
          <c:yVal>
            <c:numRef>
              <c:f>'R4'!$I$5:$I$7</c:f>
              <c:numCache>
                <c:formatCode>0.0_ </c:formatCode>
                <c:ptCount val="3"/>
                <c:pt idx="0">
                  <c:v>0</c:v>
                </c:pt>
                <c:pt idx="1">
                  <c:v>3.0561909150218426E-2</c:v>
                </c:pt>
                <c:pt idx="2">
                  <c:v>3.0561909150218426E-2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0.44351410449162515</c:v>
                </c:pt>
                <c:pt idx="1">
                  <c:v>0.2472651520151391</c:v>
                </c:pt>
                <c:pt idx="2">
                  <c:v>0.30922074349323569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0.37432428938680495</c:v>
                </c:pt>
                <c:pt idx="1">
                  <c:v>0.46889488646263172</c:v>
                </c:pt>
                <c:pt idx="2">
                  <c:v>0.15678082415056332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(56.6 , 7.4)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56.581681569556544</c:v>
                      </c:pt>
                    </c:numCache>
                  </c:numRef>
                </c:xVal>
                <c:yVal>
                  <c:numRef>
                    <c:extLst>
                      <c:ext uri="{02D57815-91ED-43cb-92C2-25804820EDAC}">
                        <c15:formulaRef>
                          <c15:sqref>info!$W$20:$W$21</c15:sqref>
                        </c15:formulaRef>
                      </c:ext>
                    </c:extLst>
                    <c:numCache>
                      <c:formatCode>General</c:formatCode>
                      <c:ptCount val="2"/>
                      <c:pt idx="0">
                        <c:v>50</c:v>
                      </c:pt>
                      <c:pt idx="1">
                        <c:v>7.3691564379773826</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(85.2 , 78.4)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85.165700000000001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21.623400000000004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(56.6 , 7.4)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56.581681569556544</c:v>
                      </c:pt>
                    </c:numCache>
                  </c:numRef>
                </c:xVal>
                <c:yVal>
                  <c:numRef>
                    <c:extLst>
                      <c:ext uri="{02D57815-91ED-43cb-92C2-25804820EDAC}">
                        <c15:formulaRef>
                          <c15:sqref>info!$W$20:$W$21</c15:sqref>
                        </c15:formulaRef>
                      </c:ext>
                    </c:extLst>
                    <c:numCache>
                      <c:formatCode>General</c:formatCode>
                      <c:ptCount val="2"/>
                      <c:pt idx="0">
                        <c:v>50</c:v>
                      </c:pt>
                      <c:pt idx="1">
                        <c:v>7.3691564379773826</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(85.2 , 78.4)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85.165700000000001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21.623400000000004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(56.6 , 7.4)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56.581681569556544</c:v>
                      </c:pt>
                    </c:numCache>
                  </c:numRef>
                </c:xVal>
                <c:yVal>
                  <c:numRef>
                    <c:extLst>
                      <c:ext uri="{02D57815-91ED-43cb-92C2-25804820EDAC}">
                        <c15:formulaRef>
                          <c15:sqref>info!$W$20:$W$21</c15:sqref>
                        </c15:formulaRef>
                      </c:ext>
                    </c:extLst>
                    <c:numCache>
                      <c:formatCode>General</c:formatCode>
                      <c:ptCount val="2"/>
                      <c:pt idx="0">
                        <c:v>50</c:v>
                      </c:pt>
                      <c:pt idx="1">
                        <c:v>7.3691564379773826</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(85.2 , 78.4)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85.165700000000001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21.623400000000004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(56.6 , 7.4)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56.581681569556544</c:v>
                      </c:pt>
                    </c:numCache>
                  </c:numRef>
                </c:xVal>
                <c:yVal>
                  <c:numRef>
                    <c:extLst>
                      <c:ext uri="{02D57815-91ED-43cb-92C2-25804820EDAC}">
                        <c15:formulaRef>
                          <c15:sqref>info!$W$20:$W$21</c15:sqref>
                        </c15:formulaRef>
                      </c:ext>
                    </c:extLst>
                    <c:numCache>
                      <c:formatCode>General</c:formatCode>
                      <c:ptCount val="2"/>
                      <c:pt idx="0">
                        <c:v>50</c:v>
                      </c:pt>
                      <c:pt idx="1">
                        <c:v>7.3691564379773826</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(85.2 , 78.4)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85.165700000000001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21.623400000000004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(56.6 , 7.4)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56.581681569556544</c:v>
                      </c:pt>
                    </c:numCache>
                  </c:numRef>
                </c:xVal>
                <c:yVal>
                  <c:numRef>
                    <c:extLst>
                      <c:ext uri="{02D57815-91ED-43cb-92C2-25804820EDAC}">
                        <c15:formulaRef>
                          <c15:sqref>info!$W$20:$W$21</c15:sqref>
                        </c15:formulaRef>
                      </c:ext>
                    </c:extLst>
                    <c:numCache>
                      <c:formatCode>General</c:formatCode>
                      <c:ptCount val="2"/>
                      <c:pt idx="0">
                        <c:v>50</c:v>
                      </c:pt>
                      <c:pt idx="1">
                        <c:v>7.3691564379773826</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(85.2 , 78.4)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85.165700000000001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21.623400000000004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(56.6 , 7.4)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56.581681569556544</c:v>
                      </c:pt>
                    </c:numCache>
                  </c:numRef>
                </c:xVal>
                <c:yVal>
                  <c:numRef>
                    <c:extLst>
                      <c:ext uri="{02D57815-91ED-43cb-92C2-25804820EDAC}">
                        <c15:formulaRef>
                          <c15:sqref>info!$W$20:$W$21</c15:sqref>
                        </c15:formulaRef>
                      </c:ext>
                    </c:extLst>
                    <c:numCache>
                      <c:formatCode>General</c:formatCode>
                      <c:ptCount val="2"/>
                      <c:pt idx="0">
                        <c:v>50</c:v>
                      </c:pt>
                      <c:pt idx="1">
                        <c:v>7.3691564379773826</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(85.2 , 78.4)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85.165700000000001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21.623400000000004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(56.6 , 7.4)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56.581681569556544</c:v>
                      </c:pt>
                    </c:numCache>
                  </c:numRef>
                </c:xVal>
                <c:yVal>
                  <c:numRef>
                    <c:extLst>
                      <c:ext uri="{02D57815-91ED-43cb-92C2-25804820EDAC}">
                        <c15:formulaRef>
                          <c15:sqref>info!$W$20:$W$21</c15:sqref>
                        </c15:formulaRef>
                      </c:ext>
                    </c:extLst>
                    <c:numCache>
                      <c:formatCode>General</c:formatCode>
                      <c:ptCount val="2"/>
                      <c:pt idx="0">
                        <c:v>50</c:v>
                      </c:pt>
                      <c:pt idx="1">
                        <c:v>7.3691564379773826</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(85.2 , 78.4)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85.165700000000001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21.623400000000004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(56.6 , 7.4)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56.581681569556544</c:v>
                      </c:pt>
                    </c:numCache>
                  </c:numRef>
                </c:xVal>
                <c:yVal>
                  <c:numRef>
                    <c:extLst>
                      <c:ext uri="{02D57815-91ED-43cb-92C2-25804820EDAC}">
                        <c15:formulaRef>
                          <c15:sqref>info!$W$20:$W$21</c15:sqref>
                        </c15:formulaRef>
                      </c:ext>
                    </c:extLst>
                    <c:numCache>
                      <c:formatCode>General</c:formatCode>
                      <c:ptCount val="2"/>
                      <c:pt idx="0">
                        <c:v>50</c:v>
                      </c:pt>
                      <c:pt idx="1">
                        <c:v>7.3691564379773826</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(85.2 , 78.4)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85.165700000000001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21.623400000000004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(56.6 , 7.4)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56.581681569556544</c:v>
                      </c:pt>
                    </c:numCache>
                  </c:numRef>
                </c:xVal>
                <c:yVal>
                  <c:numRef>
                    <c:extLst>
                      <c:ext uri="{02D57815-91ED-43cb-92C2-25804820EDAC}">
                        <c15:formulaRef>
                          <c15:sqref>info!$W$20:$W$21</c15:sqref>
                        </c15:formulaRef>
                      </c:ext>
                    </c:extLst>
                    <c:numCache>
                      <c:formatCode>General</c:formatCode>
                      <c:ptCount val="2"/>
                      <c:pt idx="0">
                        <c:v>50</c:v>
                      </c:pt>
                      <c:pt idx="1">
                        <c:v>7.3691564379773826</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(85.2 , 78.4)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85.165700000000001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21.623400000000004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(56.6 , 7.4)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56.581681569556544</c:v>
                      </c:pt>
                    </c:numCache>
                  </c:numRef>
                </c:xVal>
                <c:yVal>
                  <c:numRef>
                    <c:extLst>
                      <c:ext uri="{02D57815-91ED-43cb-92C2-25804820EDAC}">
                        <c15:formulaRef>
                          <c15:sqref>info!$W$20:$W$21</c15:sqref>
                        </c15:formulaRef>
                      </c:ext>
                    </c:extLst>
                    <c:numCache>
                      <c:formatCode>General</c:formatCode>
                      <c:ptCount val="2"/>
                      <c:pt idx="0">
                        <c:v>50</c:v>
                      </c:pt>
                      <c:pt idx="1">
                        <c:v>7.3691564379773826</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(85.2 , 78.4)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85.165700000000001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21.623400000000004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(56.6 , 7.4)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56.581681569556544</c:v>
                      </c:pt>
                    </c:numCache>
                  </c:numRef>
                </c:xVal>
                <c:yVal>
                  <c:numRef>
                    <c:extLst>
                      <c:ext uri="{02D57815-91ED-43cb-92C2-25804820EDAC}">
                        <c15:formulaRef>
                          <c15:sqref>info!$W$20:$W$21</c15:sqref>
                        </c15:formulaRef>
                      </c:ext>
                    </c:extLst>
                    <c:numCache>
                      <c:formatCode>General</c:formatCode>
                      <c:ptCount val="2"/>
                      <c:pt idx="0">
                        <c:v>50</c:v>
                      </c:pt>
                      <c:pt idx="1">
                        <c:v>7.3691564379773826</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(85.2 , 78.4)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85.165700000000001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21.623400000000004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(56.6 , 7.4)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56.581681569556544</c:v>
                      </c:pt>
                    </c:numCache>
                  </c:numRef>
                </c:xVal>
                <c:yVal>
                  <c:numRef>
                    <c:extLst>
                      <c:ext uri="{02D57815-91ED-43cb-92C2-25804820EDAC}">
                        <c15:formulaRef>
                          <c15:sqref>info!$W$20:$W$21</c15:sqref>
                        </c15:formulaRef>
                      </c:ext>
                    </c:extLst>
                    <c:numCache>
                      <c:formatCode>General</c:formatCode>
                      <c:ptCount val="2"/>
                      <c:pt idx="0">
                        <c:v>50</c:v>
                      </c:pt>
                      <c:pt idx="1">
                        <c:v>7.3691564379773826</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(85.2 , 78.4)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85.165700000000001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21.623400000000004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(56.6 , 7.4)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56.581681569556544</c:v>
                      </c:pt>
                    </c:numCache>
                  </c:numRef>
                </c:xVal>
                <c:yVal>
                  <c:numRef>
                    <c:extLst>
                      <c:ext uri="{02D57815-91ED-43cb-92C2-25804820EDAC}">
                        <c15:formulaRef>
                          <c15:sqref>info!$W$20:$W$21</c15:sqref>
                        </c15:formulaRef>
                      </c:ext>
                    </c:extLst>
                    <c:numCache>
                      <c:formatCode>General</c:formatCode>
                      <c:ptCount val="2"/>
                      <c:pt idx="0">
                        <c:v>50</c:v>
                      </c:pt>
                      <c:pt idx="1">
                        <c:v>7.3691564379773826</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(85.2 , 78.4)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85.165700000000001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21.623400000000004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(56.6 , 7.4)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56.581681569556544</c:v>
                      </c:pt>
                    </c:numCache>
                  </c:numRef>
                </c:xVal>
                <c:yVal>
                  <c:numRef>
                    <c:extLst>
                      <c:ext uri="{02D57815-91ED-43cb-92C2-25804820EDAC}">
                        <c15:formulaRef>
                          <c15:sqref>info!$W$20:$W$21</c15:sqref>
                        </c15:formulaRef>
                      </c:ext>
                    </c:extLst>
                    <c:numCache>
                      <c:formatCode>General</c:formatCode>
                      <c:ptCount val="2"/>
                      <c:pt idx="0">
                        <c:v>50</c:v>
                      </c:pt>
                      <c:pt idx="1">
                        <c:v>7.3691564379773826</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(85.2 , 78.4)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85.165700000000001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21.623400000000004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8\vision%5e&#44608;&#51221;&#44397;%5e1%5e64%5e&#51068;&#49345;&#49468;&#53552;\2025-05-18%2014_41_2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8\vision%5e&#44608;&#51221;&#44397;%5e1%5e64%5e&#51068;&#49345;&#49468;&#53552;\2025-05-18%2014_41_2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ABA25D1A-00CA-DC62-C35B-23EDDE180C4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2A6915A6-CA37-B022-D301-0AA0CDADBF61}"/>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45795.612199074072</v>
      </c>
      <c r="F8" s="744"/>
      <c r="G8" s="744"/>
      <c r="H8" s="744"/>
      <c r="I8" s="745"/>
      <c r="J8" s="339" t="str">
        <f>lang!B133</f>
        <v>측정장소</v>
      </c>
      <c r="K8" s="746" t="str">
        <f>IF(FH_info!B2="","",TRIM(MID(SUBSTITUTE(FH_info!B2,"^",REPT(" ",LEN(FH_info!B2))),LEN(FH_info!B2)*5-LEN(FH_info!B2)+1,LEN(FH_info!B2))))</f>
        <v>일상센터</v>
      </c>
      <c r="L8" s="747"/>
      <c r="M8" s="747"/>
      <c r="N8" s="747"/>
      <c r="O8" s="748"/>
      <c r="P8" s="340"/>
    </row>
    <row r="9" spans="3:16" ht="21.75" customHeight="1">
      <c r="C9" s="742"/>
      <c r="D9" s="338" t="str">
        <f>lang!B134</f>
        <v>이름</v>
      </c>
      <c r="E9" s="746" t="str">
        <f>IF(FH_info!B2="","",TRIM(MID(SUBSTITUTE(FH_info!B2,"^",REPT(" ",LEN(FH_info!B2))),LEN(FH_info!B2)*2-LEN(FH_info!B2)+1,LEN(FH_info!B2))))</f>
        <v>김정국</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64</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45795.612199074072</v>
      </c>
      <c r="H7" s="876"/>
      <c r="I7" s="877"/>
      <c r="J7" s="166" t="str">
        <f>lang!B160</f>
        <v>나이</v>
      </c>
      <c r="K7" s="878" t="str">
        <f>IF(FH_info!B2="","",TRIM(MID(SUBSTITUTE(FH_info!B2,"^",REPT(" ",LEN(FH_info!B2))),LEN(FH_info!B2)*4-LEN(FH_info!B2)+1,LEN(FH_info!B2))))</f>
        <v>64</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김정국</v>
      </c>
      <c r="H8" s="885"/>
      <c r="I8" s="886"/>
      <c r="J8" s="146" t="str">
        <f>lang!B166</f>
        <v>직업</v>
      </c>
      <c r="K8" s="887"/>
      <c r="L8" s="887"/>
      <c r="M8" s="146" t="str">
        <f>lang!B167</f>
        <v>ID</v>
      </c>
      <c r="N8" s="888"/>
      <c r="O8" s="889"/>
      <c r="P8" s="884" t="str">
        <f>IF(FH_info!B2="","",TRIM(MID(SUBSTITUTE(FH_info!B2,"^",REPT(" ",LEN(FH_info!B2))),LEN(FH_info!B2)*5-LEN(FH_info!B2)+1,LEN(FH_info!B2))))</f>
        <v>일상센터</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 ca="1">Measurement!CJ8</f>
        <v>10</v>
      </c>
      <c r="L12" s="234">
        <f ca="1">IF(M12=2,Measurement!CK8,"")</f>
        <v>3</v>
      </c>
      <c r="M12" s="309">
        <f ca="1">Measurement!CL8</f>
        <v>2</v>
      </c>
      <c r="N12" s="229"/>
      <c r="O12" s="229"/>
      <c r="P12" s="229"/>
      <c r="Q12" s="229"/>
      <c r="R12" s="245">
        <f>info!V45</f>
        <v>5</v>
      </c>
    </row>
    <row r="13" spans="2:18" ht="12" customHeight="1">
      <c r="C13" s="899" t="str">
        <f>lang!B255</f>
        <v>종합 검사
결과 분류</v>
      </c>
      <c r="D13" s="902" t="str">
        <f ca="1">Measurement!CJ20</f>
        <v>힐링/치유 집단에 속하며,</v>
      </c>
      <c r="E13" s="903"/>
      <c r="F13" s="903"/>
      <c r="G13" s="832" t="str">
        <f ca="1">Measurement!CJ18</f>
        <v>무기력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 ca="1">Measurement!CJ19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-5.4287205632777464</v>
      </c>
      <c r="I20" s="862"/>
      <c r="J20" s="311" t="str">
        <f>lang!B174</f>
        <v>정보량</v>
      </c>
      <c r="K20" s="236">
        <f ca="1">info!N9</f>
        <v>68.132529230769237</v>
      </c>
      <c r="L20" s="312" t="str">
        <f>lang!B175</f>
        <v>에너지</v>
      </c>
      <c r="M20" s="863">
        <f ca="1">info!M9</f>
        <v>1.7298726538461533</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IF(info!CB31&lt;&gt;"",info!CB31,"")</f>
        <v>심리적으로 불편한 정서 상태이고, 심리정보 변화가 증가하고 있어 정서상태가 좋아질 수 있다. 에너지 대사량이 적으며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1</v>
      </c>
      <c r="J32" s="138" t="str">
        <f>lang!B14</f>
        <v>적극/공격성</v>
      </c>
      <c r="K32" s="89" t="s">
        <v>225</v>
      </c>
      <c r="L32" s="503" t="str">
        <f>Measurement!Y7</f>
        <v>매우 낮음</v>
      </c>
      <c r="M32" s="815">
        <f>Measurement!R7</f>
        <v>0</v>
      </c>
      <c r="N32" s="816"/>
      <c r="O32" s="817">
        <f>Measurement!N7</f>
        <v>18.502099999999999</v>
      </c>
      <c r="P32" s="818"/>
      <c r="Q32" s="819">
        <f>Measurement!T7</f>
        <v>50.696800000000003</v>
      </c>
      <c r="R32" s="820"/>
    </row>
    <row r="33" spans="3:18" ht="12.75" customHeight="1">
      <c r="C33" s="77"/>
      <c r="I33" s="502">
        <f>Measurement!L8</f>
        <v>3</v>
      </c>
      <c r="J33" s="139" t="str">
        <f>lang!B15</f>
        <v>스트레스</v>
      </c>
      <c r="K33" s="90" t="s">
        <v>226</v>
      </c>
      <c r="L33" s="504" t="str">
        <f>Measurement!Y8</f>
        <v>보통</v>
      </c>
      <c r="M33" s="792">
        <f>Measurement!R8</f>
        <v>0</v>
      </c>
      <c r="N33" s="793"/>
      <c r="O33" s="806">
        <f>Measurement!N8</f>
        <v>29.701699999999999</v>
      </c>
      <c r="P33" s="807"/>
      <c r="Q33" s="792">
        <f>Measurement!T8</f>
        <v>62.720300000000002</v>
      </c>
      <c r="R33" s="808"/>
    </row>
    <row r="34" spans="3:18" ht="12.75" customHeight="1">
      <c r="C34" s="77"/>
      <c r="I34" s="502">
        <f>Measurement!L9</f>
        <v>1</v>
      </c>
      <c r="J34" s="139" t="str">
        <f>lang!B16</f>
        <v>불안</v>
      </c>
      <c r="K34" s="90" t="s">
        <v>227</v>
      </c>
      <c r="L34" s="504" t="str">
        <f>Measurement!Y9</f>
        <v>매우 낮음</v>
      </c>
      <c r="M34" s="792">
        <f>Measurement!R9</f>
        <v>0</v>
      </c>
      <c r="N34" s="793"/>
      <c r="O34" s="806">
        <f>Measurement!N9</f>
        <v>12.746</v>
      </c>
      <c r="P34" s="807"/>
      <c r="Q34" s="792">
        <f>Measurement!T9</f>
        <v>36.225499999999997</v>
      </c>
      <c r="R34" s="808"/>
    </row>
    <row r="35" spans="3:18" ht="12.75" customHeight="1">
      <c r="C35" s="77"/>
      <c r="I35" s="502">
        <f>Measurement!L10</f>
        <v>2</v>
      </c>
      <c r="J35" s="139" t="str">
        <f>lang!B17</f>
        <v>의심</v>
      </c>
      <c r="K35" s="90" t="s">
        <v>225</v>
      </c>
      <c r="L35" s="504" t="str">
        <f>Measurement!Y10</f>
        <v>낮음</v>
      </c>
      <c r="M35" s="792">
        <f>Measurement!R10</f>
        <v>0</v>
      </c>
      <c r="N35" s="793"/>
      <c r="O35" s="806">
        <f>Measurement!N10</f>
        <v>22.298200000000001</v>
      </c>
      <c r="P35" s="807"/>
      <c r="Q35" s="792">
        <f>Measurement!T10</f>
        <v>40.582999999999998</v>
      </c>
      <c r="R35" s="808"/>
    </row>
    <row r="36" spans="3:18" ht="12.75" customHeight="1">
      <c r="C36" s="77"/>
      <c r="I36" s="502">
        <f>Measurement!L11</f>
        <v>3</v>
      </c>
      <c r="J36" s="139" t="str">
        <f>lang!B18</f>
        <v>밸런스</v>
      </c>
      <c r="K36" s="90" t="s">
        <v>2171</v>
      </c>
      <c r="L36" s="504" t="str">
        <f>Measurement!Y11</f>
        <v>보통</v>
      </c>
      <c r="M36" s="792">
        <f>Measurement!R11</f>
        <v>0</v>
      </c>
      <c r="N36" s="793"/>
      <c r="O36" s="806">
        <f>Measurement!N11</f>
        <v>60.947200000000002</v>
      </c>
      <c r="P36" s="807"/>
      <c r="Q36" s="792">
        <f>Measurement!T11</f>
        <v>97.346199999999996</v>
      </c>
      <c r="R36" s="808"/>
    </row>
    <row r="37" spans="3:18" ht="12.75" customHeight="1">
      <c r="C37" s="77"/>
      <c r="I37" s="502">
        <f>Measurement!L12</f>
        <v>1</v>
      </c>
      <c r="J37" s="139" t="str">
        <f>lang!B19</f>
        <v>카리스마</v>
      </c>
      <c r="K37" s="90" t="s">
        <v>229</v>
      </c>
      <c r="L37" s="504" t="str">
        <f>Measurement!Y12</f>
        <v>매우 낮음</v>
      </c>
      <c r="M37" s="792">
        <f>Measurement!R12</f>
        <v>0</v>
      </c>
      <c r="N37" s="793"/>
      <c r="O37" s="806">
        <f>Measurement!N12</f>
        <v>31.298300000000001</v>
      </c>
      <c r="P37" s="807"/>
      <c r="Q37" s="792">
        <f>Measurement!T12</f>
        <v>58.271799999999999</v>
      </c>
      <c r="R37" s="808"/>
    </row>
    <row r="38" spans="3:18" ht="12.75" customHeight="1">
      <c r="C38" s="77"/>
      <c r="I38" s="502">
        <f>Measurement!L13</f>
        <v>1</v>
      </c>
      <c r="J38" s="139" t="str">
        <f>lang!B20</f>
        <v>에너지</v>
      </c>
      <c r="K38" s="90" t="s">
        <v>2170</v>
      </c>
      <c r="L38" s="504" t="str">
        <f>Measurement!Y13</f>
        <v>매우 낮음</v>
      </c>
      <c r="M38" s="792">
        <f>Measurement!R13</f>
        <v>0</v>
      </c>
      <c r="N38" s="793"/>
      <c r="O38" s="806">
        <f>Measurement!N13</f>
        <v>9.4289199999999997</v>
      </c>
      <c r="P38" s="807"/>
      <c r="Q38" s="792">
        <f>Measurement!T13</f>
        <v>27.077500000000001</v>
      </c>
      <c r="R38" s="808"/>
    </row>
    <row r="39" spans="3:18" ht="12.75" customHeight="1">
      <c r="C39" s="77"/>
      <c r="I39" s="502">
        <f>Measurement!L14</f>
        <v>1</v>
      </c>
      <c r="J39" s="139" t="str">
        <f>lang!B21</f>
        <v>자기조절</v>
      </c>
      <c r="K39" s="90" t="s">
        <v>230</v>
      </c>
      <c r="L39" s="504" t="str">
        <f>Measurement!Y14</f>
        <v>매우 낮음</v>
      </c>
      <c r="M39" s="792">
        <f>Measurement!R14</f>
        <v>0</v>
      </c>
      <c r="N39" s="793"/>
      <c r="O39" s="806">
        <f>Measurement!N14</f>
        <v>47.645699999999998</v>
      </c>
      <c r="P39" s="807"/>
      <c r="Q39" s="792">
        <f>Measurement!T14</f>
        <v>64.250900000000001</v>
      </c>
      <c r="R39" s="808"/>
    </row>
    <row r="40" spans="3:18" ht="12.75" customHeight="1">
      <c r="C40" s="77"/>
      <c r="I40" s="502">
        <f>Measurement!L15</f>
        <v>4</v>
      </c>
      <c r="J40" s="139" t="str">
        <f>lang!B22</f>
        <v>억제</v>
      </c>
      <c r="K40" s="91" t="s">
        <v>248</v>
      </c>
      <c r="L40" s="504" t="str">
        <f>Measurement!Y15</f>
        <v>높음</v>
      </c>
      <c r="M40" s="792">
        <f>Measurement!R15</f>
        <v>0</v>
      </c>
      <c r="N40" s="793"/>
      <c r="O40" s="806">
        <f>Measurement!N15</f>
        <v>26.158300000000001</v>
      </c>
      <c r="P40" s="807"/>
      <c r="Q40" s="792">
        <f>Measurement!T15</f>
        <v>34.614899999999999</v>
      </c>
      <c r="R40" s="808"/>
    </row>
    <row r="41" spans="3:18" ht="12.75" customHeight="1" thickBot="1">
      <c r="C41" s="77"/>
      <c r="I41" s="502">
        <f>Measurement!L16</f>
        <v>5</v>
      </c>
      <c r="J41" s="140" t="str">
        <f>lang!B23</f>
        <v>신경성</v>
      </c>
      <c r="K41" s="92" t="s">
        <v>231</v>
      </c>
      <c r="L41" s="504" t="str">
        <f>Measurement!Y16</f>
        <v>매우 높음</v>
      </c>
      <c r="M41" s="794">
        <f>Measurement!R16</f>
        <v>0</v>
      </c>
      <c r="N41" s="795"/>
      <c r="O41" s="796">
        <f>Measurement!N16</f>
        <v>77.948599999999999</v>
      </c>
      <c r="P41" s="797"/>
      <c r="Q41" s="794">
        <f>Measurement!T16</f>
        <v>108.535</v>
      </c>
      <c r="R41" s="798"/>
    </row>
    <row r="42" spans="3:18" ht="29.25" customHeight="1" thickBot="1">
      <c r="C42" s="77"/>
      <c r="I42" s="84"/>
      <c r="J42" s="780" t="str">
        <f>lang!B215</f>
        <v>감정변이도</v>
      </c>
      <c r="K42" s="781"/>
      <c r="L42" s="319" t="str">
        <f>info!V43</f>
        <v>매우 높음</v>
      </c>
      <c r="M42" s="782">
        <f>info!W43</f>
        <v>44.481000000000002</v>
      </c>
      <c r="N42" s="783"/>
      <c r="O42" s="784" t="str">
        <f>info!V44</f>
        <v>감정변화가 매우 높아 병리적으로 의심되는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높 음</v>
      </c>
      <c r="N43" s="789"/>
      <c r="O43" s="789"/>
      <c r="P43" s="789"/>
      <c r="Q43" s="789"/>
      <c r="R43" s="791"/>
    </row>
    <row r="44" spans="3:18" ht="16.5" customHeight="1">
      <c r="C44" s="799">
        <f>info!$V$36</f>
        <v>0.86711000000000005</v>
      </c>
      <c r="E44" s="249" t="s">
        <v>1072</v>
      </c>
      <c r="G44" s="289"/>
      <c r="H44" s="289"/>
      <c r="I44" s="290"/>
      <c r="J44" s="802">
        <f>info!$W$36</f>
        <v>79.626474999999999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45795.612199074072</v>
      </c>
      <c r="H7" s="876"/>
      <c r="I7" s="877"/>
      <c r="J7" s="166" t="str">
        <f>lang!B160</f>
        <v>나이</v>
      </c>
      <c r="K7" s="878" t="str">
        <f>IF(FH_info!B2="","",TRIM(MID(SUBSTITUTE(FH_info!B2,"^",REPT(" ",LEN(FH_info!B2))),LEN(FH_info!B2)*4-LEN(FH_info!B2)+1,LEN(FH_info!B2))))</f>
        <v>64</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김정국</v>
      </c>
      <c r="H8" s="885"/>
      <c r="I8" s="886"/>
      <c r="J8" s="146" t="str">
        <f>lang!B166</f>
        <v>직업</v>
      </c>
      <c r="K8" s="887"/>
      <c r="L8" s="887"/>
      <c r="M8" s="146" t="str">
        <f>lang!B167</f>
        <v>ID</v>
      </c>
      <c r="N8" s="888"/>
      <c r="O8" s="889"/>
      <c r="P8" s="884" t="str">
        <f>IF(FH_info!B2="","",TRIM(MID(SUBSTITUTE(FH_info!B2,"^",REPT(" ",LEN(FH_info!B2))),LEN(FH_info!B2)*5-LEN(FH_info!B2)+1,LEN(FH_info!B2))))</f>
        <v>일상센터</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 ca="1">Measurement!CJ8</f>
        <v>10</v>
      </c>
      <c r="L12" s="234">
        <f ca="1">IF(M12=2,Measurement!CK8,"")</f>
        <v>3</v>
      </c>
      <c r="M12" s="309">
        <f ca="1">Measurement!CL8</f>
        <v>2</v>
      </c>
      <c r="N12" s="229"/>
      <c r="O12" s="229"/>
      <c r="P12" s="229"/>
      <c r="Q12" s="229"/>
      <c r="R12" s="245">
        <f>info!V45</f>
        <v>5</v>
      </c>
    </row>
    <row r="13" spans="2:18" ht="12" customHeight="1">
      <c r="C13" s="899" t="str">
        <f>lang!B255</f>
        <v>종합 검사
결과 분류</v>
      </c>
      <c r="D13" s="902" t="str">
        <f ca="1">Measurement!CJ14</f>
        <v>힐링/치유 집단에 속하며,</v>
      </c>
      <c r="E13" s="903"/>
      <c r="F13" s="903"/>
      <c r="G13" s="832" t="str">
        <f ca="1">Measurement!CJ11</f>
        <v>무기력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 ca="1">Measurement!CJ12</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-5.4287205632777464</v>
      </c>
      <c r="I20" s="862"/>
      <c r="J20" s="311" t="str">
        <f>lang!B174</f>
        <v>정보량</v>
      </c>
      <c r="K20" s="236">
        <f ca="1">info!N9</f>
        <v>68.132529230769237</v>
      </c>
      <c r="L20" s="312" t="str">
        <f>lang!B175</f>
        <v>에너지</v>
      </c>
      <c r="M20" s="863">
        <f ca="1">info!M9</f>
        <v>1.7298726538461533</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IF(UPPER(FH_info!M2)="EN", "", IF(info!CB31&lt;&gt;"",info!CB31,""))</f>
        <v>심리적으로 불편한 정서 상태이고, 심리정보 변화가 증가하고 있어 정서상태가 좋아질 수 있다. 에너지 대사량이 적으며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1</v>
      </c>
      <c r="J32" s="138" t="str">
        <f>lang!B14</f>
        <v>적극/공격성</v>
      </c>
      <c r="K32" s="89" t="s">
        <v>225</v>
      </c>
      <c r="L32" s="503" t="str">
        <f>Measurement!Y7</f>
        <v>매우 낮음</v>
      </c>
      <c r="M32" s="815">
        <f>Measurement!R7</f>
        <v>0</v>
      </c>
      <c r="N32" s="816"/>
      <c r="O32" s="817">
        <f>Measurement!N7</f>
        <v>18.502099999999999</v>
      </c>
      <c r="P32" s="818"/>
      <c r="Q32" s="819">
        <f>Measurement!T7</f>
        <v>50.696800000000003</v>
      </c>
      <c r="R32" s="820"/>
    </row>
    <row r="33" spans="3:18" ht="12.75" customHeight="1">
      <c r="C33" s="77"/>
      <c r="I33" s="502">
        <f>Measurement!L8</f>
        <v>3</v>
      </c>
      <c r="J33" s="139" t="str">
        <f>lang!B15</f>
        <v>스트레스</v>
      </c>
      <c r="K33" s="90" t="s">
        <v>226</v>
      </c>
      <c r="L33" s="504" t="str">
        <f>Measurement!Y8</f>
        <v>보통</v>
      </c>
      <c r="M33" s="792">
        <f>Measurement!R8</f>
        <v>0</v>
      </c>
      <c r="N33" s="793"/>
      <c r="O33" s="806">
        <f>Measurement!N8</f>
        <v>29.701699999999999</v>
      </c>
      <c r="P33" s="807"/>
      <c r="Q33" s="792">
        <f>Measurement!T8</f>
        <v>62.720300000000002</v>
      </c>
      <c r="R33" s="808"/>
    </row>
    <row r="34" spans="3:18" ht="12.75" customHeight="1">
      <c r="C34" s="77"/>
      <c r="I34" s="502">
        <f>Measurement!L9</f>
        <v>1</v>
      </c>
      <c r="J34" s="139" t="str">
        <f>lang!B16</f>
        <v>불안</v>
      </c>
      <c r="K34" s="90" t="s">
        <v>227</v>
      </c>
      <c r="L34" s="504" t="str">
        <f>Measurement!Y9</f>
        <v>매우 낮음</v>
      </c>
      <c r="M34" s="792">
        <f>Measurement!R9</f>
        <v>0</v>
      </c>
      <c r="N34" s="793"/>
      <c r="O34" s="806">
        <f>Measurement!N9</f>
        <v>12.746</v>
      </c>
      <c r="P34" s="807"/>
      <c r="Q34" s="792">
        <f>Measurement!T9</f>
        <v>36.225499999999997</v>
      </c>
      <c r="R34" s="808"/>
    </row>
    <row r="35" spans="3:18" ht="12.75" customHeight="1">
      <c r="C35" s="77"/>
      <c r="I35" s="502">
        <f>Measurement!L10</f>
        <v>2</v>
      </c>
      <c r="J35" s="139" t="str">
        <f>lang!B17</f>
        <v>의심</v>
      </c>
      <c r="K35" s="90" t="s">
        <v>225</v>
      </c>
      <c r="L35" s="504" t="str">
        <f>Measurement!Y10</f>
        <v>낮음</v>
      </c>
      <c r="M35" s="792">
        <f>Measurement!R10</f>
        <v>0</v>
      </c>
      <c r="N35" s="793"/>
      <c r="O35" s="806">
        <f>Measurement!N10</f>
        <v>22.298200000000001</v>
      </c>
      <c r="P35" s="807"/>
      <c r="Q35" s="792">
        <f>Measurement!T10</f>
        <v>40.582999999999998</v>
      </c>
      <c r="R35" s="808"/>
    </row>
    <row r="36" spans="3:18" ht="12.75" customHeight="1">
      <c r="C36" s="77"/>
      <c r="I36" s="502">
        <f>Measurement!L11</f>
        <v>3</v>
      </c>
      <c r="J36" s="139" t="str">
        <f>lang!B18</f>
        <v>밸런스</v>
      </c>
      <c r="K36" s="90" t="s">
        <v>2171</v>
      </c>
      <c r="L36" s="504" t="str">
        <f>Measurement!Y11</f>
        <v>보통</v>
      </c>
      <c r="M36" s="792">
        <f>Measurement!R11</f>
        <v>0</v>
      </c>
      <c r="N36" s="793"/>
      <c r="O36" s="806">
        <f>Measurement!N11</f>
        <v>60.947200000000002</v>
      </c>
      <c r="P36" s="807"/>
      <c r="Q36" s="792">
        <f>Measurement!T11</f>
        <v>97.346199999999996</v>
      </c>
      <c r="R36" s="808"/>
    </row>
    <row r="37" spans="3:18" ht="12.75" customHeight="1">
      <c r="C37" s="77"/>
      <c r="I37" s="502">
        <f>Measurement!L12</f>
        <v>1</v>
      </c>
      <c r="J37" s="139" t="str">
        <f>lang!B19</f>
        <v>카리스마</v>
      </c>
      <c r="K37" s="90" t="s">
        <v>229</v>
      </c>
      <c r="L37" s="504" t="str">
        <f>Measurement!Y12</f>
        <v>매우 낮음</v>
      </c>
      <c r="M37" s="792">
        <f>Measurement!R12</f>
        <v>0</v>
      </c>
      <c r="N37" s="793"/>
      <c r="O37" s="806">
        <f>Measurement!N12</f>
        <v>31.298300000000001</v>
      </c>
      <c r="P37" s="807"/>
      <c r="Q37" s="792">
        <f>Measurement!T12</f>
        <v>58.271799999999999</v>
      </c>
      <c r="R37" s="808"/>
    </row>
    <row r="38" spans="3:18" ht="12.75" customHeight="1">
      <c r="C38" s="77"/>
      <c r="I38" s="502">
        <f>Measurement!L13</f>
        <v>1</v>
      </c>
      <c r="J38" s="139" t="str">
        <f>lang!B20</f>
        <v>에너지</v>
      </c>
      <c r="K38" s="90" t="s">
        <v>2170</v>
      </c>
      <c r="L38" s="504" t="str">
        <f>Measurement!Y13</f>
        <v>매우 낮음</v>
      </c>
      <c r="M38" s="792">
        <f>Measurement!R13</f>
        <v>0</v>
      </c>
      <c r="N38" s="793"/>
      <c r="O38" s="806">
        <f>Measurement!N13</f>
        <v>9.4289199999999997</v>
      </c>
      <c r="P38" s="807"/>
      <c r="Q38" s="792">
        <f>Measurement!T13</f>
        <v>27.077500000000001</v>
      </c>
      <c r="R38" s="808"/>
    </row>
    <row r="39" spans="3:18" ht="12.75" customHeight="1">
      <c r="C39" s="77"/>
      <c r="I39" s="502">
        <f>Measurement!L14</f>
        <v>1</v>
      </c>
      <c r="J39" s="139" t="str">
        <f>lang!B21</f>
        <v>자기조절</v>
      </c>
      <c r="K39" s="90" t="s">
        <v>230</v>
      </c>
      <c r="L39" s="504" t="str">
        <f>Measurement!Y14</f>
        <v>매우 낮음</v>
      </c>
      <c r="M39" s="792">
        <f>Measurement!R14</f>
        <v>0</v>
      </c>
      <c r="N39" s="793"/>
      <c r="O39" s="806">
        <f>Measurement!N14</f>
        <v>47.645699999999998</v>
      </c>
      <c r="P39" s="807"/>
      <c r="Q39" s="792">
        <f>Measurement!T14</f>
        <v>64.250900000000001</v>
      </c>
      <c r="R39" s="808"/>
    </row>
    <row r="40" spans="3:18" ht="12.75" customHeight="1">
      <c r="C40" s="77"/>
      <c r="I40" s="502">
        <f>Measurement!L15</f>
        <v>4</v>
      </c>
      <c r="J40" s="139" t="str">
        <f>lang!B22</f>
        <v>억제</v>
      </c>
      <c r="K40" s="91" t="s">
        <v>248</v>
      </c>
      <c r="L40" s="504" t="str">
        <f>Measurement!Y15</f>
        <v>높음</v>
      </c>
      <c r="M40" s="792">
        <f>Measurement!R15</f>
        <v>0</v>
      </c>
      <c r="N40" s="793"/>
      <c r="O40" s="806">
        <f>Measurement!N15</f>
        <v>26.158300000000001</v>
      </c>
      <c r="P40" s="807"/>
      <c r="Q40" s="792">
        <f>Measurement!T15</f>
        <v>34.614899999999999</v>
      </c>
      <c r="R40" s="808"/>
    </row>
    <row r="41" spans="3:18" ht="12.75" customHeight="1" thickBot="1">
      <c r="C41" s="77"/>
      <c r="I41" s="502">
        <f>Measurement!L16</f>
        <v>5</v>
      </c>
      <c r="J41" s="140" t="str">
        <f>lang!B23</f>
        <v>신경성</v>
      </c>
      <c r="K41" s="92" t="s">
        <v>231</v>
      </c>
      <c r="L41" s="504" t="str">
        <f>Measurement!Y16</f>
        <v>매우 높음</v>
      </c>
      <c r="M41" s="794">
        <f>Measurement!R16</f>
        <v>0</v>
      </c>
      <c r="N41" s="795"/>
      <c r="O41" s="796">
        <f>Measurement!N16</f>
        <v>77.948599999999999</v>
      </c>
      <c r="P41" s="797"/>
      <c r="Q41" s="794">
        <f>Measurement!T16</f>
        <v>108.535</v>
      </c>
      <c r="R41" s="798"/>
    </row>
    <row r="42" spans="3:18" ht="29.25" customHeight="1" thickBot="1">
      <c r="C42" s="77"/>
      <c r="I42" s="84"/>
      <c r="J42" s="780" t="str">
        <f>lang!B215</f>
        <v>감정변이도</v>
      </c>
      <c r="K42" s="781"/>
      <c r="L42" s="319" t="str">
        <f>info!V43</f>
        <v>매우 높음</v>
      </c>
      <c r="M42" s="782">
        <f>info!W43</f>
        <v>44.481000000000002</v>
      </c>
      <c r="N42" s="783"/>
      <c r="O42" s="784" t="str">
        <f>info!V44</f>
        <v>감정변화가 매우 높아 병리적으로 의심되는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높 음</v>
      </c>
      <c r="N43" s="789"/>
      <c r="O43" s="789"/>
      <c r="P43" s="789"/>
      <c r="Q43" s="789"/>
      <c r="R43" s="791"/>
    </row>
    <row r="44" spans="3:18" ht="16.5" customHeight="1">
      <c r="C44" s="799">
        <f>info!$V$36</f>
        <v>0.86711000000000005</v>
      </c>
      <c r="E44" s="249" t="s">
        <v>1195</v>
      </c>
      <c r="G44" s="289"/>
      <c r="H44" s="289"/>
      <c r="I44" s="290"/>
      <c r="J44" s="802">
        <f>info!$W$36</f>
        <v>79.626474999999999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45795.612199074072</v>
      </c>
      <c r="I7" s="914"/>
      <c r="J7" s="915"/>
      <c r="K7" s="166" t="str">
        <f>lang!B160</f>
        <v>나이</v>
      </c>
      <c r="L7" s="878" t="str">
        <f>IF(FH_info!B2="","",TRIM(MID(SUBSTITUTE(FH_info!B2,"^",REPT(" ",LEN(FH_info!B2))),LEN(FH_info!B2)*4-LEN(FH_info!B2)+1,LEN(FH_info!B2))))</f>
        <v>64</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김정국</v>
      </c>
      <c r="I8" s="885"/>
      <c r="J8" s="886"/>
      <c r="K8" s="146" t="str">
        <f>lang!B166</f>
        <v>직업</v>
      </c>
      <c r="L8" s="887"/>
      <c r="M8" s="887"/>
      <c r="N8" s="917" t="str">
        <f>lang!B167</f>
        <v>ID</v>
      </c>
      <c r="O8" s="918"/>
      <c r="P8" s="888"/>
      <c r="Q8" s="889"/>
      <c r="R8" s="884" t="str">
        <f>IF(FH_info!B2="","",TRIM(MID(SUBSTITUTE(FH_info!B2,"^",REPT(" ",LEN(FH_info!B2))),LEN(FH_info!B2)*5-LEN(FH_info!B2)+1,LEN(FH_info!B2))))</f>
        <v>일상센터</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(0.56,1.03)</v>
      </c>
      <c r="S18" s="966"/>
      <c r="T18" s="967"/>
    </row>
    <row r="19" spans="2:22" ht="16.5" customHeight="1">
      <c r="C19" s="136" t="str">
        <f>lang!B328</f>
        <v>최소값</v>
      </c>
      <c r="D19" s="105">
        <f ca="1">info!M7</f>
        <v>4.9921599999999993</v>
      </c>
      <c r="E19" s="94" t="str">
        <f>lang!B330</f>
        <v>평균값</v>
      </c>
      <c r="F19" s="971">
        <f ca="1">info!N9</f>
        <v>68.132529230769237</v>
      </c>
      <c r="G19" s="972"/>
      <c r="H19" s="912" t="str">
        <f>lang!B329</f>
        <v>최대값</v>
      </c>
      <c r="I19" s="913"/>
      <c r="J19" s="105">
        <f ca="1">info!M8</f>
        <v>84.729200000000006</v>
      </c>
      <c r="K19" s="137" t="str">
        <f>lang!B328</f>
        <v>최소값</v>
      </c>
      <c r="L19" s="105">
        <f ca="1">info!M5</f>
        <v>0.81915899999999997</v>
      </c>
      <c r="M19" s="94" t="str">
        <f>lang!B330</f>
        <v>평균값</v>
      </c>
      <c r="N19" s="971">
        <f ca="1">info!M9</f>
        <v>1.7298726538461533</v>
      </c>
      <c r="O19" s="972">
        <f>info!T9</f>
        <v>1</v>
      </c>
      <c r="P19" s="94" t="str">
        <f>lang!B329</f>
        <v>최대값</v>
      </c>
      <c r="Q19" s="105">
        <f ca="1">info!M6</f>
        <v>3.3761799999999997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46.3050120584127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0.86711000000000005</v>
      </c>
      <c r="N47" s="986"/>
      <c r="O47" s="451"/>
      <c r="P47" s="491" t="s">
        <v>1101</v>
      </c>
      <c r="Q47" s="987">
        <f>hist!M3</f>
        <v>0.28484399999999999</v>
      </c>
      <c r="R47" s="986"/>
      <c r="S47" s="451"/>
      <c r="T47" s="452"/>
    </row>
    <row r="48" spans="3:20" ht="18" customHeight="1">
      <c r="C48" s="931"/>
      <c r="D48" s="910"/>
      <c r="E48" s="910"/>
      <c r="F48" s="355"/>
      <c r="G48" s="355"/>
      <c r="H48" s="356"/>
      <c r="I48" s="356"/>
      <c r="J48" s="951"/>
      <c r="K48" s="951"/>
      <c r="L48" s="936"/>
      <c r="M48" s="988">
        <f>hist!N2</f>
        <v>0.27164700000000003</v>
      </c>
      <c r="N48" s="989"/>
      <c r="O48" s="451"/>
      <c r="P48" s="491" t="s">
        <v>1102</v>
      </c>
      <c r="Q48" s="986">
        <f>hist!N3</f>
        <v>0.22829099999999999</v>
      </c>
      <c r="R48" s="989"/>
      <c r="S48" s="451"/>
      <c r="T48" s="452"/>
    </row>
    <row r="49" spans="3:20" ht="22.5" customHeight="1" thickBot="1">
      <c r="C49" s="932"/>
      <c r="D49" s="934" t="str">
        <f>lang!B353</f>
        <v>저활력도 (0%)</v>
      </c>
      <c r="E49" s="934"/>
      <c r="F49" s="934"/>
      <c r="G49" s="934"/>
      <c r="H49" s="934"/>
      <c r="I49" s="934"/>
      <c r="J49" s="934"/>
      <c r="K49" s="934"/>
      <c r="L49" s="937"/>
      <c r="M49" s="990">
        <f>hist!O2</f>
        <v>7.3791999999999996E-2</v>
      </c>
      <c r="N49" s="991"/>
      <c r="O49" s="453"/>
      <c r="P49" s="454" t="s">
        <v>1588</v>
      </c>
      <c r="Q49" s="992">
        <f>hist!O3</f>
        <v>5.2116999999999997E-2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vision^김정국^1^64^일상센터</v>
      </c>
      <c r="D4" s="1104"/>
      <c r="E4" s="1104"/>
      <c r="F4" s="1105"/>
      <c r="G4" s="38" t="str">
        <f>lang!B27</f>
        <v>ID</v>
      </c>
      <c r="H4" s="1103"/>
      <c r="I4" s="1104"/>
      <c r="J4" s="1104"/>
      <c r="K4" s="1106"/>
      <c r="AF4" s="169" t="str">
        <f>'Report-뇌피로'!K7</f>
        <v>64</v>
      </c>
      <c r="AG4" s="168" t="s">
        <v>1049</v>
      </c>
      <c r="AZ4" t="s">
        <v>1092</v>
      </c>
      <c r="BK4" t="s">
        <v>1096</v>
      </c>
      <c r="BV4" t="s">
        <v>1094</v>
      </c>
      <c r="CG4" s="305">
        <f>IF(SUM($AY$7:$AY$13)&gt;0,HLOOKUP(1,$BV$6:$CE$8,3,FALSE),"")</f>
        <v>10</v>
      </c>
      <c r="CH4" s="305">
        <f>IF(SUM($AY$7:$AY$13)&gt;0,HLOOKUP(2,$BV$6:$CE$8,3,FALSE),"")</f>
        <v>3</v>
      </c>
      <c r="CI4" t="s">
        <v>1570</v>
      </c>
      <c r="CJ4" s="426">
        <f>DK17*100</f>
        <v>56.581681569556544</v>
      </c>
      <c r="CK4" s="422">
        <f>info!W21</f>
        <v>7.3691564379773826</v>
      </c>
      <c r="CL4">
        <f>100-M!B19*100</f>
        <v>21.623400000000004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45795.612199074072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44.481000000000002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6</v>
      </c>
      <c r="BW6" s="220">
        <f t="shared" ref="BW6:CE6" si="0">IF(BW7&lt;&gt;"",RANK(BW7,$BV$7:$CE$7),"")</f>
        <v>5</v>
      </c>
      <c r="BX6" s="220">
        <f t="shared" si="0"/>
        <v>2</v>
      </c>
      <c r="BY6" s="220">
        <f t="shared" si="0"/>
        <v>7</v>
      </c>
      <c r="BZ6" s="220">
        <f t="shared" si="0"/>
        <v>8</v>
      </c>
      <c r="CA6" s="220">
        <f t="shared" si="0"/>
        <v>10</v>
      </c>
      <c r="CB6" s="220">
        <f t="shared" si="0"/>
        <v>3</v>
      </c>
      <c r="CC6" s="220">
        <f t="shared" si="0"/>
        <v>4</v>
      </c>
      <c r="CD6" s="220">
        <f t="shared" si="0"/>
        <v>9</v>
      </c>
      <c r="CE6" s="220">
        <f t="shared" si="0"/>
        <v>1</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1</v>
      </c>
      <c r="M7" s="162" t="str">
        <f>lang!B14</f>
        <v>적극/공격성</v>
      </c>
      <c r="N7" s="48">
        <f>IF(M!B5="","",M!B5*1)</f>
        <v>18.502099999999999</v>
      </c>
      <c r="O7" s="48">
        <f>M!C5*1</f>
        <v>12.6189</v>
      </c>
      <c r="P7" s="48">
        <f>M!D5*1</f>
        <v>68.202399999999997</v>
      </c>
      <c r="Q7" s="48">
        <f>M!E5*1</f>
        <v>20</v>
      </c>
      <c r="R7" s="48">
        <f>IF(M!B5="","",M!F5*1)</f>
        <v>0</v>
      </c>
      <c r="S7" s="48">
        <f>M!G5*1</f>
        <v>50</v>
      </c>
      <c r="T7" s="48">
        <f>IF(M!B5="","",M!H5*1)</f>
        <v>50.696800000000003</v>
      </c>
      <c r="U7" s="125">
        <v>20</v>
      </c>
      <c r="V7" s="125">
        <v>25</v>
      </c>
      <c r="W7" s="125">
        <v>45</v>
      </c>
      <c r="X7" s="125">
        <v>50</v>
      </c>
      <c r="Y7" s="126" t="str">
        <f>IF(M!B5="","",IF(N7&lt;U7,lang!B$210,IF(N7&lt;V7,lang!B$211,IF(N7&lt;W7,lang!B$212,IF(N7&lt;X7,lang!B$213,lang!B$214)))))</f>
        <v>매우 낮음</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-4.1561363138609906</v>
      </c>
      <c r="AI7" s="98">
        <v>2.5024862326905418E-2</v>
      </c>
      <c r="AJ7" s="98">
        <v>-7.7313821231156016E-2</v>
      </c>
      <c r="AK7" s="98">
        <v>0.50012525104428274</v>
      </c>
      <c r="AL7" s="98">
        <v>-8.545985269705475E-2</v>
      </c>
      <c r="AM7" s="98">
        <f>$AH7*AI7+$AH8*AI8+$AH9*AI9+$AH10*AI10+$AH11*AI11+$AH12*AI12+$AH13*AI13+$AH14*AI14+$AH15*AI15+$AH16*AI16</f>
        <v>-1.4034290127807194</v>
      </c>
      <c r="AN7" s="98">
        <f t="shared" ref="AN7:AP7" si="2">$AH7*AJ7+$AH8*AJ8+$AH9*AJ9+$AH10*AJ10+$AH11*AJ11+$AH12*AJ12+$AH13*AJ13+$AH14*AJ14+$AH15*AJ15+$AH16*AJ16</f>
        <v>-4.3536347708712517</v>
      </c>
      <c r="AO7" s="98">
        <f t="shared" si="2"/>
        <v>-4.7003889863088313</v>
      </c>
      <c r="AP7" s="98">
        <f t="shared" si="2"/>
        <v>-2.02130029743123</v>
      </c>
      <c r="AQ7" s="335">
        <f>IF(SUM(N7:N16)&gt;0, 0.8608*AM7+0.333*AN7+0.104*AO7+1.129*AP7,"")</f>
        <v>-5.4287205632777464</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18.502099999999999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117.36559455619999</v>
      </c>
      <c r="BL7" s="56">
        <f t="shared" ref="BL7:BT7" si="3">BB7*$AY7+BB8*$AY8+BB9*$AY9+BB10*$AY10+BB11*$AY11+BB12*$AY12+BB13*$AY13+BB14</f>
        <v>121.50708096169996</v>
      </c>
      <c r="BM7" s="56">
        <f t="shared" si="3"/>
        <v>128.60086657319999</v>
      </c>
      <c r="BN7" s="56">
        <f t="shared" si="3"/>
        <v>112.01032861904997</v>
      </c>
      <c r="BO7" s="56">
        <f t="shared" si="3"/>
        <v>104.63119973990001</v>
      </c>
      <c r="BP7" s="56">
        <f t="shared" si="3"/>
        <v>97.131260480099968</v>
      </c>
      <c r="BQ7" s="56">
        <f t="shared" si="3"/>
        <v>125.19930195874991</v>
      </c>
      <c r="BR7" s="56">
        <f t="shared" si="3"/>
        <v>122.54326774904996</v>
      </c>
      <c r="BS7" s="56">
        <f t="shared" si="3"/>
        <v>101.03133203319993</v>
      </c>
      <c r="BT7" s="56">
        <f t="shared" si="3"/>
        <v>135.07632076230004</v>
      </c>
      <c r="BU7" s="56">
        <f>EXP(BK7)+EXP(BL7)+EXP(BM7)+EXP(BN7)+EXP(BO7)+EXP(BP7)+EXP(BQ7)+EXP(BR7)+EXP(BS7)+EXP(BT7)</f>
        <v>4.608862774732856E+58</v>
      </c>
      <c r="BV7" s="56">
        <f>IF(SUM($AY$7:$AY$13)&gt;0,EXP(BK7)/$BU$7,"")</f>
        <v>2.0306557420452966E-8</v>
      </c>
      <c r="BW7" s="56">
        <f t="shared" ref="BW7:CE7" si="4">IF(SUM($AY$7:$AY$13)&gt;0,EXP(BL7)/$BU$7,"")</f>
        <v>1.2772061359180382E-6</v>
      </c>
      <c r="BX7" s="56">
        <f t="shared" si="4"/>
        <v>1.5383421622740801E-3</v>
      </c>
      <c r="BY7" s="56">
        <f t="shared" si="4"/>
        <v>9.591220112297824E-11</v>
      </c>
      <c r="BZ7" s="56">
        <f t="shared" si="4"/>
        <v>5.9863058850164638E-14</v>
      </c>
      <c r="CA7" s="56">
        <f t="shared" si="4"/>
        <v>3.3111333327194335E-17</v>
      </c>
      <c r="CB7" s="56">
        <f t="shared" si="4"/>
        <v>5.1259244543689984E-5</v>
      </c>
      <c r="CC7" s="56">
        <f t="shared" si="4"/>
        <v>3.5997405498977889E-6</v>
      </c>
      <c r="CD7" s="56">
        <f t="shared" si="4"/>
        <v>1.6358980088990497E-15</v>
      </c>
      <c r="CE7" s="56">
        <f t="shared" si="4"/>
        <v>0.99840550124396521</v>
      </c>
      <c r="CF7" s="418" t="s">
        <v>1870</v>
      </c>
      <c r="CG7" s="221">
        <f>IF(SUM($AY$7:$AY$13)&gt;0,HLOOKUP(1,$BV$6:$CE$7,2,FALSE),"")</f>
        <v>0.99840550124396521</v>
      </c>
      <c r="CH7" s="221">
        <f>IF(SUM($AY$7:$AY$13)&gt;0,HLOOKUP(2,$BV$6:$CE$7,2,FALSE),"")</f>
        <v>1.5383421622740801E-3</v>
      </c>
      <c r="CI7" s="425" t="str">
        <f>"( "&amp;IF(CG7&lt;&gt;"",ROUND(CG7*100,0),"")&amp;" , "&amp;IF(CH7&lt;&gt;"",ROUND(CH7*100,0),"")&amp;" )"</f>
        <v>( 100 , 0 )</v>
      </c>
      <c r="CJ7" s="420">
        <f>CG7</f>
        <v>0.99840550124396521</v>
      </c>
      <c r="CK7" s="420">
        <f>CH7</f>
        <v>1.5383421622740801E-3</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18.502099999999999</v>
      </c>
      <c r="DJ7" s="265">
        <f>(DI7-$DB7)/$DC7</f>
        <v>-2.609327444439419</v>
      </c>
      <c r="DK7" s="266">
        <f>IF(DH7=1,(DJ7-DF7)^2,0)</f>
        <v>14.105291773078671</v>
      </c>
      <c r="DL7" s="267">
        <f>IF(DH7=1,(DJ7-DG7)^2,0)</f>
        <v>21.545013511488602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29.701699999999999</v>
      </c>
      <c r="O8" s="48">
        <f>M!C6*1</f>
        <v>18.1158</v>
      </c>
      <c r="P8" s="48">
        <f>M!D6*1</f>
        <v>60.992600000000003</v>
      </c>
      <c r="Q8" s="48">
        <f>M!E6*1</f>
        <v>20</v>
      </c>
      <c r="R8" s="48">
        <f>IF(M!B6="","",M!F6*1)</f>
        <v>0</v>
      </c>
      <c r="S8" s="48">
        <f>M!G6*1</f>
        <v>40</v>
      </c>
      <c r="T8" s="48">
        <f>IF(M!B6="","",M!H6*1)</f>
        <v>62.720300000000002</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-0.72590177686265533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29.701699999999999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 ca="1">IF(CG4&lt;&gt;10,CG4,IF(info!N9&lt;30,11,IF(info!M7=0,11,10)))</f>
        <v>10</v>
      </c>
      <c r="CH8" s="222">
        <f>IF(CH4&lt;&gt;10,CH4,IF(info!N9&lt;30,11,IF(info!M7=0,11,10)))</f>
        <v>3</v>
      </c>
      <c r="CI8" t="s">
        <v>1571</v>
      </c>
      <c r="CJ8" s="421">
        <f ca="1">IF(CG8=5,IF(CK5=1,5,4),IF(CG8=8,IF(N8&gt;=38,8,3),IF(CG8=7,IF(N11&lt;=51,7,3),IF(CG8=9,IF(AQ7&lt;-1.5,IF(info!Z2&lt;-10,IF(info!W36&lt;33.3,IF(DK17&lt;0.3,12,CG8),CG8),CG8),CG8),CG8))))</f>
        <v>10</v>
      </c>
      <c r="CK8" s="305">
        <f>IF(CH8=5,IF(CK5=1,5,4),IF(CH8=8,IF(N8&gt;=38,8,3),IF(CH8=7,IF(N11&lt;=51,7,3),IF(CH8=9,IF(AQ7&lt;-1.5,IF(info!Z2&lt;-10,IF(info!W36&lt;33.3,IF(DK17&lt;0.3,12,CH8),CH8),CH8),CH8),CH8))))</f>
        <v>3</v>
      </c>
      <c r="CL8">
        <f ca="1">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29.701699999999999</v>
      </c>
      <c r="DJ8" s="265">
        <f t="shared" ref="DJ8:DJ14" si="8">(DI8-$DB8)/$DC8</f>
        <v>-0.33680972418258637</v>
      </c>
      <c r="DK8" s="273">
        <f t="shared" ref="DK8:DK14" si="9">IF(DH8=1,(DJ8-DF8)^2,0)</f>
        <v>1.3129260858592937</v>
      </c>
      <c r="DL8" s="274">
        <f t="shared" ref="DL8:DL14" si="10">IF(DH8=1,(DJ8-DG8)^2,0)</f>
        <v>0.3700421664168938</v>
      </c>
    </row>
    <row r="9" spans="2:119" s="5" customFormat="1" ht="24.75" customHeight="1" thickBot="1">
      <c r="B9" s="62" t="str">
        <f>CONCATENATE(M7,"
(20 ~ 50)")</f>
        <v>적극/공격성
(20 ~ 50)</v>
      </c>
      <c r="C9" s="63">
        <f>R7</f>
        <v>0</v>
      </c>
      <c r="D9" s="64">
        <f>N7</f>
        <v>18.502099999999999</v>
      </c>
      <c r="E9" s="65">
        <f>T7</f>
        <v>50.696800000000003</v>
      </c>
      <c r="F9" s="65">
        <f>P7</f>
        <v>68.202399999999997</v>
      </c>
      <c r="G9" s="66" t="str">
        <f>CONCATENATE(M8,"
(20 ~ 40)")</f>
        <v>스트레스
(20 ~ 40)</v>
      </c>
      <c r="H9" s="63">
        <f>R8</f>
        <v>0</v>
      </c>
      <c r="I9" s="67">
        <f>N8</f>
        <v>29.701699999999999</v>
      </c>
      <c r="J9" s="63">
        <f>T8</f>
        <v>62.720300000000002</v>
      </c>
      <c r="K9" s="68">
        <f>P8</f>
        <v>60.992600000000003</v>
      </c>
      <c r="L9" s="1">
        <f>IF(M!B7="","",IF(N9&lt;U9,1,IF(N9&lt;V9,2,IF(N9&lt;W9,3,IF(N9&lt;X9,4,5)))))</f>
        <v>1</v>
      </c>
      <c r="M9" s="162" t="str">
        <f>lang!B16</f>
        <v>불안</v>
      </c>
      <c r="N9" s="48">
        <f>IF(M!B7="","",M!B7*1)</f>
        <v>12.746</v>
      </c>
      <c r="O9" s="48">
        <f>M!C7*1</f>
        <v>4.1488800000000001</v>
      </c>
      <c r="P9" s="48">
        <f>M!D7*1</f>
        <v>32.5505</v>
      </c>
      <c r="Q9" s="48">
        <f>M!E7*1</f>
        <v>15</v>
      </c>
      <c r="R9" s="48">
        <f>IF(M!B7="","",M!F7*1)</f>
        <v>0</v>
      </c>
      <c r="S9" s="48">
        <f>M!G7*1</f>
        <v>40</v>
      </c>
      <c r="T9" s="48">
        <f>IF(M!B7="","",M!H7*1)</f>
        <v>36.225499999999997</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28.4</v>
      </c>
      <c r="AG9" s="172">
        <f t="shared" si="7"/>
        <v>7.2204159999999993</v>
      </c>
      <c r="AH9" s="97">
        <f t="shared" si="1"/>
        <v>-2.1680191279837615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12.746</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 ca="1">IF(CG8&lt;&gt;"",HLOOKUP(CG8,$CN$8:$CY$12,2,FALSE),"")</f>
        <v>힐링/치유 집단</v>
      </c>
      <c r="CH9" s="228" t="str">
        <f>IF(CH8&lt;&gt;"",HLOOKUP(CH8,$CN$8:$CY$12,2,FALSE),"")</f>
        <v>정상/휴식 집단</v>
      </c>
      <c r="CI9" t="s">
        <v>1569</v>
      </c>
      <c r="CJ9" s="516" t="str">
        <f ca="1">IF(CJ8&lt;&gt;"",HLOOKUP(CJ8,$CN$8:$CY$12,2,FALSE),"")</f>
        <v>힐링/치유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12.746</v>
      </c>
      <c r="DJ9" s="265">
        <f t="shared" si="8"/>
        <v>-2.1373736424718435</v>
      </c>
      <c r="DK9" s="273">
        <f t="shared" si="9"/>
        <v>0.84490676442049251</v>
      </c>
      <c r="DL9" s="274">
        <f t="shared" si="10"/>
        <v>5.2700469926651952</v>
      </c>
      <c r="DM9"/>
      <c r="DN9"/>
    </row>
    <row r="10" spans="2:119" s="4" customFormat="1" ht="30.3" thickBot="1">
      <c r="B10" s="57" t="str">
        <f>CONCATENATE(M9,"
(15 ~ 40)")</f>
        <v>불안
(15 ~ 40)</v>
      </c>
      <c r="C10" s="17">
        <f>R9</f>
        <v>0</v>
      </c>
      <c r="D10" s="41">
        <f>N9</f>
        <v>12.746</v>
      </c>
      <c r="E10" s="43">
        <f>T9</f>
        <v>36.225499999999997</v>
      </c>
      <c r="F10" s="43">
        <f>P9</f>
        <v>32.5505</v>
      </c>
      <c r="G10" s="59" t="str">
        <f>CONCATENATE(M10,"
(20 ~ 50)")</f>
        <v>의심
(20 ~ 50)</v>
      </c>
      <c r="H10" s="17">
        <f>R10</f>
        <v>0</v>
      </c>
      <c r="I10" s="42">
        <f>N10</f>
        <v>22.298200000000001</v>
      </c>
      <c r="J10" s="17">
        <f>T10</f>
        <v>40.582999999999998</v>
      </c>
      <c r="K10" s="18">
        <f>P10</f>
        <v>46.823399999999999</v>
      </c>
      <c r="L10" s="1">
        <f>IF(M!B8="","",IF(N10&lt;U10,1,IF(N10&lt;V10,2,IF(N10&lt;W10,3,IF(N10&lt;X10,4,5)))))</f>
        <v>2</v>
      </c>
      <c r="M10" s="162" t="str">
        <f>lang!B17</f>
        <v>의심</v>
      </c>
      <c r="N10" s="48">
        <f>IF(M!B8="","",M!B8*1)</f>
        <v>22.298200000000001</v>
      </c>
      <c r="O10" s="48">
        <f>M!C8*1</f>
        <v>10.440799999999999</v>
      </c>
      <c r="P10" s="48">
        <f>M!D8*1</f>
        <v>46.823399999999999</v>
      </c>
      <c r="Q10" s="48">
        <f>M!E8*1</f>
        <v>20</v>
      </c>
      <c r="R10" s="48">
        <f>IF(M!B8="","",M!F8*1)</f>
        <v>0</v>
      </c>
      <c r="S10" s="48">
        <f>M!G8*1</f>
        <v>50</v>
      </c>
      <c r="T10" s="48">
        <f>IF(M!B8="","",M!H8*1)</f>
        <v>40.582999999999998</v>
      </c>
      <c r="U10" s="125">
        <v>20</v>
      </c>
      <c r="V10" s="125">
        <v>25</v>
      </c>
      <c r="W10" s="125">
        <v>45</v>
      </c>
      <c r="X10" s="125">
        <v>50</v>
      </c>
      <c r="Y10" s="126" t="str">
        <f>IF(M!B8="","",IF(N10&lt;U10,lang!B$210,IF(N10&lt;V10,lang!B$211,IF(N10&lt;W10,lang!B$212,IF(N10&lt;X10,lang!B$213,lang!B$214)))))</f>
        <v>낮음</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-3.5331124368357876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60.947200000000002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 ca="1">IF(CG8&lt;&gt;"",HLOOKUP(CG8,$CN$8:$CY$12,3,FALSE),"")</f>
        <v>무기력</v>
      </c>
      <c r="CH10" s="228" t="str">
        <f>IF(CH8&lt;&gt;"",HLOOKUP(CH8,$CN$8:$CY$12,3,FALSE),"")</f>
        <v>차분한 상태</v>
      </c>
      <c r="CI10" s="363"/>
      <c r="CJ10" s="516" t="str">
        <f ca="1">IF(CJ8&lt;&gt;"",HLOOKUP(CJ8,$CN$8:$CY$12,3,FALSE),"")</f>
        <v>무기력</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60.947200000000002</v>
      </c>
      <c r="DJ10" s="265">
        <f t="shared" si="8"/>
        <v>-0.59672131577859722</v>
      </c>
      <c r="DK10" s="273">
        <f t="shared" si="9"/>
        <v>0.11508896702181497</v>
      </c>
      <c r="DL10" s="274">
        <f t="shared" si="10"/>
        <v>0.93607825791478372</v>
      </c>
      <c r="DM10"/>
      <c r="DN10"/>
    </row>
    <row r="11" spans="2:119" s="4" customFormat="1" ht="24.75" customHeight="1" thickBot="1">
      <c r="B11" s="57" t="str">
        <f>CONCATENATE(M11,"
(50 ~ 100)")</f>
        <v>밸런스
(50 ~ 100)</v>
      </c>
      <c r="C11" s="17">
        <f>R11</f>
        <v>0</v>
      </c>
      <c r="D11" s="42">
        <f>N11</f>
        <v>60.947200000000002</v>
      </c>
      <c r="E11" s="17">
        <f>T11</f>
        <v>97.346199999999996</v>
      </c>
      <c r="F11" s="17">
        <f>P11</f>
        <v>37.6586</v>
      </c>
      <c r="G11" s="59" t="str">
        <f>CONCATENATE(M12,"
(40 ~ 100)")</f>
        <v>카리스마
(40 ~ 100)</v>
      </c>
      <c r="H11" s="17">
        <f>R12</f>
        <v>0</v>
      </c>
      <c r="I11" s="42">
        <f>N12</f>
        <v>31.298300000000001</v>
      </c>
      <c r="J11" s="17">
        <f>T12</f>
        <v>58.271799999999999</v>
      </c>
      <c r="K11" s="18">
        <f>P12</f>
        <v>34.733699999999999</v>
      </c>
      <c r="L11" s="1">
        <f>IF(M!B9="","",IF(N11&lt;U11,1,IF(N11&lt;V11,2,IF(N11&lt;W11,3,IF(N11&lt;X11,4,5)))))</f>
        <v>3</v>
      </c>
      <c r="M11" s="162" t="str">
        <f>lang!B18</f>
        <v>밸런스</v>
      </c>
      <c r="N11" s="48">
        <f>IF(M!B9="","",M!B9*1)</f>
        <v>60.947200000000002</v>
      </c>
      <c r="O11" s="48">
        <f>M!C9*1</f>
        <v>22.951899999999998</v>
      </c>
      <c r="P11" s="48">
        <f>M!D9*1</f>
        <v>37.6586</v>
      </c>
      <c r="Q11" s="48">
        <f>M!E9*1</f>
        <v>50</v>
      </c>
      <c r="R11" s="48">
        <f>IF(M!B9="","",M!F9*1)</f>
        <v>0</v>
      </c>
      <c r="S11" s="48">
        <f>M!G9*1</f>
        <v>100</v>
      </c>
      <c r="T11" s="48">
        <f>IF(M!B9="","",M!H9*1)</f>
        <v>97.346199999999996</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-0.78352357089137148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31.298300000000001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 ca="1">IF(CG8&lt;&gt;"",HLOOKUP(CG8,$CN$8:$CY$12,4,FALSE),"")</f>
        <v>무기력 상태입니다.</v>
      </c>
      <c r="CH11" s="228" t="str">
        <f>IF(CH8&lt;&gt;"",HLOOKUP(CH8,$CN$8:$CY$12,4,FALSE),"")</f>
        <v>차분한 상태입니다.</v>
      </c>
      <c r="CI11" s="364" t="s">
        <v>1566</v>
      </c>
      <c r="CJ11" s="516" t="str">
        <f ca="1">IF(CJ8&lt;&gt;"",HLOOKUP(CJ8,$CN$8:$CY$12,4,FALSE),"")</f>
        <v>무기력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31.298300000000001</v>
      </c>
      <c r="DJ11" s="265">
        <f t="shared" si="8"/>
        <v>-2.4727420135971405</v>
      </c>
      <c r="DK11" s="273">
        <f t="shared" si="9"/>
        <v>12.132425563699076</v>
      </c>
      <c r="DL11" s="274">
        <f t="shared" si="10"/>
        <v>4.3947690780120459</v>
      </c>
      <c r="DM11"/>
      <c r="DN11"/>
    </row>
    <row r="12" spans="2:119" s="4" customFormat="1" ht="24.75" customHeight="1" thickBot="1">
      <c r="B12" s="57" t="str">
        <f>CONCATENATE(M13,"
(10 ~ 50)")</f>
        <v>에너지
(10 ~ 50)</v>
      </c>
      <c r="C12" s="17">
        <f>R13</f>
        <v>0</v>
      </c>
      <c r="D12" s="41">
        <f>N13</f>
        <v>9.4289199999999997</v>
      </c>
      <c r="E12" s="43">
        <f>T13</f>
        <v>27.077500000000001</v>
      </c>
      <c r="F12" s="43">
        <f>P13</f>
        <v>69.4161</v>
      </c>
      <c r="G12" s="59" t="str">
        <f>CONCATENATE(M14,"
(50 ~ 100)")</f>
        <v>자기조절
(50 ~ 100)</v>
      </c>
      <c r="H12" s="17">
        <f>R14</f>
        <v>0</v>
      </c>
      <c r="I12" s="42">
        <f>N14</f>
        <v>47.645699999999998</v>
      </c>
      <c r="J12" s="17">
        <f>T14</f>
        <v>64.250900000000001</v>
      </c>
      <c r="K12" s="18">
        <f>P14</f>
        <v>24.694600000000001</v>
      </c>
      <c r="L12" s="1">
        <f>IF(M!B10="","",IF(N12&lt;U12,1,IF(N12&lt;V12,2,IF(N12&lt;W12,3,IF(N12&lt;X12,4,5)))))</f>
        <v>1</v>
      </c>
      <c r="M12" s="162" t="str">
        <f>lang!B19</f>
        <v>카리스마</v>
      </c>
      <c r="N12" s="48">
        <f>IF(M!B10="","",M!B10*1)</f>
        <v>31.298300000000001</v>
      </c>
      <c r="O12" s="48">
        <f>M!C10*1</f>
        <v>10.8711</v>
      </c>
      <c r="P12" s="48">
        <f>M!D10*1</f>
        <v>34.733699999999999</v>
      </c>
      <c r="Q12" s="48">
        <f>M!E10*1</f>
        <v>40</v>
      </c>
      <c r="R12" s="48">
        <f>IF(M!B10="","",M!F10*1)</f>
        <v>0</v>
      </c>
      <c r="S12" s="48">
        <f>M!G10*1</f>
        <v>100</v>
      </c>
      <c r="T12" s="48">
        <f>IF(M!B10="","",M!H10*1)</f>
        <v>58.271799999999999</v>
      </c>
      <c r="U12" s="125">
        <v>50</v>
      </c>
      <c r="V12" s="125">
        <v>55</v>
      </c>
      <c r="W12" s="125">
        <v>75</v>
      </c>
      <c r="X12" s="125">
        <v>80</v>
      </c>
      <c r="Y12" s="126" t="str">
        <f>IF(M!B10="","",IF(N12&lt;U12,lang!B$210,IF(N12&lt;V12,lang!B$211,IF(N12&lt;W12,lang!B$212,IF(N12&lt;X12,lang!B$213,lang!B$214)))))</f>
        <v>매우 낮음</v>
      </c>
      <c r="Z12" s="99">
        <v>66.3</v>
      </c>
      <c r="AA12" s="99">
        <v>10.411752</v>
      </c>
      <c r="AB12" s="99">
        <v>69.58</v>
      </c>
      <c r="AC12" s="99">
        <v>6.3178639999999993</v>
      </c>
      <c r="AD12" s="99">
        <v>72.5</v>
      </c>
      <c r="AE12" s="99">
        <v>7.1832999999999991</v>
      </c>
      <c r="AF12" s="172">
        <f t="shared" si="6"/>
        <v>66.3</v>
      </c>
      <c r="AG12" s="172">
        <f t="shared" si="7"/>
        <v>10.411752</v>
      </c>
      <c r="AH12" s="97">
        <f t="shared" si="1"/>
        <v>-3.3617493002138352</v>
      </c>
      <c r="AI12" s="98">
        <v>0.31913434649697919</v>
      </c>
      <c r="AJ12" s="98">
        <v>3.8587997439955973E-2</v>
      </c>
      <c r="AK12" s="98">
        <v>1.0272327081707585E-2</v>
      </c>
      <c r="AL12" s="98">
        <v>1.9404033844491575E-2</v>
      </c>
      <c r="AM12" s="101"/>
      <c r="AN12" s="101"/>
      <c r="AO12" s="101"/>
      <c r="AP12" s="101"/>
      <c r="AX12" s="171"/>
      <c r="AY12" s="219">
        <f>N13</f>
        <v>9.4289199999999997</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 ca="1">IF(CG8&lt;&gt;"",HLOOKUP(CG8,$CN$8:$CY$12,5,FALSE),"")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H12" s="228" t="str">
        <f>IF(CH8&lt;&gt;"",HLOOKUP(CH8,$CN$8:$CY$12,5,FALSE),"")</f>
        <v>뇌 피로도 수준이 평균입니다. 에너지가 낮아 정적이고 지금 하는 일에 집중을 잘하고 있습니다. 일에 만족도를 높이기 위해선 신체적인 활력에너지를 높여주면 좋습니다.</v>
      </c>
      <c r="CI12" s="364" t="s">
        <v>1568</v>
      </c>
      <c r="CJ12" s="516" t="str">
        <f ca="1">IF(CJ8&lt;&gt;"",HLOOKUP(CJ8,$CN$8:$CY$12,5,FALSE),"")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9.4289199999999997</v>
      </c>
      <c r="DJ12" s="265">
        <f t="shared" si="8"/>
        <v>-1.3367141479021456</v>
      </c>
      <c r="DK12" s="273">
        <f t="shared" si="9"/>
        <v>10.397473202961223</v>
      </c>
      <c r="DL12" s="274">
        <f t="shared" si="10"/>
        <v>2.8160034416859108</v>
      </c>
      <c r="DM12"/>
      <c r="DN12"/>
    </row>
    <row r="13" spans="2:119" ht="24.75" customHeight="1" thickBot="1">
      <c r="B13" s="58" t="str">
        <f>CONCATENATE(M15,"
(10 ~ 25)")</f>
        <v>억제
(10 ~ 25)</v>
      </c>
      <c r="C13" s="44">
        <f>R15</f>
        <v>0</v>
      </c>
      <c r="D13" s="45">
        <f>N15</f>
        <v>26.158300000000001</v>
      </c>
      <c r="E13" s="46">
        <f>T15</f>
        <v>34.614899999999999</v>
      </c>
      <c r="F13" s="46">
        <f>P15</f>
        <v>29.7988</v>
      </c>
      <c r="G13" s="60" t="str">
        <f>CONCATENATE(M16,"
(10 ~ 50)")</f>
        <v>신경성
(10 ~ 50)</v>
      </c>
      <c r="H13" s="44">
        <f>R16</f>
        <v>0</v>
      </c>
      <c r="I13" s="45">
        <f>N16</f>
        <v>77.948599999999999</v>
      </c>
      <c r="J13" s="46">
        <f>T16</f>
        <v>108.535</v>
      </c>
      <c r="K13" s="47">
        <f>P16</f>
        <v>39.938800000000001</v>
      </c>
      <c r="L13" s="1">
        <f>IF(M!B11="","",IF(N13&lt;U13,1,IF(N13&lt;V13,2,IF(N13&lt;W13,3,IF(N13&lt;X13,4,5)))))</f>
        <v>1</v>
      </c>
      <c r="M13" s="162" t="str">
        <f>lang!B20</f>
        <v>에너지</v>
      </c>
      <c r="N13" s="48">
        <f>IF(M!B11="","",M!B11*1)</f>
        <v>9.4289199999999997</v>
      </c>
      <c r="O13" s="48">
        <f>M!C11*1</f>
        <v>6.5451800000000002</v>
      </c>
      <c r="P13" s="48">
        <f>M!D11*1</f>
        <v>69.4161</v>
      </c>
      <c r="Q13" s="48">
        <f>M!E11*1</f>
        <v>10</v>
      </c>
      <c r="R13" s="48">
        <f>IF(M!B11="","",M!F11*1)</f>
        <v>0</v>
      </c>
      <c r="S13" s="48">
        <f>M!G11*1</f>
        <v>50</v>
      </c>
      <c r="T13" s="48">
        <f>IF(M!B11="","",M!H11*1)</f>
        <v>27.077500000000001</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20.2</v>
      </c>
      <c r="AG13" s="172">
        <f t="shared" si="7"/>
        <v>3.991924</v>
      </c>
      <c r="AH13" s="97">
        <f t="shared" si="1"/>
        <v>-2.698217701539408</v>
      </c>
      <c r="AI13" s="98">
        <v>0.16093442074971984</v>
      </c>
      <c r="AJ13" s="98">
        <v>-1.0988594420247608E-2</v>
      </c>
      <c r="AK13" s="98">
        <v>0.37151940745754808</v>
      </c>
      <c r="AL13" s="98">
        <v>8.9062029657998948E-2</v>
      </c>
      <c r="AM13" s="96"/>
      <c r="AN13" s="96"/>
      <c r="AO13" s="96"/>
      <c r="AP13" s="96"/>
      <c r="AX13" s="171"/>
      <c r="AY13" s="219">
        <f>info!W36</f>
        <v>79.626474999999999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 ca="1">IF(CG8&lt;&gt;"",HLOOKUP(CG8,$CN$8:$CY$13,6,FALSE),"")</f>
        <v>전문상담 및 치유 또는 치료 성격의 전문 힐링프로그램이 필요. 일대일 또는 소그룹 운영  프로그램이 효과적일 수있음.</v>
      </c>
      <c r="CH13" s="243" t="str">
        <f>IF(CH8&lt;&gt;"",HLOOKUP(CH8,$CN$8:$CY$13,6,FALSE),"")</f>
        <v>저/중강도의 신체활동과 뇌 자극/뇌 휴식 프로그램을 Mix. 문제 해결 과제도 바람직. 단 개인화 성향이 있어 집단및 협력 프로그램을 일정 수준 구성.</v>
      </c>
      <c r="CI13" s="364" t="s">
        <v>1177</v>
      </c>
      <c r="CJ13" s="243" t="str">
        <f ca="1">IF(CJ8&lt;&gt;"",HLOOKUP(CJ8,$CN$8:$CY$13,6,FALSE),"")</f>
        <v>전문상담 및 치유 또는 치료 성격의 전문 힐링프로그램이 필요. 일대일 또는 소그룹 운영  프로그램이 효과적일 수있음.</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77.948599999999999</v>
      </c>
      <c r="DJ13" s="265">
        <f t="shared" si="8"/>
        <v>4.1413103359693499</v>
      </c>
      <c r="DK13" s="273">
        <f>IF(DH13=1,(DJ13-DF13)^2,0)</f>
        <v>13.700926069573741</v>
      </c>
      <c r="DL13" s="274">
        <f t="shared" si="10"/>
        <v>20.333151112288416</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1</v>
      </c>
      <c r="M14" s="162" t="str">
        <f>lang!B21</f>
        <v>자기조절</v>
      </c>
      <c r="N14" s="48">
        <f>IF(M!B12="","",M!B12*1)</f>
        <v>47.645699999999998</v>
      </c>
      <c r="O14" s="48">
        <f>M!C12*1</f>
        <v>11.7659</v>
      </c>
      <c r="P14" s="48">
        <f>M!D12*1</f>
        <v>24.694600000000001</v>
      </c>
      <c r="Q14" s="48">
        <f>M!E12*1</f>
        <v>50</v>
      </c>
      <c r="R14" s="48">
        <f>IF(M!B12="","",M!F12*1)</f>
        <v>0</v>
      </c>
      <c r="S14" s="48">
        <f>M!G12*1</f>
        <v>100</v>
      </c>
      <c r="T14" s="48">
        <f>IF(M!B12="","",M!H12*1)</f>
        <v>64.250900000000001</v>
      </c>
      <c r="U14" s="125">
        <v>50</v>
      </c>
      <c r="V14" s="125">
        <v>55</v>
      </c>
      <c r="W14" s="125">
        <v>75</v>
      </c>
      <c r="X14" s="125">
        <v>80</v>
      </c>
      <c r="Y14" s="126" t="str">
        <f>IF(M!B12="","",IF(N14&lt;U14,lang!B$210,IF(N14&lt;V14,lang!B$211,IF(N14&lt;W14,lang!B$212,IF(N14&lt;X14,lang!B$213,lang!B$214)))))</f>
        <v>매우 낮음</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-3.1652111830805212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 ca="1">IF(CJ8&lt;&gt;"",IF(FH_info!M2="kr",LOWER(CJ9)&amp;"에 속하며,",IF(FH_info!M2="en","Belong to " &amp; LOWER(CJ9) &amp; ",",IF(FH_info!M2="cn"," " &amp; LOWER(CJ9)&amp;","))),"")</f>
        <v>힐링/치유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85.165700000000001</v>
      </c>
      <c r="DJ14" s="265">
        <f t="shared" si="8"/>
        <v>2.4896343786627786</v>
      </c>
      <c r="DK14" s="279">
        <f t="shared" si="9"/>
        <v>6.5499803244261008</v>
      </c>
      <c r="DL14" s="280">
        <f t="shared" si="10"/>
        <v>21.429469387646979</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26.158300000000001</v>
      </c>
      <c r="O15" s="48">
        <f>M!C13*1</f>
        <v>7.7948599999999999</v>
      </c>
      <c r="P15" s="48">
        <f>M!D13*1</f>
        <v>29.7988</v>
      </c>
      <c r="Q15" s="48">
        <f>M!E13*1</f>
        <v>10</v>
      </c>
      <c r="R15" s="48">
        <f>IF(M!B13="","",M!F13*1)</f>
        <v>0</v>
      </c>
      <c r="S15" s="48">
        <f>M!G13*1</f>
        <v>25</v>
      </c>
      <c r="T15" s="48">
        <f>IF(M!B13="","",M!H13*1)</f>
        <v>34.614899999999999</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2.7648318726827847</v>
      </c>
      <c r="AI15" s="98">
        <v>-8.3250321124619289E-2</v>
      </c>
      <c r="AJ15" s="98">
        <v>-0.44690513063775733</v>
      </c>
      <c r="AK15" s="98">
        <v>0.12052818186953573</v>
      </c>
      <c r="AL15" s="98">
        <v>-2.4174505446491225E-2</v>
      </c>
      <c r="AM15" s="96"/>
      <c r="AN15" s="96"/>
      <c r="AO15" s="96"/>
      <c r="AP15" s="96"/>
      <c r="AX15" s="171"/>
      <c r="AY15" s="50">
        <f>SUM(AY7:AY14)</f>
        <v>242.25069500000001</v>
      </c>
      <c r="CE15" t="s">
        <v>1565</v>
      </c>
      <c r="CG15" s="421" t="str">
        <f ca="1">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59.159018751040414</v>
      </c>
      <c r="DL15" s="281">
        <f>IF(SUM($DI$7:$DI$14)&gt;0,SUM(DL7:DL14),0)</f>
        <v>77.094573948118821</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77.948599999999999</v>
      </c>
      <c r="O16" s="48">
        <f>M!C14*1</f>
        <v>31.131799999999998</v>
      </c>
      <c r="P16" s="48">
        <f>M!D14*1</f>
        <v>39.938800000000001</v>
      </c>
      <c r="Q16" s="48">
        <f>M!E14*1</f>
        <v>10</v>
      </c>
      <c r="R16" s="48">
        <f>IF(M!B14="","",M!F14*1)</f>
        <v>0</v>
      </c>
      <c r="S16" s="48">
        <f>M!G14*1</f>
        <v>50</v>
      </c>
      <c r="T16" s="48">
        <f>IF(M!B14="","",M!H14*1)</f>
        <v>108.535</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4.7524057124874775</v>
      </c>
      <c r="AI16" s="98">
        <v>-5.8734085463662121E-2</v>
      </c>
      <c r="AJ16" s="98">
        <v>-0.42054967787539155</v>
      </c>
      <c r="AK16" s="98">
        <v>-5.3564224025119218E-3</v>
      </c>
      <c r="AL16" s="98">
        <v>5.9575396609615361E-2</v>
      </c>
      <c r="AM16" s="96"/>
      <c r="AN16" s="96"/>
      <c r="AO16" s="96"/>
      <c r="AP16" s="96"/>
      <c r="AX16" s="171"/>
      <c r="CE16" t="s">
        <v>1366</v>
      </c>
      <c r="CG16" t="str">
        <f ca="1">LOWER(CG9)&amp;"에 속하며,"</f>
        <v>힐링/치유 집단에 속하며,</v>
      </c>
      <c r="CI16" s="519" t="s">
        <v>1173</v>
      </c>
      <c r="CJ16" s="517" t="str">
        <f ca="1">IF(CJ8&lt;&gt;"",HLOOKUP(CJ8,$CN$8:$CY$17,8,FALSE),"")</f>
        <v>힐링/치유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1.6903593418415401E-2</v>
      </c>
      <c r="DL16" s="281">
        <f>IF(DL15&gt;0,1/DL15,0)</f>
        <v>1.2971081475499885E-2</v>
      </c>
      <c r="DM16" t="s">
        <v>1207</v>
      </c>
    </row>
    <row r="17" spans="2:117" ht="21" customHeight="1" thickBot="1">
      <c r="B17" s="20"/>
      <c r="C17"/>
      <c r="D17"/>
      <c r="E17"/>
      <c r="F17"/>
      <c r="G17" s="1071"/>
      <c r="H17" s="827"/>
      <c r="I17" s="827"/>
      <c r="J17" s="827"/>
      <c r="K17" s="828"/>
      <c r="M17" s="163" t="str">
        <f>lang!B7</f>
        <v>긍정감정</v>
      </c>
      <c r="N17" s="54">
        <f>SUM(N11:N14)/4</f>
        <v>37.330030000000001</v>
      </c>
      <c r="O17" s="16">
        <f>N17/(N17+N18+N19)</f>
        <v>0.33876189840091442</v>
      </c>
      <c r="P17" s="54">
        <f>SUM(P11:P14)/4</f>
        <v>41.625750000000004</v>
      </c>
      <c r="Q17" s="16">
        <f>P17/(P17+P18+P19)</f>
        <v>0.3235913680205369</v>
      </c>
      <c r="R17" s="11"/>
      <c r="S17" s="11"/>
      <c r="T17" s="11"/>
      <c r="U17" s="11"/>
      <c r="V17" s="11"/>
      <c r="W17" s="11"/>
      <c r="X17" s="11"/>
      <c r="Y17" s="11"/>
      <c r="Z17" s="11"/>
      <c r="AA17" s="11"/>
      <c r="AB17" s="11"/>
      <c r="AC17" s="11"/>
      <c r="AD17" s="11"/>
      <c r="AE17" s="11"/>
      <c r="AX17" s="171"/>
      <c r="CE17" t="s">
        <v>1367</v>
      </c>
      <c r="CG17" t="str">
        <f ca="1">"Belong to " &amp; LOWER(CG9) &amp; ","</f>
        <v>Belong to 힐링/치유 집단,</v>
      </c>
      <c r="CI17" s="519" t="s">
        <v>1174</v>
      </c>
      <c r="CJ17" s="517" t="str">
        <f ca="1">IF(CJ8&lt;&gt;"",HLOOKUP(CJ8,$CN$8:$CY$17,9,FALSE),"")</f>
        <v>무기력 상태 (R2)</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0.56581681569556541</v>
      </c>
      <c r="DL17" s="283"/>
      <c r="DM17" s="284" t="s">
        <v>1208</v>
      </c>
    </row>
    <row r="18" spans="2:117" ht="21" customHeight="1">
      <c r="B18" s="20"/>
      <c r="C18"/>
      <c r="D18"/>
      <c r="E18"/>
      <c r="F18"/>
      <c r="G18" s="1071"/>
      <c r="H18" s="827"/>
      <c r="I18" s="827"/>
      <c r="J18" s="827"/>
      <c r="K18" s="828"/>
      <c r="M18" s="163" t="str">
        <f>lang!B8</f>
        <v>부정감정</v>
      </c>
      <c r="N18" s="14">
        <f>SUM(N7:N10)/4</f>
        <v>20.812000000000001</v>
      </c>
      <c r="O18" s="16">
        <f>N18/(N17+N18+N19)</f>
        <v>0.18886437084352281</v>
      </c>
      <c r="P18" s="14">
        <f>SUM(P7:P10)/4</f>
        <v>52.142224999999996</v>
      </c>
      <c r="Q18" s="16">
        <f>P18/(P17+P18+P19)</f>
        <v>0.40534462248451109</v>
      </c>
      <c r="R18" s="11"/>
      <c r="S18" s="11"/>
      <c r="T18" s="11"/>
      <c r="U18" s="11"/>
      <c r="V18" s="11"/>
      <c r="W18" s="11"/>
      <c r="X18" s="11"/>
      <c r="Y18" s="11"/>
      <c r="AX18" s="171"/>
      <c r="CE18" s="49" t="s">
        <v>68</v>
      </c>
      <c r="CF18" s="49"/>
      <c r="CG18" t="str">
        <f ca="1">" " &amp; LOWER(CG9)&amp;","</f>
        <v xml:space="preserve"> 힐링/치유 집단,</v>
      </c>
      <c r="CI18" s="519" t="s">
        <v>1175</v>
      </c>
      <c r="CJ18" s="517" t="str">
        <f ca="1">IF(CJ8&lt;&gt;"",HLOOKUP(CJ8,$CN$8:$CY$17,10,FALSE),"")</f>
        <v>무기력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52.053449999999998</v>
      </c>
      <c r="O19" s="16">
        <f>N19/(N17+N18+N19)</f>
        <v>0.47237373075556272</v>
      </c>
      <c r="P19" s="14">
        <f>(P15+P16)/2</f>
        <v>34.8688</v>
      </c>
      <c r="Q19" s="16">
        <f>P19/(P17+P18+P19)</f>
        <v>0.27106400949495196</v>
      </c>
      <c r="R19" s="11"/>
      <c r="S19" s="11"/>
      <c r="T19" s="11"/>
      <c r="U19" s="15"/>
      <c r="V19" s="15"/>
      <c r="W19" s="15"/>
      <c r="X19" s="15"/>
      <c r="Y19" s="15"/>
      <c r="CI19" s="519" t="s">
        <v>1176</v>
      </c>
      <c r="CJ19" s="517" t="str">
        <f ca="1">IF(CJ8&lt;&gt;"",HLOOKUP(CJ8,$CN$8:$CY$17,5,FALSE),"")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 ca="1">IF(CJ8&lt;&gt;"",IF(FH_info!M2="kr",LOWER(CJ16)&amp;"에 속하며,",IF(FH_info!M2="en","Belong to " &amp; LOWER(CJ16) &amp; ",",IF(FH_info!M2="cn"," " &amp; LOWER(CJ16)&amp;","))),"")</f>
        <v>힐링/치유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0.86711000000000005</v>
      </c>
      <c r="D24" s="34" t="str">
        <f>lang!B11</f>
        <v>편차</v>
      </c>
      <c r="E24" s="1077">
        <f>FH_info!G2*1</f>
        <v>0.27164700000000003</v>
      </c>
      <c r="F24" s="1078"/>
      <c r="G24" s="1075" t="str">
        <f>lang!B12</f>
        <v>정보(I)변화량</v>
      </c>
      <c r="H24" s="1076"/>
      <c r="I24" s="51" t="str">
        <f ca="1">CONCATENATE(info!N7,"-",info!N8)</f>
        <v>5-84.7</v>
      </c>
      <c r="J24" s="32" t="str">
        <f>lang!B13</f>
        <v>Kcal/분</v>
      </c>
      <c r="K24" s="31" t="str">
        <f ca="1">CONCATENATE(info!N5,"-",info!N6)</f>
        <v>0.8-3.4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85.165700000000001</v>
      </c>
      <c r="F27" s="1043"/>
      <c r="G27" s="1055" t="str">
        <f>lang!B33</f>
        <v>정서안정성</v>
      </c>
      <c r="H27" s="1056"/>
      <c r="I27" s="1057"/>
      <c r="J27" s="993">
        <f>M!B19*100</f>
        <v>78.376599999999996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3.3761799999999997</v>
      </c>
      <c r="H2" s="50">
        <f>IF(FT!B2&lt;&gt;"",FT!B2*100,"")</f>
        <v>11.399900000000001</v>
      </c>
      <c r="I2" s="50">
        <f>(IF(G2&lt;&gt;"",1,""))</f>
        <v>1</v>
      </c>
      <c r="J2" t="str">
        <f>IF(FT!B2&lt;&gt;"",FT!E2,"")</f>
        <v>0 [0.000000]</v>
      </c>
      <c r="K2">
        <f>IF(FT!B2&lt;&gt;"",IF(FT!C2&lt;&gt;"",FT!C2,F2/$M$3*$M$4),"")</f>
        <v>0</v>
      </c>
      <c r="L2" t="s">
        <v>52</v>
      </c>
      <c r="M2">
        <f>FH_info!E2</f>
        <v>4.8833399999999996</v>
      </c>
      <c r="N2" s="75">
        <f>LOOKUP(O3,A2:A1000,B2:B1000)</f>
        <v>0.90006658823529406</v>
      </c>
      <c r="O2" s="50">
        <f>MAX(C2:C1000)</f>
        <v>1</v>
      </c>
      <c r="P2" t="s">
        <v>60</v>
      </c>
      <c r="Q2" t="s">
        <v>61</v>
      </c>
      <c r="R2" t="s">
        <v>62</v>
      </c>
      <c r="S2" t="s">
        <v>63</v>
      </c>
      <c r="T2" t="s">
        <v>64</v>
      </c>
      <c r="V2" s="50">
        <f>FT!G2*10</f>
        <v>2.8731400000000002</v>
      </c>
      <c r="W2" s="50">
        <f>FT!H2*100</f>
        <v>4.9921599999999993</v>
      </c>
      <c r="Y2">
        <f>IF(I2=1,H2/G2,"")</f>
        <v>3.376567600068717</v>
      </c>
      <c r="Z2">
        <f>AVERAGE(Y2:Y2000)</f>
        <v>46.3050120584127</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1.9150352941176469E-2</v>
      </c>
      <c r="C3" s="50">
        <f>IF(FH!$C$2&gt;0,FH!A3/FH!$C$2,0)</f>
        <v>0</v>
      </c>
      <c r="D3" s="50">
        <f>IF(hist!$D$2&gt;0,hist!B3/hist!$D$2,0)</f>
        <v>0</v>
      </c>
      <c r="E3" s="50">
        <f t="shared" ref="E3:E66" si="1">NORMDIST(B3,2,0.421,FALSE)</f>
        <v>1.4771254063813019E-5</v>
      </c>
      <c r="F3">
        <f>F2+1</f>
        <v>1</v>
      </c>
      <c r="G3" s="50">
        <f>IF(FT!A3&lt;&gt;"",FT!A3*10,"")</f>
        <v>2.8731400000000002</v>
      </c>
      <c r="H3" s="50">
        <f>IF(FT!B3&lt;&gt;"",FT!B3*100,"")</f>
        <v>4.9921599999999993</v>
      </c>
      <c r="I3" s="50">
        <f t="shared" ref="I3:I66" si="2">(IF(G3&lt;&gt;"",1,""))</f>
        <v>1</v>
      </c>
      <c r="J3" t="str">
        <f>IF(FT!B3&lt;&gt;"",FT!E3,"")</f>
        <v>0 [0.370150]</v>
      </c>
      <c r="K3">
        <f>IF(FT!B3&lt;&gt;"",IF(FT!C3&lt;&gt;"",FT!C3,F3/$M$3*$M$4),"")</f>
        <v>0.37014999999999998</v>
      </c>
      <c r="L3" t="s">
        <v>53</v>
      </c>
      <c r="M3">
        <f>SUM(I2:I2005)</f>
        <v>26</v>
      </c>
      <c r="O3" s="104">
        <f>MATCH(O2,C2:C1000,0)-1</f>
        <v>47</v>
      </c>
      <c r="P3">
        <v>0</v>
      </c>
      <c r="Q3">
        <v>0</v>
      </c>
      <c r="R3">
        <f>IF(S4=0,M3,0)</f>
        <v>26</v>
      </c>
      <c r="S3">
        <f t="array" ref="S3">MAX(IF(ft_nq=0,row_n))</f>
        <v>1998</v>
      </c>
      <c r="T3">
        <f>R3-Q3</f>
        <v>26</v>
      </c>
      <c r="V3" s="50">
        <f>FT!G3*10</f>
        <v>2.0174099999999999</v>
      </c>
      <c r="W3" s="50">
        <f>FT!H3*100</f>
        <v>74.39139999999999</v>
      </c>
      <c r="Y3" s="75">
        <f t="shared" ref="Y3:Y66" si="3">IF(I3=1,H3/G3,"")</f>
        <v>1.737527583062433</v>
      </c>
      <c r="AB3" s="1">
        <v>0</v>
      </c>
      <c r="AC3" s="1">
        <v>10</v>
      </c>
      <c r="AD3" s="1">
        <f>IF($V$21&gt;=AB3,IF($V$21&lt;AC3,1,0),0)</f>
        <v>0</v>
      </c>
      <c r="AE3" s="1">
        <f>IF($W$21&gt;=AB3,IF($W$21&lt;AC3,1,0),0)</f>
        <v>1</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3.8300705882352938E-2</v>
      </c>
      <c r="C4" s="50">
        <f>IF(FH!$C$2&gt;0,FH!A4/FH!$C$2,0)</f>
        <v>0</v>
      </c>
      <c r="D4" s="50">
        <f>IF(hist!$D$2&gt;0,hist!B4/hist!$D$2,0)</f>
        <v>0</v>
      </c>
      <c r="E4" s="50">
        <f t="shared" si="1"/>
        <v>1.8277544537288648E-5</v>
      </c>
      <c r="F4">
        <f t="shared" ref="F4:F67" si="6">F3+1</f>
        <v>2</v>
      </c>
      <c r="G4" s="50">
        <f>IF(FT!A4&lt;&gt;"",FT!A4*10,"")</f>
        <v>1.8493000000000002</v>
      </c>
      <c r="H4" s="50">
        <f>IF(FT!B4&lt;&gt;"",FT!B4*100,"")</f>
        <v>13.095300000000002</v>
      </c>
      <c r="I4" s="50">
        <f t="shared" si="2"/>
        <v>1</v>
      </c>
      <c r="J4" t="str">
        <f>IF(FT!B4&lt;&gt;"",FT!E4,"")</f>
        <v>0 [0.789697]</v>
      </c>
      <c r="K4">
        <f>IF(FT!B4&lt;&gt;"",IF(FT!C4&lt;&gt;"",FT!C4,F4/$M$3*$M$4),"")</f>
        <v>0.78969699999999998</v>
      </c>
      <c r="L4" t="s">
        <v>246</v>
      </c>
      <c r="M4">
        <f>IF(M2&lt;&gt;0,M3/M2*2,0)</f>
        <v>10.64844962668993</v>
      </c>
      <c r="P4">
        <f>P3+1</f>
        <v>1</v>
      </c>
      <c r="Q4">
        <v>0</v>
      </c>
      <c r="R4">
        <f>IF(S4=1998,0,S4)</f>
        <v>0</v>
      </c>
      <c r="S4">
        <f t="array" ref="S4">MAX(IF(ft_nq=P4,row_n))</f>
        <v>0</v>
      </c>
      <c r="T4">
        <f>R4-Q4+1</f>
        <v>1</v>
      </c>
      <c r="V4" t="s">
        <v>209</v>
      </c>
      <c r="W4" s="23">
        <f>IF(ISERROR(V3-V2)=FALSE,(V3-V2)*10,0)</f>
        <v>-8.5573000000000032</v>
      </c>
      <c r="Y4" s="75">
        <f t="shared" si="3"/>
        <v>7.0812199210512086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5.7451058823529404E-2</v>
      </c>
      <c r="C5" s="50">
        <f>IF(FH!$C$2&gt;0,FH!A5/FH!$C$2,0)</f>
        <v>0</v>
      </c>
      <c r="D5" s="50">
        <f>IF(hist!$D$2&gt;0,hist!B5/hist!$D$2,0)</f>
        <v>1</v>
      </c>
      <c r="E5" s="50">
        <f t="shared" si="1"/>
        <v>2.2569384666695371E-5</v>
      </c>
      <c r="F5">
        <f t="shared" si="6"/>
        <v>3</v>
      </c>
      <c r="G5" s="50">
        <f>IF(FT!A5&lt;&gt;"",FT!A5*10,"")</f>
        <v>0.81915899999999997</v>
      </c>
      <c r="H5" s="50">
        <f>IF(FT!B5&lt;&gt;"",FT!B5*100,"")</f>
        <v>84.729200000000006</v>
      </c>
      <c r="I5" s="50">
        <f t="shared" si="2"/>
        <v>1</v>
      </c>
      <c r="J5" t="str">
        <f>IF(FT!B5&lt;&gt;"",FT!E5,"")</f>
        <v>0 [1.177873]</v>
      </c>
      <c r="K5">
        <f>IF(FT!B5&lt;&gt;"",IF(FT!C5&lt;&gt;"",FT!C5,F5/$M$3*$M$4),"")</f>
        <v>1.17787</v>
      </c>
      <c r="L5" t="s">
        <v>54</v>
      </c>
      <c r="M5" s="52">
        <f ca="1">IF(M3&gt;0,MIN(FT_E),0)</f>
        <v>0.81915899999999997</v>
      </c>
      <c r="N5" s="52">
        <f ca="1">IF(M3&gt;0,ROUND(M5,1),0)</f>
        <v>0.8</v>
      </c>
      <c r="P5">
        <f t="shared" ref="P5:P27" si="10">P4+1</f>
        <v>2</v>
      </c>
      <c r="Q5">
        <f>IF(S5=1998,0,R4)</f>
        <v>0</v>
      </c>
      <c r="R5">
        <f>IF(S5=1998,0,S5)</f>
        <v>0</v>
      </c>
      <c r="S5">
        <f t="array" ref="S5">MAX(IF(ft_nq=P5,row_n))</f>
        <v>0</v>
      </c>
      <c r="T5">
        <f t="shared" ref="T5:T27" si="11">R5-Q5+1</f>
        <v>1</v>
      </c>
      <c r="V5" t="s">
        <v>210</v>
      </c>
      <c r="W5" s="23">
        <f>IF(ISERROR(W3-W2)=FALSE,W3-W2,0)</f>
        <v>69.399239999999992</v>
      </c>
      <c r="Y5" s="75">
        <f t="shared" si="3"/>
        <v>103.43437598805605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7.6601411764705876E-2</v>
      </c>
      <c r="C6" s="50">
        <f>IF(FH!$C$2&gt;0,FH!A6/FH!$C$2,0)</f>
        <v>0</v>
      </c>
      <c r="D6" s="50">
        <f>IF(hist!$D$2&gt;0,hist!B6/hist!$D$2,0)</f>
        <v>0</v>
      </c>
      <c r="E6" s="50">
        <f t="shared" si="1"/>
        <v>2.7811407680551124E-5</v>
      </c>
      <c r="F6">
        <f t="shared" si="6"/>
        <v>4</v>
      </c>
      <c r="G6" s="50">
        <f>IF(FT!A6&lt;&gt;"",FT!A6*10,"")</f>
        <v>0.91969999999999996</v>
      </c>
      <c r="H6" s="50">
        <f>IF(FT!B6&lt;&gt;"",FT!B6*100,"")</f>
        <v>84.511899999999997</v>
      </c>
      <c r="I6" s="50">
        <f t="shared" si="2"/>
        <v>1</v>
      </c>
      <c r="J6" t="str">
        <f>IF(FT!B6&lt;&gt;"",FT!E6,"")</f>
        <v>0 [1.590484]</v>
      </c>
      <c r="K6">
        <f>IF(FT!B6&lt;&gt;"",IF(FT!C6&lt;&gt;"",FT!C6,F6/$M$3*$M$4),"")</f>
        <v>1.5904799999999999</v>
      </c>
      <c r="L6" t="s">
        <v>55</v>
      </c>
      <c r="M6" s="52">
        <f ca="1">IF(M3&gt;0,MAX(FT_E),0)</f>
        <v>3.3761799999999997</v>
      </c>
      <c r="N6" s="52">
        <f ca="1">IF(M3&gt;0,ROUND(M6,1),0)</f>
        <v>3.4</v>
      </c>
      <c r="P6">
        <f t="shared" si="10"/>
        <v>3</v>
      </c>
      <c r="Q6">
        <f t="shared" ref="Q6:Q27" si="12">IF(S6=1998,0,R5)</f>
        <v>0</v>
      </c>
      <c r="R6">
        <f t="shared" ref="R6:R27" si="13">IF(S6=1998,0,S6)</f>
        <v>0</v>
      </c>
      <c r="S6">
        <f t="array" ref="S6">MAX(IF(ft_nq=P6,row_n))</f>
        <v>0</v>
      </c>
      <c r="T6">
        <f t="shared" si="11"/>
        <v>1</v>
      </c>
      <c r="V6" t="s">
        <v>211</v>
      </c>
      <c r="W6" s="23">
        <f>IF(W4&lt;&gt;0,W5/W4,0)</f>
        <v>-8.1099458941488507</v>
      </c>
      <c r="Y6" s="75">
        <f t="shared" si="3"/>
        <v>91.890725236490155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9.5751764705882342E-2</v>
      </c>
      <c r="C7" s="50">
        <f>IF(FH!$C$2&gt;0,FH!A7/FH!$C$2,0)</f>
        <v>0</v>
      </c>
      <c r="D7" s="50">
        <f>IF(hist!$D$2&gt;0,hist!B7/hist!$D$2,0)</f>
        <v>0</v>
      </c>
      <c r="E7" s="50">
        <f t="shared" si="1"/>
        <v>3.4200118355976086E-5</v>
      </c>
      <c r="F7">
        <f t="shared" si="6"/>
        <v>5</v>
      </c>
      <c r="G7" s="50">
        <f>IF(FT!A7&lt;&gt;"",FT!A7*10,"")</f>
        <v>1.00329</v>
      </c>
      <c r="H7" s="50">
        <f>IF(FT!B7&lt;&gt;"",FT!B7*100,"")</f>
        <v>83.289000000000001</v>
      </c>
      <c r="I7" s="50">
        <f t="shared" si="2"/>
        <v>1</v>
      </c>
      <c r="J7" t="str">
        <f>IF(FT!B7&lt;&gt;"",FT!E7,"")</f>
        <v>0 [1.999907]</v>
      </c>
      <c r="K7">
        <f>IF(FT!B7&lt;&gt;"",IF(FT!C7&lt;&gt;"",FT!C7,F7/$M$3*$M$4),"")</f>
        <v>1.9999100000000001</v>
      </c>
      <c r="L7" t="s">
        <v>56</v>
      </c>
      <c r="M7" s="366">
        <f ca="1">IF(M3&gt;0,MIN(FT_PH),0)</f>
        <v>4.9921599999999993</v>
      </c>
      <c r="N7" s="52">
        <f ca="1">IF(M3&gt;0,ROUND(M7,1),0)</f>
        <v>5</v>
      </c>
      <c r="P7">
        <f t="shared" si="10"/>
        <v>4</v>
      </c>
      <c r="Q7">
        <f t="shared" si="12"/>
        <v>0</v>
      </c>
      <c r="R7">
        <f t="shared" si="13"/>
        <v>0</v>
      </c>
      <c r="S7">
        <f t="array" ref="S7">MAX(IF(ft_nq=P7,row_n))</f>
        <v>0</v>
      </c>
      <c r="T7">
        <f t="shared" si="11"/>
        <v>1</v>
      </c>
      <c r="V7" t="s">
        <v>212</v>
      </c>
      <c r="W7" s="23">
        <f>DEGREES(ATAN(W6))</f>
        <v>-82.970604040444186</v>
      </c>
      <c r="X7" s="106">
        <v>0.05</v>
      </c>
      <c r="Y7" s="75">
        <f t="shared" si="3"/>
        <v>83.015877762162489</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0.11490211764705881</v>
      </c>
      <c r="C8" s="50">
        <f>IF(FH!$C$2&gt;0,FH!A8/FH!$C$2,0)</f>
        <v>3.1092040958808471E-2</v>
      </c>
      <c r="D8" s="50">
        <f>IF(hist!$D$2&gt;0,hist!B8/hist!$D$2,0)</f>
        <v>0.97953760793592026</v>
      </c>
      <c r="E8" s="50">
        <f t="shared" si="1"/>
        <v>4.1969484184793039E-5</v>
      </c>
      <c r="F8">
        <f t="shared" si="6"/>
        <v>6</v>
      </c>
      <c r="G8" s="50">
        <f>IF(FT!A8&lt;&gt;"",FT!A8*10,"")</f>
        <v>1.0817999999999999</v>
      </c>
      <c r="H8" s="50">
        <f>IF(FT!B8&lt;&gt;"",FT!B8*100,"")</f>
        <v>81.683300000000003</v>
      </c>
      <c r="I8" s="50">
        <f t="shared" si="2"/>
        <v>1</v>
      </c>
      <c r="J8" t="str">
        <f>IF(FT!B8&lt;&gt;"",FT!E8,"")</f>
        <v>0 [2.406172]</v>
      </c>
      <c r="K8">
        <f>IF(FT!B8&lt;&gt;"",IF(FT!C8&lt;&gt;"",FT!C8,F8/$M$3*$M$4),"")</f>
        <v>2.4061699999999999</v>
      </c>
      <c r="L8" t="s">
        <v>57</v>
      </c>
      <c r="M8" s="52">
        <f ca="1">IF(M3&gt;0,MAX(FT_PH),0)</f>
        <v>84.729200000000006</v>
      </c>
      <c r="N8" s="52">
        <f ca="1">IF(M3&gt;0,ROUND(M8,1),0)</f>
        <v>84.7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75.506840451100032</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0.13405247058823527</v>
      </c>
      <c r="C9" s="50">
        <f>IF(FH!$C$2&gt;0,FH!A9/FH!$C$2,0)</f>
        <v>0</v>
      </c>
      <c r="D9" s="50">
        <f>IF(hist!$D$2&gt;0,hist!B9/hist!$D$2,0)</f>
        <v>0</v>
      </c>
      <c r="E9" s="50">
        <f t="shared" si="1"/>
        <v>5.1397386866100362E-5</v>
      </c>
      <c r="F9">
        <f t="shared" si="6"/>
        <v>7</v>
      </c>
      <c r="G9" s="50">
        <f>IF(FT!A9&lt;&gt;"",FT!A9*10,"")</f>
        <v>1.16472</v>
      </c>
      <c r="H9" s="50">
        <f>IF(FT!B9&lt;&gt;"",FT!B9*100,"")</f>
        <v>79.633799999999994</v>
      </c>
      <c r="I9" s="50">
        <f t="shared" si="2"/>
        <v>1</v>
      </c>
      <c r="J9" t="str">
        <f>IF(FT!B9&lt;&gt;"",FT!E9,"")</f>
        <v>0 [2.807584]</v>
      </c>
      <c r="K9">
        <f>IF(FT!B9&lt;&gt;"",IF(FT!C9&lt;&gt;"",FT!C9,F9/$M$3*$M$4),"")</f>
        <v>2.8075800000000002</v>
      </c>
      <c r="L9" t="s">
        <v>222</v>
      </c>
      <c r="M9" s="74">
        <f ca="1">IF(M3&gt;0,IF(COUNT(FT_E)&gt;0,AVERAGE(FT_E),0),0)</f>
        <v>1.7298726538461533</v>
      </c>
      <c r="N9" s="365">
        <f ca="1">IF(M3&gt;0,IF(COUNT(FT_PH)&gt;0,AVERAGE(FT_PH),0),0)</f>
        <v>68.132529230769237</v>
      </c>
      <c r="P9">
        <f t="shared" si="10"/>
        <v>6</v>
      </c>
      <c r="Q9">
        <f t="shared" si="12"/>
        <v>0</v>
      </c>
      <c r="R9">
        <f t="shared" si="13"/>
        <v>0</v>
      </c>
      <c r="S9">
        <f t="array" ref="S9">MAX(IF(ft_nq=P9,row_n))</f>
        <v>0</v>
      </c>
      <c r="T9">
        <f t="shared" si="11"/>
        <v>1</v>
      </c>
      <c r="V9">
        <f ca="1">IF(X9=1,IF(M3=0,0,IF(M9&lt;1,1,IF(M9&lt;2.5,2,IF(M9&lt;4,3,4)))),IF(M3=0,0,IF(M5&lt;1,1,IF(M5&lt;2.5,2,IF(M5&lt;4,3,4)))))</f>
        <v>1</v>
      </c>
      <c r="W9">
        <f ca="1">IF(X9=1,IF(M3=0,0,IF(N9&lt;20,5,IF(N9&lt;40,4,IF(N9&lt;60,3,IF(N9&lt;=80,2,1))))),IF(M3=0,0,IF(M7&lt;20,5,IF(M7&lt;40,4,IF(M7&lt;60,3,IF(M7&lt;=80,2,1))))))</f>
        <v>5</v>
      </c>
      <c r="X9">
        <v>2</v>
      </c>
      <c r="Y9" s="75">
        <f t="shared" si="3"/>
        <v>68.371625798475165</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0.15320282352941175</v>
      </c>
      <c r="C10" s="50">
        <f>IF(FH!$C$2&gt;0,FH!A10/FH!$C$2,0)</f>
        <v>0.32085175703979518</v>
      </c>
      <c r="D10" s="50">
        <f>IF(hist!$D$2&gt;0,hist!B10/hist!$D$2,0)</f>
        <v>0.41138461794658077</v>
      </c>
      <c r="E10" s="50">
        <f t="shared" si="1"/>
        <v>6.2813042761581978E-5</v>
      </c>
      <c r="F10">
        <f t="shared" si="6"/>
        <v>8</v>
      </c>
      <c r="G10" s="50">
        <f>IF(FT!A10&lt;&gt;"",FT!A10*10,"")</f>
        <v>1.2457400000000001</v>
      </c>
      <c r="H10" s="50">
        <f>IF(FT!B10&lt;&gt;"",FT!B10*100,"")</f>
        <v>77.914500000000004</v>
      </c>
      <c r="I10" s="50">
        <f t="shared" si="2"/>
        <v>1</v>
      </c>
      <c r="J10" t="str">
        <f>IF(FT!B10&lt;&gt;"",FT!E10,"")</f>
        <v>0 [3.216041]</v>
      </c>
      <c r="K10">
        <f>IF(FT!B10&lt;&gt;"",IF(FT!C10&lt;&gt;"",FT!C10,F10/$M$3*$M$4),"")</f>
        <v>3.21604</v>
      </c>
      <c r="M10">
        <v>2</v>
      </c>
      <c r="P10">
        <f t="shared" si="10"/>
        <v>7</v>
      </c>
      <c r="Q10">
        <f t="shared" si="12"/>
        <v>0</v>
      </c>
      <c r="R10">
        <f t="shared" si="13"/>
        <v>0</v>
      </c>
      <c r="S10">
        <f t="array" ref="S10">MAX(IF(ft_nq=P10,row_n))</f>
        <v>0</v>
      </c>
      <c r="T10">
        <f t="shared" si="11"/>
        <v>1</v>
      </c>
      <c r="V10" t="s">
        <v>215</v>
      </c>
      <c r="X10" s="71" t="s">
        <v>270</v>
      </c>
      <c r="Y10" s="75">
        <f t="shared" si="3"/>
        <v>62.544752516576494</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0.1723531764705882</v>
      </c>
      <c r="C11" s="50">
        <f>IF(FH!$C$2&gt;0,FH!A11/FH!$C$2,0)</f>
        <v>0</v>
      </c>
      <c r="D11" s="50">
        <f>IF(hist!$D$2&gt;0,hist!B11/hist!$D$2,0)</f>
        <v>0</v>
      </c>
      <c r="E11" s="50">
        <f t="shared" si="1"/>
        <v>7.6605510193685926E-5</v>
      </c>
      <c r="F11">
        <f t="shared" si="6"/>
        <v>9</v>
      </c>
      <c r="G11" s="50">
        <f>IF(FT!A11&lt;&gt;"",FT!A11*10,"")</f>
        <v>1.3236600000000001</v>
      </c>
      <c r="H11" s="50">
        <f>IF(FT!B11&lt;&gt;"",FT!B11*100,"")</f>
        <v>75.991</v>
      </c>
      <c r="I11" s="50">
        <f t="shared" si="2"/>
        <v>1</v>
      </c>
      <c r="J11" t="str">
        <f>IF(FT!B11&lt;&gt;"",FT!E11,"")</f>
        <v>0 [3.621994]</v>
      </c>
      <c r="K11">
        <f>IF(FT!B11&lt;&gt;"",IF(FT!C11&lt;&gt;"",FT!C11,F11/$M$3*$M$4),"")</f>
        <v>3.6219899999999998</v>
      </c>
      <c r="M11" s="49">
        <f>MAX(IF(ft_nq=1,row_n))</f>
        <v>0</v>
      </c>
      <c r="P11">
        <f t="shared" si="10"/>
        <v>8</v>
      </c>
      <c r="Q11">
        <f t="shared" si="12"/>
        <v>0</v>
      </c>
      <c r="R11">
        <f t="shared" si="13"/>
        <v>0</v>
      </c>
      <c r="S11">
        <f t="array" ref="S11">MAX(IF(ft_nq=P11,row_n))</f>
        <v>0</v>
      </c>
      <c r="T11">
        <f t="shared" si="11"/>
        <v>1</v>
      </c>
      <c r="V11" s="71" t="s">
        <v>216</v>
      </c>
      <c r="W11" s="23">
        <f>FT!H11*100</f>
        <v>4.9921599999999993</v>
      </c>
      <c r="Y11" s="75">
        <f t="shared" si="3"/>
        <v>57.409757792786664</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0.19150352941176468</v>
      </c>
      <c r="C12" s="50">
        <f>IF(FH!$C$2&gt;0,FH!A12/FH!$C$2,0)</f>
        <v>0</v>
      </c>
      <c r="D12" s="50">
        <f>IF(hist!$D$2&gt;0,hist!B12/hist!$D$2,0)</f>
        <v>0</v>
      </c>
      <c r="E12" s="50">
        <f t="shared" si="1"/>
        <v>9.3233410648691951E-5</v>
      </c>
      <c r="F12">
        <f t="shared" si="6"/>
        <v>10</v>
      </c>
      <c r="G12" s="50">
        <f>IF(FT!A12&lt;&gt;"",FT!A12*10,"")</f>
        <v>1.3970499999999999</v>
      </c>
      <c r="H12" s="50">
        <f>IF(FT!B12&lt;&gt;"",FT!B12*100,"")</f>
        <v>74.011200000000002</v>
      </c>
      <c r="I12" s="50">
        <f t="shared" si="2"/>
        <v>1</v>
      </c>
      <c r="J12" t="str">
        <f>IF(FT!B12&lt;&gt;"",FT!E12,"")</f>
        <v>0 [4.045424]</v>
      </c>
      <c r="K12">
        <f>IF(FT!B12&lt;&gt;"",IF(FT!C12&lt;&gt;"",FT!C12,F12/$M$3*$M$4),"")</f>
        <v>4.04542</v>
      </c>
      <c r="M12">
        <f>M11+1</f>
        <v>1</v>
      </c>
      <c r="P12">
        <f t="shared" si="10"/>
        <v>9</v>
      </c>
      <c r="Q12">
        <f t="shared" si="12"/>
        <v>0</v>
      </c>
      <c r="R12">
        <f t="shared" si="13"/>
        <v>0</v>
      </c>
      <c r="S12">
        <f t="array" ref="S12">MAX(IF(ft_nq=P12,row_n))</f>
        <v>0</v>
      </c>
      <c r="T12">
        <f t="shared" si="11"/>
        <v>1</v>
      </c>
      <c r="V12" s="71" t="s">
        <v>217</v>
      </c>
      <c r="W12" s="23">
        <f>FT!H12*100</f>
        <v>84.729200000000006</v>
      </c>
      <c r="Y12" s="75">
        <f t="shared" si="3"/>
        <v>52.976772484878857</v>
      </c>
      <c r="AB12" s="1">
        <v>90</v>
      </c>
      <c r="AC12" s="1">
        <v>100</v>
      </c>
      <c r="AD12" s="1">
        <f t="shared" si="7"/>
        <v>0</v>
      </c>
      <c r="AE12" s="1">
        <f t="shared" si="8"/>
        <v>0</v>
      </c>
      <c r="AF12" s="431">
        <f>AE3</f>
        <v>1</v>
      </c>
      <c r="AG12" s="114">
        <f t="shared" si="9"/>
        <v>0</v>
      </c>
      <c r="AH12" s="108">
        <f t="shared" si="9"/>
        <v>0</v>
      </c>
      <c r="AI12" s="108">
        <f t="shared" si="4"/>
        <v>0</v>
      </c>
      <c r="AJ12" s="108">
        <f t="shared" si="4"/>
        <v>0</v>
      </c>
      <c r="AK12" s="109">
        <f t="shared" si="4"/>
        <v>0</v>
      </c>
      <c r="AL12" s="114">
        <f t="shared" si="4"/>
        <v>1</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0.21065388235294116</v>
      </c>
      <c r="C13" s="50">
        <f>IF(FH!$C$2&gt;0,FH!A13/FH!$C$2,0)</f>
        <v>0.19281543895193637</v>
      </c>
      <c r="D13" s="50">
        <f>IF(hist!$D$2&gt;0,hist!B13/hist!$D$2,0)</f>
        <v>0.32049513369740618</v>
      </c>
      <c r="E13" s="50">
        <f t="shared" si="1"/>
        <v>1.132359998636666E-4</v>
      </c>
      <c r="F13">
        <f t="shared" si="6"/>
        <v>11</v>
      </c>
      <c r="G13" s="50">
        <f>IF(FT!A13&lt;&gt;"",FT!A13*10,"")</f>
        <v>1.47112</v>
      </c>
      <c r="H13" s="50">
        <f>IF(FT!B13&lt;&gt;"",FT!B13*100,"")</f>
        <v>72.25200000000001</v>
      </c>
      <c r="I13" s="50">
        <f t="shared" si="2"/>
        <v>1</v>
      </c>
      <c r="J13" t="str">
        <f>IF(FT!B13&lt;&gt;"",FT!E13,"")</f>
        <v>0 [4.473019]</v>
      </c>
      <c r="K13">
        <f>IF(FT!B13&lt;&gt;"",IF(FT!C13&lt;&gt;"",FT!C13,F13/$M$3*$M$4),"")</f>
        <v>4.47302</v>
      </c>
      <c r="M13" s="49">
        <f t="array" ref="M13">MAX(IF(ft_nq=2,row_n))</f>
        <v>0</v>
      </c>
      <c r="P13">
        <f t="shared" si="10"/>
        <v>10</v>
      </c>
      <c r="Q13">
        <f t="shared" si="12"/>
        <v>0</v>
      </c>
      <c r="R13">
        <f t="shared" si="13"/>
        <v>0</v>
      </c>
      <c r="S13">
        <f t="array" ref="S13">MAX(IF(ft_nq=P13,row_n))</f>
        <v>0</v>
      </c>
      <c r="T13">
        <f t="shared" si="11"/>
        <v>1</v>
      </c>
      <c r="V13" s="71" t="s">
        <v>219</v>
      </c>
      <c r="W13">
        <f>FT!H13</f>
        <v>2</v>
      </c>
      <c r="Y13" s="75">
        <f t="shared" si="3"/>
        <v>49.113600522051236</v>
      </c>
    </row>
    <row r="14" spans="1:104">
      <c r="A14" s="50">
        <f t="shared" si="5"/>
        <v>12</v>
      </c>
      <c r="B14" s="50">
        <f t="shared" si="0"/>
        <v>0.22980423529411761</v>
      </c>
      <c r="C14" s="50">
        <f>IF(FH!$C$2&gt;0,FH!A14/FH!$C$2,0)</f>
        <v>0</v>
      </c>
      <c r="D14" s="50">
        <f>IF(hist!$D$2&gt;0,hist!B14/hist!$D$2,0)</f>
        <v>0</v>
      </c>
      <c r="E14" s="50">
        <f t="shared" si="1"/>
        <v>1.3724573318592807E-4</v>
      </c>
      <c r="F14">
        <f t="shared" si="6"/>
        <v>12</v>
      </c>
      <c r="G14" s="50">
        <f>IF(FT!A14&lt;&gt;"",FT!A14*10,"")</f>
        <v>1.5493899999999998</v>
      </c>
      <c r="H14" s="50">
        <f>IF(FT!B14&lt;&gt;"",FT!B14*100,"")</f>
        <v>71.477599999999995</v>
      </c>
      <c r="I14" s="50">
        <f t="shared" si="2"/>
        <v>1</v>
      </c>
      <c r="J14" t="str">
        <f>IF(FT!B14&lt;&gt;"",FT!E14,"")</f>
        <v>0 [4.847211]</v>
      </c>
      <c r="K14">
        <f>IF(FT!B14&lt;&gt;"",IF(FT!C14&lt;&gt;"",FT!C14,F14/$M$3*$M$4),"")</f>
        <v>4.8472099999999996</v>
      </c>
      <c r="M14">
        <f>M13+1</f>
        <v>1</v>
      </c>
      <c r="P14">
        <f t="shared" si="10"/>
        <v>11</v>
      </c>
      <c r="Q14">
        <f t="shared" si="12"/>
        <v>0</v>
      </c>
      <c r="R14">
        <f t="shared" si="13"/>
        <v>0</v>
      </c>
      <c r="S14">
        <f t="array" ref="S14">MAX(IF(ft_nq=P14,row_n))</f>
        <v>0</v>
      </c>
      <c r="T14">
        <f t="shared" si="11"/>
        <v>1</v>
      </c>
      <c r="V14" s="71" t="s">
        <v>221</v>
      </c>
      <c r="W14">
        <f>FT!H14</f>
        <v>4</v>
      </c>
      <c r="Y14" s="75">
        <f t="shared" si="3"/>
        <v>46.132736109049368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0.24895458823529409</v>
      </c>
      <c r="C15" s="50">
        <f>IF(FH!$C$2&gt;0,FH!A15/FH!$C$2,0)</f>
        <v>5.0686867718928393E-2</v>
      </c>
      <c r="D15" s="50">
        <f>IF(hist!$D$2&gt;0,hist!B15/hist!$D$2,0)</f>
        <v>0.33791953703933636</v>
      </c>
      <c r="E15" s="50">
        <f t="shared" si="1"/>
        <v>1.6600247721131861E-4</v>
      </c>
      <c r="F15">
        <f t="shared" si="6"/>
        <v>13</v>
      </c>
      <c r="G15" s="50">
        <f>IF(FT!A15&lt;&gt;"",FT!A15*10,"")</f>
        <v>1.6333900000000001</v>
      </c>
      <c r="H15" s="50">
        <f>IF(FT!B15&lt;&gt;"",FT!B15*100,"")</f>
        <v>71.565699999999993</v>
      </c>
      <c r="I15" s="50">
        <f t="shared" si="2"/>
        <v>1</v>
      </c>
      <c r="J15" t="str">
        <f>IF(FT!B15&lt;&gt;"",FT!E15,"")</f>
        <v>0 [5.254261]</v>
      </c>
      <c r="K15">
        <f>IF(FT!B15&lt;&gt;"",IF(FT!C15&lt;&gt;"",FT!C15,F15/$M$3*$M$4),"")</f>
        <v>5.2542600000000004</v>
      </c>
      <c r="M15">
        <f t="array" ref="M15">MAX(IF(ft_nq=3,row_n))</f>
        <v>0</v>
      </c>
      <c r="P15">
        <f t="shared" si="10"/>
        <v>12</v>
      </c>
      <c r="Q15">
        <f t="shared" si="12"/>
        <v>0</v>
      </c>
      <c r="R15">
        <f t="shared" si="13"/>
        <v>0</v>
      </c>
      <c r="S15">
        <f t="array" ref="S15">MAX(IF(ft_nq=P15,row_n))</f>
        <v>0</v>
      </c>
      <c r="T15">
        <f t="shared" si="11"/>
        <v>1</v>
      </c>
      <c r="V15" s="23">
        <f>FT!G15*10</f>
        <v>2.8731400000000002</v>
      </c>
      <c r="W15" s="23">
        <f>FT!H15*100</f>
        <v>4.9921599999999993</v>
      </c>
      <c r="Y15" s="75">
        <f t="shared" si="3"/>
        <v>43.81421460888091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0.26810494117647055</v>
      </c>
      <c r="C16" s="50">
        <f>IF(FH!$C$2&gt;0,FH!A16/FH!$C$2,0)</f>
        <v>0</v>
      </c>
      <c r="D16" s="50">
        <f>IF(hist!$D$2&gt;0,hist!B16/hist!$D$2,0)</f>
        <v>0</v>
      </c>
      <c r="E16" s="50">
        <f t="shared" si="1"/>
        <v>2.003695262044659E-4</v>
      </c>
      <c r="F16">
        <f t="shared" si="6"/>
        <v>14</v>
      </c>
      <c r="G16" s="50">
        <f>IF(FT!A16&lt;&gt;"",FT!A16*10,"")</f>
        <v>1.7082299999999999</v>
      </c>
      <c r="H16" s="50">
        <f>IF(FT!B16&lt;&gt;"",FT!B16*100,"")</f>
        <v>71.844499999999996</v>
      </c>
      <c r="I16" s="50">
        <f t="shared" si="2"/>
        <v>1</v>
      </c>
      <c r="J16" t="str">
        <f>IF(FT!B16&lt;&gt;"",FT!E16,"")</f>
        <v>0 [5.654229]</v>
      </c>
      <c r="K16">
        <f>IF(FT!B16&lt;&gt;"",IF(FT!C16&lt;&gt;"",FT!C16,F16/$M$3*$M$4),"")</f>
        <v>5.6542300000000001</v>
      </c>
      <c r="M16">
        <f>M15+1</f>
        <v>1</v>
      </c>
      <c r="P16">
        <f t="shared" si="10"/>
        <v>13</v>
      </c>
      <c r="Q16">
        <f t="shared" si="12"/>
        <v>0</v>
      </c>
      <c r="R16">
        <f t="shared" si="13"/>
        <v>0</v>
      </c>
      <c r="S16">
        <f t="array" ref="S16">MAX(IF(ft_nq=P16,row_n))</f>
        <v>0</v>
      </c>
      <c r="T16">
        <f t="shared" si="11"/>
        <v>1</v>
      </c>
      <c r="V16" s="23">
        <f>FT!G16*10</f>
        <v>0.81915899999999997</v>
      </c>
      <c r="W16" s="23">
        <f>FT!H16*100</f>
        <v>84.729200000000006</v>
      </c>
      <c r="Y16" s="75">
        <f t="shared" si="3"/>
        <v>42.05786106086417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0.28725529411764705</v>
      </c>
      <c r="C17" s="50">
        <f>IF(FH!$C$2&gt;0,FH!A17/FH!$C$2,0)</f>
        <v>0</v>
      </c>
      <c r="D17" s="50">
        <f>IF(hist!$D$2&gt;0,hist!B17/hist!$D$2,0)</f>
        <v>0</v>
      </c>
      <c r="E17" s="50">
        <f t="shared" si="1"/>
        <v>2.4135158680559619E-4</v>
      </c>
      <c r="F17">
        <f t="shared" si="6"/>
        <v>15</v>
      </c>
      <c r="G17" s="50">
        <f>IF(FT!A17&lt;&gt;"",FT!A17*10,"")</f>
        <v>1.77565</v>
      </c>
      <c r="H17" s="50">
        <f>IF(FT!B17&lt;&gt;"",FT!B17*100,"")</f>
        <v>72.186300000000003</v>
      </c>
      <c r="I17" s="50">
        <f t="shared" si="2"/>
        <v>1</v>
      </c>
      <c r="J17" t="str">
        <f>IF(FT!B17&lt;&gt;"",FT!E17,"")</f>
        <v>0 [6.059916]</v>
      </c>
      <c r="K17">
        <f>IF(FT!B17&lt;&gt;"",IF(FT!C17&lt;&gt;"",FT!C17,F17/$M$3*$M$4),"")</f>
        <v>6.05992</v>
      </c>
      <c r="M17">
        <f>M3+1</f>
        <v>27</v>
      </c>
      <c r="P17">
        <f t="shared" si="10"/>
        <v>14</v>
      </c>
      <c r="Q17">
        <f t="shared" si="12"/>
        <v>0</v>
      </c>
      <c r="R17">
        <f t="shared" si="13"/>
        <v>0</v>
      </c>
      <c r="S17">
        <f t="array" ref="S17">MAX(IF(ft_nq=P17,row_n))</f>
        <v>0</v>
      </c>
      <c r="T17">
        <f t="shared" si="11"/>
        <v>1</v>
      </c>
      <c r="V17" t="s">
        <v>1522</v>
      </c>
      <c r="Y17" s="75">
        <f t="shared" si="3"/>
        <v>40.653450848984882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0.3064056470588235</v>
      </c>
      <c r="C18" s="50">
        <f>IF(FH!$C$2&gt;0,FH!A18/FH!$C$2,0)</f>
        <v>3.0331524045503704E-2</v>
      </c>
      <c r="D18" s="50">
        <f>IF(hist!$D$2&gt;0,hist!B18/hist!$D$2,0)</f>
        <v>0.31629903412986521</v>
      </c>
      <c r="E18" s="50">
        <f t="shared" si="1"/>
        <v>2.9011489761363837E-4</v>
      </c>
      <c r="F18">
        <f t="shared" si="6"/>
        <v>16</v>
      </c>
      <c r="G18" s="50">
        <f>IF(FT!A18&lt;&gt;"",FT!A18*10,"")</f>
        <v>1.8371899999999999</v>
      </c>
      <c r="H18" s="50">
        <f>IF(FT!B18&lt;&gt;"",FT!B18*100,"")</f>
        <v>72.7042</v>
      </c>
      <c r="I18" s="50">
        <f t="shared" si="2"/>
        <v>1</v>
      </c>
      <c r="J18" t="str">
        <f>IF(FT!B18&lt;&gt;"",FT!E18,"")</f>
        <v>0 [6.469055]</v>
      </c>
      <c r="K18">
        <f>IF(FT!B18&lt;&gt;"",IF(FT!C18&lt;&gt;"",FT!C18,F18/$M$3*$M$4),"")</f>
        <v>6.4690500000000002</v>
      </c>
      <c r="P18">
        <f t="shared" si="10"/>
        <v>15</v>
      </c>
      <c r="Q18">
        <f t="shared" si="12"/>
        <v>0</v>
      </c>
      <c r="R18">
        <f t="shared" si="13"/>
        <v>0</v>
      </c>
      <c r="S18">
        <f t="array" ref="S18">MAX(IF(ft_nq=P18,row_n))</f>
        <v>0</v>
      </c>
      <c r="T18">
        <f t="shared" si="11"/>
        <v>1</v>
      </c>
      <c r="V18" s="288">
        <f>M!B18*100</f>
        <v>85.165700000000001</v>
      </c>
      <c r="W18" s="287">
        <f>100-M!B19*100</f>
        <v>21.623400000000004</v>
      </c>
      <c r="X18" t="str">
        <f>"(" &amp; ROUND(V18,1) &amp; " , " &amp; ROUND(100-W18,1) &amp; ")"</f>
        <v>(85.2 , 78.4)</v>
      </c>
      <c r="Y18" s="75">
        <f t="shared" si="3"/>
        <v>39.5735879250377</v>
      </c>
      <c r="Z18">
        <f>M!B18*100</f>
        <v>85.165700000000001</v>
      </c>
      <c r="AA18">
        <f>100-M!B19*100</f>
        <v>21.623400000000004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0.32555599999999996</v>
      </c>
      <c r="C19" s="50">
        <f>IF(FH!$C$2&gt;0,FH!A19/FH!$C$2,0)</f>
        <v>0</v>
      </c>
      <c r="D19" s="50">
        <f>IF(hist!$D$2&gt;0,hist!B19/hist!$D$2,0)</f>
        <v>0</v>
      </c>
      <c r="E19" s="50">
        <f t="shared" si="1"/>
        <v>3.4800965093789385E-4</v>
      </c>
      <c r="F19">
        <f t="shared" si="6"/>
        <v>17</v>
      </c>
      <c r="G19" s="50">
        <f>IF(FT!A19&lt;&gt;"",FT!A19*10,"")</f>
        <v>1.8917000000000002</v>
      </c>
      <c r="H19" s="50">
        <f>IF(FT!B19&lt;&gt;"",FT!B19*100,"")</f>
        <v>73.304699999999997</v>
      </c>
      <c r="I19" s="50">
        <f t="shared" si="2"/>
        <v>1</v>
      </c>
      <c r="J19" t="str">
        <f>IF(FT!B19&lt;&gt;"",FT!E19,"")</f>
        <v>0 [6.872641]</v>
      </c>
      <c r="K19">
        <f>IF(FT!B19&lt;&gt;"",IF(FT!C19&lt;&gt;"",FT!C19,F19/$M$3*$M$4),"")</f>
        <v>6.8726399999999996</v>
      </c>
      <c r="P19">
        <f t="shared" si="10"/>
        <v>16</v>
      </c>
      <c r="Q19">
        <f t="shared" si="12"/>
        <v>0</v>
      </c>
      <c r="R19">
        <f t="shared" si="13"/>
        <v>0</v>
      </c>
      <c r="S19">
        <f t="array" ref="S19">MAX(IF(ft_nq=P19,row_n))</f>
        <v>0</v>
      </c>
      <c r="T19">
        <f t="shared" si="11"/>
        <v>1</v>
      </c>
      <c r="V19" t="s">
        <v>1521</v>
      </c>
      <c r="Y19" s="75">
        <f t="shared" si="3"/>
        <v>38.750700428186285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0.34470635294117641</v>
      </c>
      <c r="C20" s="50">
        <f>IF(FH!$C$2&gt;0,FH!A20/FH!$C$2,0)</f>
        <v>0</v>
      </c>
      <c r="D20" s="50">
        <f>IF(hist!$D$2&gt;0,hist!B20/hist!$D$2,0)</f>
        <v>0</v>
      </c>
      <c r="E20" s="50">
        <f t="shared" si="1"/>
        <v>4.1659488182078426E-4</v>
      </c>
      <c r="F20">
        <f t="shared" si="6"/>
        <v>18</v>
      </c>
      <c r="G20" s="50">
        <f>IF(FT!A20&lt;&gt;"",FT!A20*10,"")</f>
        <v>1.9419</v>
      </c>
      <c r="H20" s="50">
        <f>IF(FT!B20&lt;&gt;"",FT!B20*100,"")</f>
        <v>73.979799999999997</v>
      </c>
      <c r="I20" s="50">
        <f t="shared" si="2"/>
        <v>1</v>
      </c>
      <c r="J20" t="str">
        <f>IF(FT!B20&lt;&gt;"",FT!E20,"")</f>
        <v>0 [7.281502]</v>
      </c>
      <c r="K20">
        <f>IF(FT!B20&lt;&gt;"",IF(FT!C20&lt;&gt;"",FT!C20,F20/$M$3*$M$4),"")</f>
        <v>7.2815000000000003</v>
      </c>
      <c r="P20">
        <f t="shared" si="10"/>
        <v>17</v>
      </c>
      <c r="Q20">
        <f t="shared" si="12"/>
        <v>0</v>
      </c>
      <c r="R20">
        <f t="shared" si="13"/>
        <v>0</v>
      </c>
      <c r="S20">
        <f t="array" ref="S20">MAX(IF(ft_nq=P20,row_n))</f>
        <v>0</v>
      </c>
      <c r="T20">
        <f t="shared" si="11"/>
        <v>1</v>
      </c>
      <c r="V20" s="56">
        <v>50</v>
      </c>
      <c r="W20">
        <v>50</v>
      </c>
      <c r="Y20" s="75">
        <f t="shared" si="3"/>
        <v>38.096606416396313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0.36385670588235292</v>
      </c>
      <c r="C21" s="50">
        <f>IF(FH!$C$2&gt;0,FH!A21/FH!$C$2,0)</f>
        <v>3.4089378362469031E-2</v>
      </c>
      <c r="D21" s="50">
        <f>IF(hist!$D$2&gt;0,hist!B21/hist!$D$2,0)</f>
        <v>0.30842153185834381</v>
      </c>
      <c r="E21" s="50">
        <f t="shared" si="1"/>
        <v>4.9766598380262606E-4</v>
      </c>
      <c r="F21">
        <f t="shared" si="6"/>
        <v>19</v>
      </c>
      <c r="G21" s="50">
        <f>IF(FT!A21&lt;&gt;"",FT!A21*10,"")</f>
        <v>1.9701900000000001</v>
      </c>
      <c r="H21" s="50">
        <f>IF(FT!B21&lt;&gt;"",FT!B21*100,"")</f>
        <v>74.599499999999992</v>
      </c>
      <c r="I21" s="50">
        <f t="shared" si="2"/>
        <v>1</v>
      </c>
      <c r="J21" t="str">
        <f>IF(FT!B21&lt;&gt;"",FT!E21,"")</f>
        <v>0 [7.682982]</v>
      </c>
      <c r="K21">
        <f>IF(FT!B21&lt;&gt;"",IF(FT!C21&lt;&gt;"",FT!C21,F21/$M$3*$M$4),"")</f>
        <v>7.6829799999999997</v>
      </c>
      <c r="P21">
        <f t="shared" si="10"/>
        <v>18</v>
      </c>
      <c r="Q21">
        <f t="shared" si="12"/>
        <v>0</v>
      </c>
      <c r="R21">
        <f t="shared" si="13"/>
        <v>0</v>
      </c>
      <c r="S21">
        <f t="array" ref="S21">MAX(IF(ft_nq=P21,row_n))</f>
        <v>0</v>
      </c>
      <c r="T21">
        <f t="shared" si="11"/>
        <v>1</v>
      </c>
      <c r="V21" s="288">
        <f>Measurement!DK17*100</f>
        <v>56.581681569556544</v>
      </c>
      <c r="W21" s="287">
        <f>'R3'!I3</f>
        <v>7.3691564379773826</v>
      </c>
      <c r="X21" t="str">
        <f>"(" &amp; ROUND(V21,1) &amp; " , " &amp; ROUND(W21,1) &amp; ")" &amp; CHAR(10) &amp; AR26</f>
        <v>(56.6 , 7.4)
나른한</v>
      </c>
      <c r="Y21" s="75">
        <f t="shared" si="3"/>
        <v>37.86411462853836</v>
      </c>
      <c r="AA21">
        <f>100-M!B19*100</f>
        <v>21.623400000000004</v>
      </c>
      <c r="AC21">
        <f>'R3'!I3</f>
        <v>7.3691564379773826</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0.38300705882352937</v>
      </c>
      <c r="C22" s="50">
        <f>IF(FH!$C$2&gt;0,FH!A22/FH!$C$2,0)</f>
        <v>0</v>
      </c>
      <c r="D22" s="50">
        <f>IF(hist!$D$2&gt;0,hist!B22/hist!$D$2,0)</f>
        <v>0</v>
      </c>
      <c r="E22" s="50">
        <f t="shared" si="1"/>
        <v>5.9328500124227292E-4</v>
      </c>
      <c r="F22">
        <f t="shared" si="6"/>
        <v>20</v>
      </c>
      <c r="G22" s="50">
        <f>IF(FT!A22&lt;&gt;"",FT!A22*10,"")</f>
        <v>1.9918100000000001</v>
      </c>
      <c r="H22" s="50">
        <f>IF(FT!B22&lt;&gt;"",FT!B22*100,"")</f>
        <v>74.936899999999994</v>
      </c>
      <c r="I22" s="50">
        <f t="shared" si="2"/>
        <v>1</v>
      </c>
      <c r="J22" t="str">
        <f>IF(FT!B22&lt;&gt;"",FT!E22,"")</f>
        <v>0 [8.092042]</v>
      </c>
      <c r="K22">
        <f>IF(FT!B22&lt;&gt;"",IF(FT!C22&lt;&gt;"",FT!C22,F22/$M$3*$M$4),"")</f>
        <v>8.0920400000000008</v>
      </c>
      <c r="P22">
        <f t="shared" si="10"/>
        <v>19</v>
      </c>
      <c r="Q22">
        <f t="shared" si="12"/>
        <v>0</v>
      </c>
      <c r="R22">
        <f t="shared" si="13"/>
        <v>0</v>
      </c>
      <c r="S22">
        <f t="array" ref="S22">MAX(IF(ft_nq=P22,row_n))</f>
        <v>0</v>
      </c>
      <c r="T22">
        <f t="shared" si="11"/>
        <v>1</v>
      </c>
      <c r="V22" s="300">
        <f>X23</f>
        <v>90</v>
      </c>
      <c r="W22" s="300">
        <f>X23</f>
        <v>90</v>
      </c>
      <c r="X22" t="s">
        <v>1188</v>
      </c>
      <c r="Y22" s="75">
        <f t="shared" si="3"/>
        <v>37.622514195631105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0.40215741176470582</v>
      </c>
      <c r="C23" s="50">
        <f>IF(FH!$C$2&gt;0,FH!A23/FH!$C$2,0)</f>
        <v>6.9520801106106853E-2</v>
      </c>
      <c r="D23" s="50">
        <f>IF(hist!$D$2&gt;0,hist!B23/hist!$D$2,0)</f>
        <v>0.26906966672498417</v>
      </c>
      <c r="E23" s="50">
        <f t="shared" si="1"/>
        <v>7.0581383371467077E-4</v>
      </c>
      <c r="F23">
        <f t="shared" si="6"/>
        <v>21</v>
      </c>
      <c r="G23" s="50">
        <f>IF(FT!A23&lt;&gt;"",FT!A23*10,"")</f>
        <v>2.0048499999999998</v>
      </c>
      <c r="H23" s="50">
        <f>IF(FT!B23&lt;&gt;"",FT!B23*100,"")</f>
        <v>74.641900000000007</v>
      </c>
      <c r="I23" s="50">
        <f t="shared" si="2"/>
        <v>1</v>
      </c>
      <c r="J23" t="str">
        <f>IF(FT!B23&lt;&gt;"",FT!E23,"")</f>
        <v>0 [8.505053]</v>
      </c>
      <c r="K23">
        <f>IF(FT!B23&lt;&gt;"",IF(FT!C23&lt;&gt;"",FT!C23,F23/$M$3*$M$4),"")</f>
        <v>8.5050500000000007</v>
      </c>
      <c r="P23">
        <f t="shared" si="10"/>
        <v>20</v>
      </c>
      <c r="Q23">
        <f t="shared" si="12"/>
        <v>0</v>
      </c>
      <c r="R23">
        <f t="shared" si="13"/>
        <v>0</v>
      </c>
      <c r="S23">
        <f t="array" ref="S23">MAX(IF(ft_nq=P23,row_n))</f>
        <v>0</v>
      </c>
      <c r="T23">
        <f t="shared" si="11"/>
        <v>1</v>
      </c>
      <c r="V23" s="300">
        <f>100-X23</f>
        <v>10</v>
      </c>
      <c r="W23" s="300">
        <f>X23</f>
        <v>90</v>
      </c>
      <c r="X23">
        <v>90</v>
      </c>
      <c r="Y23" s="75">
        <f t="shared" si="3"/>
        <v>37.230665635833113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0.42130776470588233</v>
      </c>
      <c r="C24" s="50">
        <f>IF(FH!$C$2&gt;0,FH!A24/FH!$C$2,0)</f>
        <v>0</v>
      </c>
      <c r="D24" s="50">
        <f>IF(hist!$D$2&gt;0,hist!B24/hist!$D$2,0)</f>
        <v>0</v>
      </c>
      <c r="E24" s="50">
        <f t="shared" si="1"/>
        <v>8.3795046845069844E-4</v>
      </c>
      <c r="F24">
        <f t="shared" si="6"/>
        <v>22</v>
      </c>
      <c r="G24" s="50">
        <f>IF(FT!A24&lt;&gt;"",FT!A24*10,"")</f>
        <v>2.0174099999999999</v>
      </c>
      <c r="H24" s="50">
        <f>IF(FT!B24&lt;&gt;"",FT!B24*100,"")</f>
        <v>74.39139999999999</v>
      </c>
      <c r="I24" s="50">
        <f t="shared" si="2"/>
        <v>1</v>
      </c>
      <c r="J24" t="str">
        <f>IF(FT!B24&lt;&gt;"",FT!E24,"")</f>
        <v>0 [8.903035]</v>
      </c>
      <c r="K24">
        <f>IF(FT!B24&lt;&gt;"",IF(FT!C24&lt;&gt;"",FT!C24,F24/$M$3*$M$4),"")</f>
        <v>8.9030400000000007</v>
      </c>
      <c r="P24">
        <f t="shared" si="10"/>
        <v>21</v>
      </c>
      <c r="Q24">
        <f t="shared" si="12"/>
        <v>0</v>
      </c>
      <c r="R24">
        <f t="shared" si="13"/>
        <v>0</v>
      </c>
      <c r="S24">
        <f t="array" ref="S24">MAX(IF(ft_nq=P24,row_n))</f>
        <v>0</v>
      </c>
      <c r="T24">
        <f t="shared" si="11"/>
        <v>1</v>
      </c>
      <c r="V24" s="300">
        <f>100-X23</f>
        <v>10</v>
      </c>
      <c r="W24" s="300">
        <f>100-X23</f>
        <v>10</v>
      </c>
      <c r="Y24" s="75">
        <f t="shared" si="3"/>
        <v>36.874705686994709</v>
      </c>
      <c r="AQ24">
        <v>1</v>
      </c>
      <c r="AR24" s="443" t="str">
        <f t="shared" si="15"/>
        <v/>
      </c>
      <c r="AS24" s="444" t="str">
        <f t="shared" si="14"/>
        <v/>
      </c>
      <c r="AT24" s="444" t="str">
        <f t="shared" si="14"/>
        <v/>
      </c>
      <c r="AU24" s="444" t="str">
        <f t="shared" si="14"/>
        <v/>
      </c>
      <c r="AV24" s="445" t="str">
        <f t="shared" si="14"/>
        <v/>
      </c>
      <c r="AW24" s="444" t="str">
        <f t="shared" si="14"/>
        <v>나른한</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0.44045811764705878</v>
      </c>
      <c r="C25" s="50">
        <f>IF(FH!$C$2&gt;0,FH!A25/FH!$C$2,0)</f>
        <v>0</v>
      </c>
      <c r="D25" s="50">
        <f>IF(hist!$D$2&gt;0,hist!B25/hist!$D$2,0)</f>
        <v>0</v>
      </c>
      <c r="E25" s="50">
        <f t="shared" si="1"/>
        <v>9.9276833133476127E-4</v>
      </c>
      <c r="F25">
        <f t="shared" si="6"/>
        <v>23</v>
      </c>
      <c r="G25" s="50">
        <f>IF(FT!A25&lt;&gt;"",FT!A25*10,"")</f>
        <v>2.0293700000000001</v>
      </c>
      <c r="H25" s="50">
        <f>IF(FT!B25&lt;&gt;"",FT!B25*100,"")</f>
        <v>74.228899999999996</v>
      </c>
      <c r="I25" s="50">
        <f t="shared" si="2"/>
        <v>1</v>
      </c>
      <c r="J25" t="str">
        <f>IF(FT!B25&lt;&gt;"",FT!E25,"")</f>
        <v>0 [9.313613]</v>
      </c>
      <c r="K25">
        <f>IF(FT!B25&lt;&gt;"",IF(FT!C25&lt;&gt;"",FT!C25,F25/$M$3*$M$4),"")</f>
        <v>9.3136100000000006</v>
      </c>
      <c r="P25">
        <f t="shared" si="10"/>
        <v>22</v>
      </c>
      <c r="Q25">
        <f t="shared" si="12"/>
        <v>0</v>
      </c>
      <c r="R25">
        <f t="shared" si="13"/>
        <v>0</v>
      </c>
      <c r="S25">
        <f t="array" ref="S25">MAX(IF(ft_nq=P25,row_n))</f>
        <v>0</v>
      </c>
      <c r="T25">
        <f t="shared" si="11"/>
        <v>1</v>
      </c>
      <c r="V25" s="300">
        <f>X23</f>
        <v>90</v>
      </c>
      <c r="W25" s="300">
        <f>100-X23</f>
        <v>10</v>
      </c>
      <c r="Y25" s="75">
        <f t="shared" si="3"/>
        <v>36.577312170772203</v>
      </c>
    </row>
    <row r="26" spans="1:120">
      <c r="A26" s="50">
        <f t="shared" si="5"/>
        <v>24</v>
      </c>
      <c r="B26" s="50">
        <f t="shared" si="0"/>
        <v>0.45960847058823523</v>
      </c>
      <c r="C26" s="50">
        <f>IF(FH!$C$2&gt;0,FH!A26/FH!$C$2,0)</f>
        <v>0.12673924352147189</v>
      </c>
      <c r="D26" s="50">
        <f>IF(hist!$D$2&gt;0,hist!B26/hist!$D$2,0)</f>
        <v>0.22536868819033279</v>
      </c>
      <c r="E26" s="50">
        <f t="shared" si="1"/>
        <v>1.173758815010095E-3</v>
      </c>
      <c r="F26">
        <f t="shared" si="6"/>
        <v>24</v>
      </c>
      <c r="G26" s="50">
        <f>IF(FT!A26&lt;&gt;"",FT!A26*10,"")</f>
        <v>2.04399</v>
      </c>
      <c r="H26" s="50">
        <f>IF(FT!B26&lt;&gt;"",FT!B26*100,"")</f>
        <v>74.049800000000005</v>
      </c>
      <c r="I26" s="50">
        <f t="shared" si="2"/>
        <v>1</v>
      </c>
      <c r="J26" t="str">
        <f>IF(FT!B26&lt;&gt;"",FT!E26,"")</f>
        <v>0 [9.713908]</v>
      </c>
      <c r="K26">
        <f>IF(FT!B26&lt;&gt;"",IF(FT!C26&lt;&gt;"",FT!C26,F26/$M$3*$M$4),"")</f>
        <v>9.7139100000000003</v>
      </c>
      <c r="P26">
        <f t="shared" si="10"/>
        <v>23</v>
      </c>
      <c r="Q26">
        <f t="shared" si="12"/>
        <v>0</v>
      </c>
      <c r="R26">
        <f t="shared" si="13"/>
        <v>0</v>
      </c>
      <c r="S26">
        <f t="array" ref="S26">MAX(IF(ft_nq=P26,row_n))</f>
        <v>0</v>
      </c>
      <c r="T26">
        <f t="shared" si="11"/>
        <v>1</v>
      </c>
      <c r="V26" s="300">
        <f>X23</f>
        <v>90</v>
      </c>
      <c r="W26" s="300">
        <f>X23</f>
        <v>90</v>
      </c>
      <c r="Y26" s="75">
        <f t="shared" si="3"/>
        <v>36.228063738080913</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나른한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나른한</v>
      </c>
    </row>
    <row r="27" spans="1:120">
      <c r="A27" s="50">
        <f t="shared" si="5"/>
        <v>25</v>
      </c>
      <c r="B27" s="50">
        <f t="shared" si="0"/>
        <v>0.47875882352941174</v>
      </c>
      <c r="C27" s="50">
        <f>IF(FH!$C$2&gt;0,FH!A27/FH!$C$2,0)</f>
        <v>0</v>
      </c>
      <c r="D27" s="50">
        <f>IF(hist!$D$2&gt;0,hist!B27/hist!$D$2,0)</f>
        <v>0</v>
      </c>
      <c r="E27" s="50">
        <f t="shared" si="1"/>
        <v>1.384877003567264E-3</v>
      </c>
      <c r="F27">
        <f t="shared" si="6"/>
        <v>25</v>
      </c>
      <c r="G27" s="50">
        <f>IF(FT!A27&lt;&gt;"",FT!A27*10,"")</f>
        <v>2.0567600000000001</v>
      </c>
      <c r="H27" s="50">
        <f>IF(FT!B27&lt;&gt;"",FT!B27*100,"")</f>
        <v>74.031300000000002</v>
      </c>
      <c r="I27" s="50">
        <f t="shared" si="2"/>
        <v>1</v>
      </c>
      <c r="J27" t="str">
        <f>IF(FT!B27&lt;&gt;"",FT!E27,"")</f>
        <v>0 [10.123112]</v>
      </c>
      <c r="K27">
        <f>IF(FT!B27&lt;&gt;"",IF(FT!C27&lt;&gt;"",FT!C27,F27/$M$3*$M$4),"")</f>
        <v>10.123100000000001</v>
      </c>
      <c r="P27">
        <f t="shared" si="10"/>
        <v>24</v>
      </c>
      <c r="Q27">
        <f t="shared" si="12"/>
        <v>0</v>
      </c>
      <c r="R27">
        <f t="shared" si="13"/>
        <v>0</v>
      </c>
      <c r="S27">
        <f t="array" ref="S27">MAX(IF(ft_nq=P27,row_n))</f>
        <v>0</v>
      </c>
      <c r="T27">
        <f t="shared" si="11"/>
        <v>1</v>
      </c>
      <c r="V27" s="288">
        <v>60</v>
      </c>
      <c r="W27" s="288">
        <v>60</v>
      </c>
      <c r="X27" t="s">
        <v>1189</v>
      </c>
      <c r="Y27" s="75">
        <f t="shared" si="3"/>
        <v>35.994136408720507</v>
      </c>
      <c r="AS27" t="s">
        <v>2144</v>
      </c>
    </row>
    <row r="28" spans="1:120">
      <c r="A28" s="50">
        <f t="shared" si="5"/>
        <v>26</v>
      </c>
      <c r="B28" s="50">
        <f t="shared" si="0"/>
        <v>0.49790917647058819</v>
      </c>
      <c r="C28" s="50">
        <f>IF(FH!$C$2&gt;0,FH!A28/FH!$C$2,0)</f>
        <v>0.23688106613369109</v>
      </c>
      <c r="D28" s="50">
        <f>IF(hist!$D$2&gt;0,hist!B28/hist!$D$2,0)</f>
        <v>0.18479694209605943</v>
      </c>
      <c r="E28" s="50">
        <f t="shared" si="1"/>
        <v>1.6305905665619661E-3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0.5170595294117647</v>
      </c>
      <c r="C29" s="50">
        <f>IF(FH!$C$2&gt;0,FH!A29/FH!$C$2,0)</f>
        <v>0</v>
      </c>
      <c r="D29" s="50">
        <f>IF(hist!$D$2&gt;0,hist!B29/hist!$D$2,0)</f>
        <v>0</v>
      </c>
      <c r="E29" s="50">
        <f t="shared" si="1"/>
        <v>1.9159317402483616E-3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0.53620988235294109</v>
      </c>
      <c r="C30" s="50">
        <f>IF(FH!$C$2&gt;0,FH!A30/FH!$C$2,0)</f>
        <v>0</v>
      </c>
      <c r="D30" s="50">
        <f>IF(hist!$D$2&gt;0,hist!B30/hist!$D$2,0)</f>
        <v>0</v>
      </c>
      <c r="E30" s="50">
        <f t="shared" si="1"/>
        <v>2.2465522505429204E-3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0.5553602352941176</v>
      </c>
      <c r="C31" s="50">
        <f>IF(FH!$C$2&gt;0,FH!A31/FH!$C$2,0)</f>
        <v>0.35838615176114663</v>
      </c>
      <c r="D31" s="50">
        <f>IF(hist!$D$2&gt;0,hist!B31/hist!$D$2,0)</f>
        <v>0.15981500842144458</v>
      </c>
      <c r="E31" s="50">
        <f t="shared" si="1"/>
        <v>2.6287809600922616E-3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불편한 정서 상태이고, 심리정보 변화가 증가하고 있어 정서상태가 좋아질 수 있다. 에너지 대사량이 적으며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0.57451058823529411</v>
      </c>
      <c r="C32" s="50">
        <f>IF(FH!$C$2&gt;0,FH!A32/FH!$C$2,0)</f>
        <v>0</v>
      </c>
      <c r="D32" s="50">
        <f>IF(hist!$D$2&gt;0,hist!B32/hist!$D$2,0)</f>
        <v>0</v>
      </c>
      <c r="E32" s="50">
        <f t="shared" si="1"/>
        <v>3.0696839407975628E-3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0.5936609411764705</v>
      </c>
      <c r="C33" s="50">
        <f>IF(FH!$C$2&gt;0,FH!A33/FH!$C$2,0)</f>
        <v>0.45546482498049257</v>
      </c>
      <c r="D33" s="50">
        <f>IF(hist!$D$2&gt;0,hist!B33/hist!$D$2,0)</f>
        <v>0.14635892160912053</v>
      </c>
      <c r="E33" s="50">
        <f t="shared" si="1"/>
        <v>3.5771265833185397E-3</v>
      </c>
      <c r="F33">
        <f t="shared" si="6"/>
        <v>31</v>
      </c>
      <c r="G33" s="50" t="str">
        <f>IF(FT!A33&lt;&gt;"",FT!A33*10,"")</f>
        <v/>
      </c>
      <c r="H33" s="50" t="str">
        <f>IF(FT!B33&lt;&gt;"",FT!B33*100,"")</f>
        <v/>
      </c>
      <c r="I33" s="50" t="str">
        <f t="shared" si="2"/>
        <v/>
      </c>
      <c r="J33" t="str">
        <f>IF(FT!B33&lt;&gt;"",FT!E33,"")</f>
        <v/>
      </c>
      <c r="K33" t="str">
        <f>IF(FT!B33&lt;&gt;"",IF(FT!C33&lt;&gt;"",FT!C33,F33/$M$3*$M$4),"")</f>
        <v/>
      </c>
      <c r="W33" s="23">
        <f>FH_info!G2</f>
        <v>0.27164700000000003</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심리적인 우울감이 있고 불편하고 불안정한 상태이지만, 심리적인 정보변화가 증가하고 있어 정서상태가 좋아질 수 있다. 에너지 대사량이 적지만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0.61281129411764701</v>
      </c>
      <c r="C34" s="50">
        <f>IF(FH!$C$2&gt;0,FH!A34/FH!$C$2,0)</f>
        <v>0</v>
      </c>
      <c r="D34" s="50">
        <f>IF(hist!$D$2&gt;0,hist!B34/hist!$D$2,0)</f>
        <v>0</v>
      </c>
      <c r="E34" s="50">
        <f t="shared" si="1"/>
        <v>4.1598372567217103E-3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72.835300000000004</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불편하며 불안정한 정서상태이다. 에너지 대사량이 적지만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0.63196164705882352</v>
      </c>
      <c r="C35" s="50">
        <f>IF(FH!$C$2&gt;0,FH!A35/FH!$C$2,0)</f>
        <v>0</v>
      </c>
      <c r="D35" s="50">
        <f>IF(hist!$D$2&gt;0,hist!B35/hist!$D$2,0)</f>
        <v>0</v>
      </c>
      <c r="E35" s="50">
        <f t="shared" si="1"/>
        <v>4.8274719250690941E-3</v>
      </c>
      <c r="F35">
        <f t="shared" si="6"/>
        <v>33</v>
      </c>
      <c r="G35" s="50" t="str">
        <f>IF(FT!A35&lt;&gt;"",FT!A35*10,"")</f>
        <v/>
      </c>
      <c r="H35" s="50" t="str">
        <f>IF(FT!B35&lt;&gt;"",FT!B35*100,"")</f>
        <v/>
      </c>
      <c r="I35" s="50" t="str">
        <f t="shared" si="2"/>
        <v/>
      </c>
      <c r="J35" t="str">
        <f>IF(FT!B35&lt;&gt;"",FT!E35,"")</f>
        <v/>
      </c>
      <c r="K35" t="str">
        <f>IF(FT!B35&lt;&gt;"",IF(FT!C35&lt;&gt;"",FT!C35,F35/$M$3*$M$4),"")</f>
        <v/>
      </c>
      <c r="V35" s="52">
        <f>IF(V36&gt;3,100,V36/3*100)</f>
        <v>28.903666666666666</v>
      </c>
      <c r="W35" s="23">
        <f>IF(FH_info!G2*1&lt;&gt;0,(1-NORMSDIST((FH_info!G2*1-0.5308)/0.1538))*100,0)</f>
        <v>95.40057142495057</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 심리적 정보가 감소하여 악화될 가능성이 있다. 에너지 대사량이 적지만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0.65111199999999991</v>
      </c>
      <c r="C36" s="50">
        <f>IF(FH!$C$2&gt;0,FH!A36/FH!$C$2,0)</f>
        <v>0.44839765089186712</v>
      </c>
      <c r="D36" s="50">
        <f>IF(hist!$D$2&gt;0,hist!B36/hist!$D$2,0)</f>
        <v>0.1261200103721859</v>
      </c>
      <c r="E36" s="50">
        <f t="shared" si="1"/>
        <v>5.5906790141509516E-3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0.86711000000000005</v>
      </c>
      <c r="W36" s="495">
        <f>IF(W34&gt;=60,30/40*(W34-60)+70,IF(W34&gt;=35,35/25*(W34-35)+35,IF(W34&gt;=0,W34,0)))</f>
        <v>79.626474999999999</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 xml:space="preserve">심리적으로 불편함이 큰 정서상태이다. 기분이 가라앉아 지쳐서 악화될 가능성이 있다. 에너지 대사량이 적고 변화가 거의 없다. </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0.67026235294117642</v>
      </c>
      <c r="C37" s="50">
        <f>IF(FH!$C$2&gt;0,FH!A37/FH!$C$2,0)</f>
        <v>0</v>
      </c>
      <c r="D37" s="50">
        <f>IF(hist!$D$2&gt;0,hist!B37/hist!$D$2,0)</f>
        <v>0</v>
      </c>
      <c r="E37" s="50">
        <f t="shared" si="1"/>
        <v>6.4611637018270468E-3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상태이다.기분이 가라앉아 지쳐서 악화될 가능성이 있다. 에너지 대사량이 적으며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0.68941270588235282</v>
      </c>
      <c r="C38" s="50">
        <f>IF(FH!$C$2&gt;0,FH!A38/FH!$C$2,0)</f>
        <v>0</v>
      </c>
      <c r="D38" s="50">
        <f>IF(hist!$D$2&gt;0,hist!B38/hist!$D$2,0)</f>
        <v>0</v>
      </c>
      <c r="E38" s="50">
        <f t="shared" si="1"/>
        <v>7.4517506809490897E-3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정서 상태이다. 에너지 대사량이 적으며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0.70856305882352943</v>
      </c>
      <c r="C39" s="50">
        <f>IF(FH!$C$2&gt;0,FH!A39/FH!$C$2,0)</f>
        <v>0.43103943928048294</v>
      </c>
      <c r="D39" s="50">
        <f>IF(hist!$D$2&gt;0,hist!B39/hist!$D$2,0)</f>
        <v>9.8028797522386343E-2</v>
      </c>
      <c r="E39" s="50">
        <f t="shared" si="1"/>
        <v>8.5764443163170792E-3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v</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대사량이 적으며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0.72771341176470583</v>
      </c>
      <c r="C40" s="50">
        <f>IF(FH!$C$2&gt;0,FH!A40/FH!$C$2,0)</f>
        <v>0</v>
      </c>
      <c r="D40" s="50">
        <f>IF(hist!$D$2&gt;0,hist!B40/hist!$D$2,0)</f>
        <v>0</v>
      </c>
      <c r="E40" s="50">
        <f t="shared" si="1"/>
        <v>9.8504849886441159E-3</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낮 음</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매우 기분이 저조하고 우울한 정서 상태이다.기분전환이 필요하다. 에너지 대사량이 적으며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0.74686376470588234</v>
      </c>
      <c r="C41" s="50">
        <f>IF(FH!$C$2&gt;0,FH!A41/FH!$C$2,0)</f>
        <v>0.45582417281550741</v>
      </c>
      <c r="D41" s="50">
        <f>IF(hist!$D$2&gt;0,hist!B41/hist!$D$2,0)</f>
        <v>7.585963635812068E-2</v>
      </c>
      <c r="E41" s="50">
        <f t="shared" si="1"/>
        <v>1.129040029148352E-2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0.76601411764705873</v>
      </c>
      <c r="C42" s="50">
        <f>IF(FH!$C$2&gt;0,FH!A42/FH!$C$2,0)</f>
        <v>0</v>
      </c>
      <c r="D42" s="50">
        <f>IF(hist!$D$2&gt;0,hist!B42/hist!$D$2,0)</f>
        <v>0</v>
      </c>
      <c r="E42" s="50">
        <f t="shared" si="1"/>
        <v>1.2914049624270193E-2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0.78516447058823524</v>
      </c>
      <c r="C43" s="50">
        <f>IF(FH!$C$2&gt;0,FH!A43/FH!$C$2,0)</f>
        <v>0</v>
      </c>
      <c r="D43" s="50">
        <f>IF(hist!$D$2&gt;0,hist!B43/hist!$D$2,0)</f>
        <v>0</v>
      </c>
      <c r="E43" s="50">
        <f t="shared" si="1"/>
        <v>1.4740660609133042E-2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매우 높음</v>
      </c>
      <c r="W43" s="287">
        <f>IF(M!B17="","",M!B17*1)</f>
        <v>44.481000000000002</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0.80431482352941164</v>
      </c>
      <c r="C44" s="50">
        <f>IF(FH!$C$2&gt;0,FH!A44/FH!$C$2,0)</f>
        <v>0.67216868129611629</v>
      </c>
      <c r="D44" s="50">
        <f>IF(hist!$D$2&gt;0,hist!B44/hist!$D$2,0)</f>
        <v>6.0841080107506787E-2</v>
      </c>
      <c r="E44" s="50">
        <f t="shared" si="1"/>
        <v>1.6790855654339836E-2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매우 높아 병리적으로 의심되는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0.82346517647058826</v>
      </c>
      <c r="C45" s="50">
        <f>IF(FH!$C$2&gt;0,FH!A45/FH!$C$2,0)</f>
        <v>0</v>
      </c>
      <c r="D45" s="50">
        <f>IF(hist!$D$2&gt;0,hist!B45/hist!$D$2,0)</f>
        <v>0</v>
      </c>
      <c r="E45" s="50">
        <f t="shared" si="1"/>
        <v>1.9086666896800004E-2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5</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0.84261552941176465</v>
      </c>
      <c r="C46" s="50">
        <f>IF(FH!$C$2&gt;0,FH!A46/FH!$C$2,0)</f>
        <v>0.79193075880573316</v>
      </c>
      <c r="D46" s="50">
        <f>IF(hist!$D$2&gt;0,hist!B46/hist!$D$2,0)</f>
        <v>4.6139024361265935E-2</v>
      </c>
      <c r="E46" s="50">
        <f t="shared" si="1"/>
        <v>2.1651537683848452E-2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0.86176588235294116</v>
      </c>
      <c r="C47" s="50">
        <f>IF(FH!$C$2&gt;0,FH!A47/FH!$C$2,0)</f>
        <v>0</v>
      </c>
      <c r="D47" s="50">
        <f>IF(hist!$D$2&gt;0,hist!B47/hist!$D$2,0)</f>
        <v>0</v>
      </c>
      <c r="E47" s="50">
        <f t="shared" si="1"/>
        <v>2.4510308704597819E-2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0.88091623529411756</v>
      </c>
      <c r="C48" s="50">
        <f>IF(FH!$C$2&gt;0,FH!A48/FH!$C$2,0)</f>
        <v>0</v>
      </c>
      <c r="D48" s="50">
        <f>IF(hist!$D$2&gt;0,hist!B48/hist!$D$2,0)</f>
        <v>0</v>
      </c>
      <c r="E48" s="50">
        <f t="shared" si="1"/>
        <v>2.7689186857580463E-2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0.90006658823529406</v>
      </c>
      <c r="C49" s="50">
        <f>IF(FH!$C$2&gt;0,FH!A49/FH!$C$2,0)</f>
        <v>1</v>
      </c>
      <c r="D49" s="50">
        <f>IF(hist!$D$2&gt;0,hist!B49/hist!$D$2,0)</f>
        <v>3.6057390017955451E-2</v>
      </c>
      <c r="E49" s="50">
        <f t="shared" si="1"/>
        <v>3.1215694948309905E-2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0.91921694117647046</v>
      </c>
      <c r="C50" s="50">
        <f>IF(FH!$C$2&gt;0,FH!A50/FH!$C$2,0)</f>
        <v>0</v>
      </c>
      <c r="D50" s="50">
        <f>IF(hist!$D$2&gt;0,hist!B50/hist!$D$2,0)</f>
        <v>0</v>
      </c>
      <c r="E50" s="50">
        <f t="shared" si="1"/>
        <v>3.5118600351753688E-2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0.93836729411764708</v>
      </c>
      <c r="C51" s="50">
        <f>IF(FH!$C$2&gt;0,FH!A51/FH!$C$2,0)</f>
        <v>0.95173102985667157</v>
      </c>
      <c r="D51" s="50">
        <f>IF(hist!$D$2&gt;0,hist!B51/hist!$D$2,0)</f>
        <v>2.5418415175348555E-2</v>
      </c>
      <c r="E51" s="50">
        <f t="shared" si="1"/>
        <v>3.9427820854296268E-2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0.95751764705882347</v>
      </c>
      <c r="C52" s="50">
        <f>IF(FH!$C$2&gt;0,FH!A52/FH!$C$2,0)</f>
        <v>0</v>
      </c>
      <c r="D52" s="50">
        <f>IF(hist!$D$2&gt;0,hist!B52/hist!$D$2,0)</f>
        <v>0</v>
      </c>
      <c r="E52" s="50">
        <f t="shared" si="1"/>
        <v>4.4174306011000933E-2</v>
      </c>
      <c r="F52">
        <f t="shared" si="6"/>
        <v>50</v>
      </c>
      <c r="G52" s="50" t="str">
        <f>IF(FT!A52&lt;&gt;"",FT!A52*10,"")</f>
        <v/>
      </c>
      <c r="H52" s="50" t="str">
        <f>IF(FT!B52&lt;&gt;"",FT!B52*100,"")</f>
        <v/>
      </c>
      <c r="I52" s="50" t="str">
        <f t="shared" si="2"/>
        <v/>
      </c>
      <c r="J52" t="str">
        <f>IF(FT!B52&lt;&gt;"",FT!E52,"")</f>
        <v/>
      </c>
      <c r="K52" t="str">
        <f>IF(FT!B52&lt;&gt;"",IF(FT!C52&lt;&gt;"",FT!C52,F52/$M$3*$M$4),"")</f>
        <v/>
      </c>
      <c r="V52" s="288">
        <f>Measurement!DK17*100</f>
        <v>56.581681569556544</v>
      </c>
      <c r="W52" s="303">
        <f ca="1">100-N9</f>
        <v>31.867470769230763</v>
      </c>
      <c r="X52" t="str">
        <f ca="1">"(" &amp; ROUND(V52,1) &amp; " , " &amp; ROUND(100-W52,1) &amp; ")"</f>
        <v>(56.6 , 68.1)</v>
      </c>
      <c r="Y52" s="75" t="str">
        <f t="shared" si="3"/>
        <v/>
      </c>
    </row>
    <row r="53" spans="1:25">
      <c r="A53" s="50">
        <f t="shared" si="5"/>
        <v>51</v>
      </c>
      <c r="B53" s="50">
        <f t="shared" si="0"/>
        <v>0.97666799999999998</v>
      </c>
      <c r="C53" s="50">
        <f>IF(FH!$C$2&gt;0,FH!A53/FH!$C$2,0)</f>
        <v>0</v>
      </c>
      <c r="D53" s="50">
        <f>IF(hist!$D$2&gt;0,hist!B53/hist!$D$2,0)</f>
        <v>0</v>
      </c>
      <c r="E53" s="50">
        <f t="shared" si="1"/>
        <v>4.9389892519804891E-2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0.99581835294117638</v>
      </c>
      <c r="C54" s="50">
        <f>IF(FH!$C$2&gt;0,FH!A54/FH!$C$2,0)</f>
        <v>0.93853098605045926</v>
      </c>
      <c r="D54" s="50">
        <f>IF(hist!$D$2&gt;0,hist!B54/hist!$D$2,0)</f>
        <v>1.8044345398228096E-2</v>
      </c>
      <c r="E54" s="50">
        <f t="shared" si="1"/>
        <v>5.510713232705533E-2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1.0149687058823529</v>
      </c>
      <c r="C55" s="50">
        <f>IF(FH!$C$2&gt;0,FH!A55/FH!$C$2,0)</f>
        <v>0</v>
      </c>
      <c r="D55" s="50">
        <f>IF(hist!$D$2&gt;0,hist!B55/hist!$D$2,0)</f>
        <v>0</v>
      </c>
      <c r="E55" s="50">
        <f t="shared" si="1"/>
        <v>6.1359092440129756E-2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1.0341190588235294</v>
      </c>
      <c r="C56" s="50">
        <f>IF(FH!$C$2&gt;0,FH!A56/FH!$C$2,0)</f>
        <v>0</v>
      </c>
      <c r="D56" s="50">
        <f>IF(hist!$D$2&gt;0,hist!B56/hist!$D$2,0)</f>
        <v>0</v>
      </c>
      <c r="E56" s="50">
        <f t="shared" si="1"/>
        <v>6.8179125733536211E-2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1.0532694117647059</v>
      </c>
      <c r="C57" s="50">
        <f>IF(FH!$C$2&gt;0,FH!A57/FH!$C$2,0)</f>
        <v>0.83335500828211206</v>
      </c>
      <c r="D57" s="50">
        <f>IF(hist!$D$2&gt;0,hist!B57/hist!$D$2,0)</f>
        <v>1.168148139958388E-2</v>
      </c>
      <c r="E57" s="50">
        <f t="shared" si="1"/>
        <v>7.5600612394626621E-2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1.0724197647058822</v>
      </c>
      <c r="C58" s="50">
        <f>IF(FH!$C$2&gt;0,FH!A58/FH!$C$2,0)</f>
        <v>0</v>
      </c>
      <c r="D58" s="50">
        <f>IF(hist!$D$2&gt;0,hist!B58/hist!$D$2,0)</f>
        <v>0</v>
      </c>
      <c r="E58" s="50">
        <f t="shared" si="1"/>
        <v>8.3656672062545623E-2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1.0915701176470587</v>
      </c>
      <c r="C59" s="50">
        <f>IF(FH!$C$2&gt;0,FH!A59/FH!$C$2,0)</f>
        <v>0.7452258073348027</v>
      </c>
      <c r="D59" s="50">
        <f>IF(hist!$D$2&gt;0,hist!B59/hist!$D$2,0)</f>
        <v>6.8115158071731727E-3</v>
      </c>
      <c r="E59" s="50">
        <f t="shared" si="1"/>
        <v>9.2379847166757456E-2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1.1107204705882352</v>
      </c>
      <c r="C60" s="50">
        <f>IF(FH!$C$2&gt;0,FH!A60/FH!$C$2,0)</f>
        <v>0</v>
      </c>
      <c r="D60" s="50">
        <f>IF(hist!$D$2&gt;0,hist!B60/hist!$D$2,0)</f>
        <v>0</v>
      </c>
      <c r="E60" s="50">
        <f t="shared" si="1"/>
        <v>0.10180175846564353</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1.1298708235294117</v>
      </c>
      <c r="C61" s="50">
        <f>IF(FH!$C$2&gt;0,FH!A61/FH!$C$2,0)</f>
        <v>0</v>
      </c>
      <c r="D61" s="50">
        <f>IF(hist!$D$2&gt;0,hist!B61/hist!$D$2,0)</f>
        <v>0</v>
      </c>
      <c r="E61" s="50">
        <f t="shared" si="1"/>
        <v>0.11195273431613657</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1.1490211764705882</v>
      </c>
      <c r="C62" s="50">
        <f>IF(FH!$C$2&gt;0,FH!A62/FH!$C$2,0)</f>
        <v>0.57155813221262441</v>
      </c>
      <c r="D62" s="50">
        <f>IF(hist!$D$2&gt;0,hist!B62/hist!$D$2,0)</f>
        <v>3.7683315735087325E-3</v>
      </c>
      <c r="E62" s="50">
        <f t="shared" si="1"/>
        <v>0.12286141576567912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1.1681715294117647</v>
      </c>
      <c r="C63" s="50">
        <f>IF(FH!$C$2&gt;0,FH!A63/FH!$C$2,0)</f>
        <v>0</v>
      </c>
      <c r="D63" s="50">
        <f>IF(hist!$D$2&gt;0,hist!B63/hist!$D$2,0)</f>
        <v>0</v>
      </c>
      <c r="E63" s="50">
        <f t="shared" si="1"/>
        <v>0.13455434014018003</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1.187321882352941</v>
      </c>
      <c r="C64" s="50">
        <f>IF(FH!$C$2&gt;0,FH!A64/FH!$C$2,0)</f>
        <v>0.41457446371613571</v>
      </c>
      <c r="D64" s="50">
        <f>IF(hist!$D$2&gt;0,hist!B64/hist!$D$2,0)</f>
        <v>2.209351528818607E-3</v>
      </c>
      <c r="E64" s="50">
        <f t="shared" si="1"/>
        <v>0.14705550639699966</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1.2064722352941175</v>
      </c>
      <c r="C65" s="50">
        <f>IF(FH!$C$2&gt;0,FH!A65/FH!$C$2,0)</f>
        <v>0</v>
      </c>
      <c r="D65" s="50">
        <f>IF(hist!$D$2&gt;0,hist!B65/hist!$D$2,0)</f>
        <v>0</v>
      </c>
      <c r="E65" s="50">
        <f t="shared" si="1"/>
        <v>0.16038592611003383</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1.225622588235294</v>
      </c>
      <c r="C66" s="50">
        <f>IF(FH!$C$2&gt;0,FH!A66/FH!$C$2,0)</f>
        <v>0</v>
      </c>
      <c r="D66" s="50">
        <f>IF(hist!$D$2&gt;0,hist!B66/hist!$D$2,0)</f>
        <v>0</v>
      </c>
      <c r="E66" s="50">
        <f t="shared" si="1"/>
        <v>0.17456316454330933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1.2447729411764703</v>
      </c>
      <c r="C67" s="50">
        <f>IF(FH!$C$2&gt;0,FH!A67/FH!$C$2,0)</f>
        <v>0.20391004668099494</v>
      </c>
      <c r="D67" s="50">
        <f>IF(hist!$D$2&gt;0,hist!B67/hist!$D$2,0)</f>
        <v>1.2111874088077479E-3</v>
      </c>
      <c r="E67" s="50">
        <f t="shared" ref="E67:E130" si="17">NORMDIST(B67,2,0.421,FALSE)</f>
        <v>0.18960087683786836</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1.263923294117647</v>
      </c>
      <c r="C68" s="50">
        <f>IF(FH!$C$2&gt;0,FH!A68/FH!$C$2,0)</f>
        <v>0</v>
      </c>
      <c r="D68" s="50">
        <f>IF(hist!$D$2&gt;0,hist!B68/hist!$D$2,0)</f>
        <v>0</v>
      </c>
      <c r="E68" s="50">
        <f t="shared" si="17"/>
        <v>0.20550834487108205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1.2830736470588235</v>
      </c>
      <c r="C69" s="50">
        <f>IF(FH!$C$2&gt;0,FH!A69/FH!$C$2,0)</f>
        <v>0.14602082164026889</v>
      </c>
      <c r="D69" s="50">
        <f>IF(hist!$D$2&gt;0,hist!B69/hist!$D$2,0)</f>
        <v>6.92976540979769E-4</v>
      </c>
      <c r="E69" s="50">
        <f t="shared" si="17"/>
        <v>0.22229002083442398</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1.3022239999999998</v>
      </c>
      <c r="C70" s="50">
        <f>IF(FH!$C$2&gt;0,FH!A70/FH!$C$2,0)</f>
        <v>0</v>
      </c>
      <c r="D70" s="50">
        <f>IF(hist!$D$2&gt;0,hist!B70/hist!$D$2,0)</f>
        <v>0</v>
      </c>
      <c r="E70" s="50">
        <f t="shared" si="17"/>
        <v>0.23994508400148046</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1.3213743529411763</v>
      </c>
      <c r="C71" s="50">
        <f>IF(FH!$C$2&gt;0,FH!A71/FH!$C$2,0)</f>
        <v>0</v>
      </c>
      <c r="D71" s="50">
        <f>IF(hist!$D$2&gt;0,hist!B71/hist!$D$2,0)</f>
        <v>0</v>
      </c>
      <c r="E71" s="50">
        <f t="shared" si="17"/>
        <v>0.25846701750898105</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1.3405247058823528</v>
      </c>
      <c r="C72" s="50">
        <f>IF(FH!$C$2&gt;0,FH!A72/FH!$C$2,0)</f>
        <v>0.11206553135566537</v>
      </c>
      <c r="D72" s="50">
        <f>IF(hist!$D$2&gt;0,hist!B72/hist!$D$2,0)</f>
        <v>3.6344302513274785E-4</v>
      </c>
      <c r="E72" s="50">
        <f t="shared" si="17"/>
        <v>0.27784321223679836</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1.3596750588235293</v>
      </c>
      <c r="C73" s="50">
        <f>IF(FH!$C$2&gt;0,FH!A73/FH!$C$2,0)</f>
        <v>0</v>
      </c>
      <c r="D73" s="50">
        <f>IF(hist!$D$2&gt;0,hist!B73/hist!$D$2,0)</f>
        <v>0</v>
      </c>
      <c r="E73" s="50">
        <f t="shared" si="17"/>
        <v>0.29805460503583353</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1.3788254117647056</v>
      </c>
      <c r="C74" s="50">
        <f>IF(FH!$C$2&gt;0,FH!A74/FH!$C$2,0)</f>
        <v>0</v>
      </c>
      <c r="D74" s="50">
        <f>IF(hist!$D$2&gt;0,hist!B74/hist!$D$2,0)</f>
        <v>0</v>
      </c>
      <c r="E74" s="50">
        <f t="shared" si="17"/>
        <v>0.31907535860425718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1.3979757647058821</v>
      </c>
      <c r="C75" s="50">
        <f>IF(FH!$C$2&gt;0,FH!A75/FH!$C$2,0)</f>
        <v>0.10182069569740858</v>
      </c>
      <c r="D75" s="50">
        <f>IF(hist!$D$2&gt;0,hist!B75/hist!$D$2,0)</f>
        <v>1.4607296028285336E-4</v>
      </c>
      <c r="E75" s="50">
        <f t="shared" si="17"/>
        <v>0.34087259024304423</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1.4171261176470589</v>
      </c>
      <c r="C76" s="50">
        <f>IF(FH!$C$2&gt;0,FH!A76/FH!$C$2,0)</f>
        <v>0</v>
      </c>
      <c r="D76" s="50">
        <f>IF(hist!$D$2&gt;0,hist!B76/hist!$D$2,0)</f>
        <v>0</v>
      </c>
      <c r="E76" s="50">
        <f t="shared" si="17"/>
        <v>0.36340615652322628</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1.4362764705882352</v>
      </c>
      <c r="C77" s="50">
        <f>IF(FH!$C$2&gt;0,FH!A77/FH!$C$2,0)</f>
        <v>4.8986639105258113E-2</v>
      </c>
      <c r="D77" s="50">
        <f>IF(hist!$D$2&gt;0,hist!B77/hist!$D$2,0)</f>
        <v>6.0863511733461124E-5</v>
      </c>
      <c r="E77" s="50">
        <f t="shared" si="17"/>
        <v>0.38662850056413611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1.4554268235294117</v>
      </c>
      <c r="C78" s="50">
        <f>IF(FH!$C$2&gt;0,FH!A78/FH!$C$2,0)</f>
        <v>0</v>
      </c>
      <c r="D78" s="50">
        <f>IF(hist!$D$2&gt;0,hist!B78/hist!$D$2,0)</f>
        <v>0</v>
      </c>
      <c r="E78" s="50">
        <f t="shared" si="17"/>
        <v>0.41048456815087486</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1.4745771764705879</v>
      </c>
      <c r="C79" s="50">
        <f>IF(FH!$C$2&gt;0,FH!A79/FH!$C$2,0)</f>
        <v>0</v>
      </c>
      <c r="D79" s="50">
        <f>IF(hist!$D$2&gt;0,hist!B79/hist!$D$2,0)</f>
        <v>0</v>
      </c>
      <c r="E79" s="50">
        <f t="shared" si="17"/>
        <v>0.43491179830978921</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1.4937275294117647</v>
      </c>
      <c r="C80" s="50">
        <f>IF(FH!$C$2&gt;0,FH!A80/FH!$C$2,0)</f>
        <v>3.1494647428438445E-2</v>
      </c>
      <c r="D80" s="50">
        <f>IF(hist!$D$2&gt;0,hist!B80/hist!$D$2,0)</f>
        <v>2.5214626873348897E-5</v>
      </c>
      <c r="E80" s="50">
        <f t="shared" si="17"/>
        <v>0.45984019321533393</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1.5128778823529412</v>
      </c>
      <c r="C81" s="50">
        <f>IF(FH!$C$2&gt;0,FH!A81/FH!$C$2,0)</f>
        <v>0</v>
      </c>
      <c r="D81" s="50">
        <f>IF(hist!$D$2&gt;0,hist!B81/hist!$D$2,0)</f>
        <v>0</v>
      </c>
      <c r="E81" s="50">
        <f t="shared" si="17"/>
        <v>0.48519247142570265</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1.5320282352941175</v>
      </c>
      <c r="C82" s="50">
        <f>IF(FH!$C$2&gt;0,FH!A82/FH!$C$2,0)</f>
        <v>5.8157880326903857E-3</v>
      </c>
      <c r="D82" s="50">
        <f>IF(hist!$D$2&gt;0,hist!B82/hist!$D$2,0)</f>
        <v>3.4780859955877756E-6</v>
      </c>
      <c r="E82" s="50">
        <f t="shared" si="17"/>
        <v>0.51088430744670277</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1.551178588235294</v>
      </c>
      <c r="C83" s="50">
        <f>IF(FH!$C$2&gt;0,FH!A83/FH!$C$2,0)</f>
        <v>0</v>
      </c>
      <c r="D83" s="50">
        <f>IF(hist!$D$2&gt;0,hist!B83/hist!$D$2,0)</f>
        <v>0</v>
      </c>
      <c r="E83" s="50">
        <f t="shared" si="17"/>
        <v>0.53682465951513436</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1.5703289411764705</v>
      </c>
      <c r="C84" s="50">
        <f>IF(FH!$C$2&gt;0,FH!A84/FH!$C$2,0)</f>
        <v>0</v>
      </c>
      <c r="D84" s="50">
        <f>IF(hist!$D$2&gt;0,hist!B84/hist!$D$2,0)</f>
        <v>0</v>
      </c>
      <c r="E84" s="50">
        <f t="shared" si="17"/>
        <v>0.56291618628922202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1.589479294117647</v>
      </c>
      <c r="C85" s="50">
        <f>IF(FH!$C$2&gt;0,FH!A85/FH!$C$2,0)</f>
        <v>2.3263117907158211E-3</v>
      </c>
      <c r="D85" s="50">
        <f>IF(hist!$D$2&gt;0,hist!B85/hist!$D$2,0)</f>
        <v>8.6935521060111349E-7</v>
      </c>
      <c r="E85" s="50">
        <f t="shared" si="17"/>
        <v>0.58905575185199877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1.6086296470588233</v>
      </c>
      <c r="C86" s="50">
        <f>IF(FH!$C$2&gt;0,FH!A86/FH!$C$2,0)</f>
        <v>0</v>
      </c>
      <c r="D86" s="50">
        <f>IF(hist!$D$2&gt;0,hist!B86/hist!$D$2,0)</f>
        <v>0</v>
      </c>
      <c r="E86" s="50">
        <f t="shared" si="17"/>
        <v>0.61513501709417284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1.6277799999999998</v>
      </c>
      <c r="C87" s="50">
        <f>IF(FH!$C$2&gt;0,FH!A87/FH!$C$2,0)</f>
        <v>0</v>
      </c>
      <c r="D87" s="50">
        <f>IF(hist!$D$2&gt;0,hist!B87/hist!$D$2,0)</f>
        <v>0</v>
      </c>
      <c r="E87" s="50">
        <f t="shared" si="17"/>
        <v>0.64104111416846066</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1.6469303529411765</v>
      </c>
      <c r="C88" s="50">
        <f>IF(FH!$C$2&gt;0,FH!A88/FH!$C$2,0)</f>
        <v>0</v>
      </c>
      <c r="D88" s="50">
        <f>IF(hist!$D$2&gt;0,hist!B88/hist!$D$2,0)</f>
        <v>0</v>
      </c>
      <c r="E88" s="50">
        <f t="shared" si="17"/>
        <v>0.66665739932200685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1.6660807058823528</v>
      </c>
      <c r="C89" s="50">
        <f>IF(FH!$C$2&gt;0,FH!A89/FH!$C$2,0)</f>
        <v>0</v>
      </c>
      <c r="D89" s="50">
        <f>IF(hist!$D$2&gt;0,hist!B89/hist!$D$2,0)</f>
        <v>0</v>
      </c>
      <c r="E89" s="50">
        <f t="shared" si="17"/>
        <v>0.69186427804316497</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1.6852310588235293</v>
      </c>
      <c r="C90" s="50">
        <f>IF(FH!$C$2&gt;0,FH!A90/FH!$C$2,0)</f>
        <v>0</v>
      </c>
      <c r="D90" s="50">
        <f>IF(hist!$D$2&gt;0,hist!B90/hist!$D$2,0)</f>
        <v>0</v>
      </c>
      <c r="E90" s="50">
        <f t="shared" si="17"/>
        <v>0.71654009513025518</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1.7043814117647056</v>
      </c>
      <c r="C91" s="50">
        <f>IF(FH!$C$2&gt;0,FH!A91/FH!$C$2,0)</f>
        <v>0</v>
      </c>
      <c r="D91" s="50">
        <f>IF(hist!$D$2&gt;0,hist!B91/hist!$D$2,0)</f>
        <v>0</v>
      </c>
      <c r="E91" s="50">
        <f t="shared" si="17"/>
        <v>0.74056208102991883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1.7235317647058823</v>
      </c>
      <c r="C92" s="50">
        <f>IF(FH!$C$2&gt;0,FH!A92/FH!$C$2,0)</f>
        <v>0</v>
      </c>
      <c r="D92" s="50">
        <f>IF(hist!$D$2&gt;0,hist!B92/hist!$D$2,0)</f>
        <v>0</v>
      </c>
      <c r="E92" s="50">
        <f t="shared" si="17"/>
        <v>0.76380734462809508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1.7426821176470586</v>
      </c>
      <c r="C93" s="50">
        <f>IF(FH!$C$2&gt;0,FH!A93/FH!$C$2,0)</f>
        <v>0</v>
      </c>
      <c r="D93" s="50">
        <f>IF(hist!$D$2&gt;0,hist!B93/hist!$D$2,0)</f>
        <v>0</v>
      </c>
      <c r="E93" s="50">
        <f t="shared" si="17"/>
        <v>0.78615390163308707</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1.7618324705882351</v>
      </c>
      <c r="C94" s="50">
        <f>IF(FH!$C$2&gt;0,FH!A94/FH!$C$2,0)</f>
        <v>0</v>
      </c>
      <c r="D94" s="50">
        <f>IF(hist!$D$2&gt;0,hist!B94/hist!$D$2,0)</f>
        <v>0</v>
      </c>
      <c r="E94" s="50">
        <f t="shared" si="17"/>
        <v>0.80748172679193464</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1.7809828235294116</v>
      </c>
      <c r="C95" s="50">
        <f>IF(FH!$C$2&gt;0,FH!A95/FH!$C$2,0)</f>
        <v>0</v>
      </c>
      <c r="D95" s="50">
        <f>IF(hist!$D$2&gt;0,hist!B95/hist!$D$2,0)</f>
        <v>0</v>
      </c>
      <c r="E95" s="50">
        <f t="shared" si="17"/>
        <v>0.82767381745025015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1.8001331764705881</v>
      </c>
      <c r="C96" s="50">
        <f>IF(FH!$C$2&gt;0,FH!A96/FH!$C$2,0)</f>
        <v>0</v>
      </c>
      <c r="D96" s="50">
        <f>IF(hist!$D$2&gt;0,hist!B96/hist!$D$2,0)</f>
        <v>0</v>
      </c>
      <c r="E96" s="50">
        <f t="shared" si="17"/>
        <v>0.84661725542109534</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1.8192835294117646</v>
      </c>
      <c r="C97" s="50">
        <f>IF(FH!$C$2&gt;0,FH!A97/FH!$C$2,0)</f>
        <v>0</v>
      </c>
      <c r="D97" s="50">
        <f>IF(hist!$D$2&gt;0,hist!B97/hist!$D$2,0)</f>
        <v>0</v>
      </c>
      <c r="E97" s="50">
        <f t="shared" si="17"/>
        <v>0.86420425378621013</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1.8384338823529409</v>
      </c>
      <c r="C98" s="50">
        <f>IF(FH!$C$2&gt;0,FH!A98/FH!$C$2,0)</f>
        <v>0</v>
      </c>
      <c r="D98" s="50">
        <f>IF(hist!$D$2&gt;0,hist!B98/hist!$D$2,0)</f>
        <v>0</v>
      </c>
      <c r="E98" s="50">
        <f t="shared" si="17"/>
        <v>0.88033317512513976</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1.8575842352941174</v>
      </c>
      <c r="C99" s="50">
        <f>IF(FH!$C$2&gt;0,FH!A99/FH!$C$2,0)</f>
        <v>0</v>
      </c>
      <c r="D99" s="50">
        <f>IF(hist!$D$2&gt;0,hist!B99/hist!$D$2,0)</f>
        <v>0</v>
      </c>
      <c r="E99" s="50">
        <f t="shared" si="17"/>
        <v>0.89490950776250511</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1.8767345882352942</v>
      </c>
      <c r="C100" s="50">
        <f>IF(FH!$C$2&gt;0,FH!A100/FH!$C$2,0)</f>
        <v>0</v>
      </c>
      <c r="D100" s="50">
        <f>IF(hist!$D$2&gt;0,hist!B100/hist!$D$2,0)</f>
        <v>0</v>
      </c>
      <c r="E100" s="50">
        <f t="shared" si="17"/>
        <v>0.90784678694436505</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1.8958849411764704</v>
      </c>
      <c r="C101" s="50">
        <f>IF(FH!$C$2&gt;0,FH!A101/FH!$C$2,0)</f>
        <v>0</v>
      </c>
      <c r="D101" s="50">
        <f>IF(hist!$D$2&gt;0,hist!B101/hist!$D$2,0)</f>
        <v>0</v>
      </c>
      <c r="E101" s="50">
        <f t="shared" si="17"/>
        <v>0.91906744840024257</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1.9150352941176469</v>
      </c>
      <c r="C102" s="50">
        <f>IF(FH!$C$2&gt;0,FH!A102/FH!$C$2,0)</f>
        <v>0</v>
      </c>
      <c r="D102" s="50">
        <f>IF(hist!$D$2&gt;0,hist!B102/hist!$D$2,0)</f>
        <v>0</v>
      </c>
      <c r="E102" s="50">
        <f t="shared" si="17"/>
        <v>0.92850360251213149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1.9341856470588232</v>
      </c>
      <c r="C103" s="50">
        <f>IF(FH!$C$2&gt;0,FH!A103/FH!$C$2,0)</f>
        <v>0</v>
      </c>
      <c r="D103" s="50">
        <f>IF(hist!$D$2&gt;0,hist!B103/hist!$D$2,0)</f>
        <v>0</v>
      </c>
      <c r="E103" s="50">
        <f t="shared" si="17"/>
        <v>0.93609771828517641</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1.953336</v>
      </c>
      <c r="C104" s="50">
        <f>IF(FH!$C$2&gt;0,FH!A104/FH!$C$2,0)</f>
        <v>0</v>
      </c>
      <c r="D104" s="50">
        <f>IF(hist!$D$2&gt;0,hist!B104/hist!$D$2,0)</f>
        <v>0</v>
      </c>
      <c r="E104" s="50">
        <f t="shared" si="17"/>
        <v>0.94180320748181068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1.9724863529411762</v>
      </c>
      <c r="C105" s="50">
        <f>IF(FH!$C$2&gt;0,FH!A105/FH!$C$2,0)</f>
        <v>0</v>
      </c>
      <c r="D105" s="50">
        <f>IF(hist!$D$2&gt;0,hist!B105/hist!$D$2,0)</f>
        <v>0</v>
      </c>
      <c r="E105" s="50">
        <f t="shared" si="17"/>
        <v>0.94558490062263145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1.9916367058823528</v>
      </c>
      <c r="C106" s="50">
        <f>IF(FH!$C$2&gt;0,FH!A106/FH!$C$2,0)</f>
        <v>0</v>
      </c>
      <c r="D106" s="50">
        <f>IF(hist!$D$2&gt;0,hist!B106/hist!$D$2,0)</f>
        <v>0</v>
      </c>
      <c r="E106" s="50">
        <f t="shared" si="17"/>
        <v>0.94741940805023706</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2.0107870588235293</v>
      </c>
      <c r="C107" s="50">
        <f>IF(FH!$C$2&gt;0,FH!A107/FH!$C$2,0)</f>
        <v>0</v>
      </c>
      <c r="D107" s="50">
        <f>IF(hist!$D$2&gt;0,hist!B107/hist!$D$2,0)</f>
        <v>0</v>
      </c>
      <c r="E107" s="50">
        <f t="shared" si="17"/>
        <v>0.94729536087008848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2.0299374117647058</v>
      </c>
      <c r="C108" s="50">
        <f>IF(FH!$C$2&gt;0,FH!A108/FH!$C$2,0)</f>
        <v>0</v>
      </c>
      <c r="D108" s="50">
        <f>IF(hist!$D$2&gt;0,hist!B108/hist!$D$2,0)</f>
        <v>0</v>
      </c>
      <c r="E108" s="50">
        <f t="shared" si="17"/>
        <v>0.94521352829603711</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2.0490877647058823</v>
      </c>
      <c r="C109" s="50">
        <f>IF(FH!$C$2&gt;0,FH!A109/FH!$C$2,0)</f>
        <v>0</v>
      </c>
      <c r="D109" s="50">
        <f>IF(hist!$D$2&gt;0,hist!B109/hist!$D$2,0)</f>
        <v>0</v>
      </c>
      <c r="E109" s="50">
        <f t="shared" si="17"/>
        <v>0.94118680970600377</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2.0682381176470588</v>
      </c>
      <c r="C110" s="50">
        <f>IF(FH!$C$2&gt;0,FH!A110/FH!$C$2,0)</f>
        <v>0</v>
      </c>
      <c r="D110" s="50">
        <f>IF(hist!$D$2&gt;0,hist!B110/hist!$D$2,0)</f>
        <v>0</v>
      </c>
      <c r="E110" s="50">
        <f t="shared" si="17"/>
        <v>0.93524010152260117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2.0873884705882348</v>
      </c>
      <c r="C111" s="50">
        <f>IF(FH!$C$2&gt;0,FH!A111/FH!$C$2,0)</f>
        <v>0</v>
      </c>
      <c r="D111" s="50">
        <f>IF(hist!$D$2&gt;0,hist!B111/hist!$D$2,0)</f>
        <v>0</v>
      </c>
      <c r="E111" s="50">
        <f t="shared" si="17"/>
        <v>0.92741004084065115</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2.1065388235294118</v>
      </c>
      <c r="C112" s="50">
        <f>IF(FH!$C$2&gt;0,FH!A112/FH!$C$2,0)</f>
        <v>0</v>
      </c>
      <c r="D112" s="50">
        <f>IF(hist!$D$2&gt;0,hist!B112/hist!$D$2,0)</f>
        <v>0</v>
      </c>
      <c r="E112" s="50">
        <f t="shared" si="17"/>
        <v>0.91774462949506075</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2.1256891764705883</v>
      </c>
      <c r="C113" s="50">
        <f>IF(FH!$C$2&gt;0,FH!A113/FH!$C$2,0)</f>
        <v>0</v>
      </c>
      <c r="D113" s="50">
        <f>IF(hist!$D$2&gt;0,hist!B113/hist!$D$2,0)</f>
        <v>0</v>
      </c>
      <c r="E113" s="50">
        <f t="shared" si="17"/>
        <v>0.90630274396567356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2.1448395294117644</v>
      </c>
      <c r="C114" s="50">
        <f>IF(FH!$C$2&gt;0,FH!A114/FH!$C$2,0)</f>
        <v>0</v>
      </c>
      <c r="D114" s="50">
        <f>IF(hist!$D$2&gt;0,hist!B114/hist!$D$2,0)</f>
        <v>0</v>
      </c>
      <c r="E114" s="50">
        <f t="shared" si="17"/>
        <v>0.89315353811931708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2.1639898823529409</v>
      </c>
      <c r="C115" s="50">
        <f>IF(FH!$C$2&gt;0,FH!A115/FH!$C$2,0)</f>
        <v>0</v>
      </c>
      <c r="D115" s="50">
        <f>IF(hist!$D$2&gt;0,hist!B115/hist!$D$2,0)</f>
        <v>0</v>
      </c>
      <c r="E115" s="50">
        <f t="shared" si="17"/>
        <v>0.87837574726442191</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2.1831402352941174</v>
      </c>
      <c r="C116" s="50">
        <f>IF(FH!$C$2&gt;0,FH!A116/FH!$C$2,0)</f>
        <v>0</v>
      </c>
      <c r="D116" s="50">
        <f>IF(hist!$D$2&gt;0,hist!B116/hist!$D$2,0)</f>
        <v>0</v>
      </c>
      <c r="E116" s="50">
        <f t="shared" si="17"/>
        <v>0.86205690331424079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2.2022905882352939</v>
      </c>
      <c r="C117" s="50">
        <f>IF(FH!$C$2&gt;0,FH!A117/FH!$C$2,0)</f>
        <v>0</v>
      </c>
      <c r="D117" s="50">
        <f>IF(hist!$D$2&gt;0,hist!B117/hist!$D$2,0)</f>
        <v>0</v>
      </c>
      <c r="E117" s="50">
        <f t="shared" si="17"/>
        <v>0.844292471998213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2.2214409411764704</v>
      </c>
      <c r="C118" s="50">
        <f>IF(FH!$C$2&gt;0,FH!A118/FH!$C$2,0)</f>
        <v>0</v>
      </c>
      <c r="D118" s="50">
        <f>IF(hist!$D$2&gt;0,hist!B118/hist!$D$2,0)</f>
        <v>0</v>
      </c>
      <c r="E118" s="50">
        <f t="shared" si="17"/>
        <v>0.82518492400874688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2.2405912941176469</v>
      </c>
      <c r="C119" s="50">
        <f>IF(FH!$C$2&gt;0,FH!A119/FH!$C$2,0)</f>
        <v>0</v>
      </c>
      <c r="D119" s="50">
        <f>IF(hist!$D$2&gt;0,hist!B119/hist!$D$2,0)</f>
        <v>0</v>
      </c>
      <c r="E119" s="50">
        <f t="shared" si="17"/>
        <v>0.80484275270818628</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2.2597416470588234</v>
      </c>
      <c r="C120" s="50">
        <f>IF(FH!$C$2&gt;0,FH!A120/FH!$C$2,0)</f>
        <v>0</v>
      </c>
      <c r="D120" s="50">
        <f>IF(hist!$D$2&gt;0,hist!B120/hist!$D$2,0)</f>
        <v>0</v>
      </c>
      <c r="E120" s="50">
        <f t="shared" si="17"/>
        <v>0.7833794515380974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2.2788919999999999</v>
      </c>
      <c r="C121" s="50">
        <f>IF(FH!$C$2&gt;0,FH!A121/FH!$C$2,0)</f>
        <v>0</v>
      </c>
      <c r="D121" s="50">
        <f>IF(hist!$D$2&gt;0,hist!B121/hist!$D$2,0)</f>
        <v>0</v>
      </c>
      <c r="E121" s="50">
        <f t="shared" si="17"/>
        <v>0.76091246456508388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2.2980423529411764</v>
      </c>
      <c r="C122" s="50">
        <f>IF(FH!$C$2&gt;0,FH!A122/FH!$C$2,0)</f>
        <v>0</v>
      </c>
      <c r="D122" s="50">
        <f>IF(hist!$D$2&gt;0,hist!B122/hist!$D$2,0)</f>
        <v>0</v>
      </c>
      <c r="E122" s="50">
        <f t="shared" si="17"/>
        <v>0.73756212366358331</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2.3171927058823525</v>
      </c>
      <c r="C123" s="50">
        <f>IF(FH!$C$2&gt;0,FH!A123/FH!$C$2,0)</f>
        <v>0</v>
      </c>
      <c r="D123" s="50">
        <f>IF(hist!$D$2&gt;0,hist!B123/hist!$D$2,0)</f>
        <v>0</v>
      </c>
      <c r="E123" s="50">
        <f t="shared" si="17"/>
        <v>0.71345058568065667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2.3363430588235294</v>
      </c>
      <c r="C124" s="50">
        <f>IF(FH!$C$2&gt;0,FH!A124/FH!$C$2,0)</f>
        <v>0</v>
      </c>
      <c r="D124" s="50">
        <f>IF(hist!$D$2&gt;0,hist!B124/hist!$D$2,0)</f>
        <v>0</v>
      </c>
      <c r="E124" s="50">
        <f t="shared" si="17"/>
        <v>0.68870078255916078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2.3554934117647055</v>
      </c>
      <c r="C125" s="50">
        <f>IF(FH!$C$2&gt;0,FH!A125/FH!$C$2,0)</f>
        <v>0</v>
      </c>
      <c r="D125" s="50">
        <f>IF(hist!$D$2&gt;0,hist!B125/hist!$D$2,0)</f>
        <v>0</v>
      </c>
      <c r="E125" s="50">
        <f t="shared" si="17"/>
        <v>0.66343539682655839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2.374643764705882</v>
      </c>
      <c r="C126" s="50">
        <f>IF(FH!$C$2&gt;0,FH!A126/FH!$C$2,0)</f>
        <v>0</v>
      </c>
      <c r="D126" s="50">
        <f>IF(hist!$D$2&gt;0,hist!B126/hist!$D$2,0)</f>
        <v>0</v>
      </c>
      <c r="E126" s="50">
        <f t="shared" si="17"/>
        <v>0.63777587410326142</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2.3937941176470585</v>
      </c>
      <c r="C127" s="50">
        <f>IF(FH!$C$2&gt;0,FH!A127/FH!$C$2,0)</f>
        <v>0</v>
      </c>
      <c r="D127" s="50">
        <f>IF(hist!$D$2&gt;0,hist!B127/hist!$D$2,0)</f>
        <v>0</v>
      </c>
      <c r="E127" s="50">
        <f t="shared" si="17"/>
        <v>0.61184148336652511</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2.412944470588235</v>
      </c>
      <c r="C128" s="50">
        <f>IF(FH!$C$2&gt;0,FH!A128/FH!$C$2,0)</f>
        <v>0</v>
      </c>
      <c r="D128" s="50">
        <f>IF(hist!$D$2&gt;0,hist!B128/hist!$D$2,0)</f>
        <v>0</v>
      </c>
      <c r="E128" s="50">
        <f t="shared" si="17"/>
        <v>0.58574843464563375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2.4320948235294115</v>
      </c>
      <c r="C129" s="50">
        <f>IF(FH!$C$2&gt;0,FH!A129/FH!$C$2,0)</f>
        <v>0</v>
      </c>
      <c r="D129" s="50">
        <f>IF(hist!$D$2&gt;0,hist!B129/hist!$D$2,0)</f>
        <v>0</v>
      </c>
      <c r="E129" s="50">
        <f t="shared" si="17"/>
        <v>0.55960906264600752</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2.451245176470588</v>
      </c>
      <c r="C130" s="50">
        <f>IF(FH!$C$2&gt;0,FH!A130/FH!$C$2,0)</f>
        <v>0</v>
      </c>
      <c r="D130" s="50">
        <f>IF(hist!$D$2&gt;0,hist!B130/hist!$D$2,0)</f>
        <v>0</v>
      </c>
      <c r="E130" s="50">
        <f t="shared" si="17"/>
        <v>0.53353108352969414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2.4703955294117645</v>
      </c>
      <c r="C131" s="50">
        <f>IF(FH!$C$2&gt;0,FH!A131/FH!$C$2,0)</f>
        <v>0</v>
      </c>
      <c r="D131" s="50">
        <f>IF(hist!$D$2&gt;0,hist!B131/hist!$D$2,0)</f>
        <v>0</v>
      </c>
      <c r="E131" s="50">
        <f t="shared" ref="E131:E194" si="23">NORMDIST(B131,2,0.421,FALSE)</f>
        <v>0.50761693074427849</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2.4895458823529406</v>
      </c>
      <c r="C132" s="50">
        <f>IF(FH!$C$2&gt;0,FH!A132/FH!$C$2,0)</f>
        <v>0</v>
      </c>
      <c r="D132" s="50">
        <f>IF(hist!$D$2&gt;0,hist!B132/hist!$D$2,0)</f>
        <v>0</v>
      </c>
      <c r="E132" s="50">
        <f t="shared" si="23"/>
        <v>0.48196317441853059</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2.5086962352941171</v>
      </c>
      <c r="C133" s="50">
        <f>IF(FH!$C$2&gt;0,FH!A133/FH!$C$2,0)</f>
        <v>0</v>
      </c>
      <c r="D133" s="50">
        <f>IF(hist!$D$2&gt;0,hist!B133/hist!$D$2,0)</f>
        <v>0</v>
      </c>
      <c r="E133" s="50">
        <f t="shared" si="23"/>
        <v>0.45666002745772266</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2.5278465882352941</v>
      </c>
      <c r="C134" s="50">
        <f>IF(FH!$C$2&gt;0,FH!A134/FH!$C$2,0)</f>
        <v>0</v>
      </c>
      <c r="D134" s="50">
        <f>IF(hist!$D$2&gt;0,hist!B134/hist!$D$2,0)</f>
        <v>0</v>
      </c>
      <c r="E134" s="50">
        <f t="shared" si="23"/>
        <v>0.43179094010013402</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2.5469969411764706</v>
      </c>
      <c r="C135" s="50">
        <f>IF(FH!$C$2&gt;0,FH!A135/FH!$C$2,0)</f>
        <v>0</v>
      </c>
      <c r="D135" s="50">
        <f>IF(hist!$D$2&gt;0,hist!B135/hist!$D$2,0)</f>
        <v>0</v>
      </c>
      <c r="E135" s="50">
        <f t="shared" si="23"/>
        <v>0.40743228336299886</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2.5661472941176471</v>
      </c>
      <c r="C136" s="50">
        <f>IF(FH!$C$2&gt;0,FH!A136/FH!$C$2,0)</f>
        <v>0</v>
      </c>
      <c r="D136" s="50">
        <f>IF(hist!$D$2&gt;0,hist!B136/hist!$D$2,0)</f>
        <v>0</v>
      </c>
      <c r="E136" s="50">
        <f t="shared" si="23"/>
        <v>0.3836531205332992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2.5852976470588231</v>
      </c>
      <c r="C137" s="50">
        <f>IF(FH!$C$2&gt;0,FH!A137/FH!$C$2,0)</f>
        <v>0</v>
      </c>
      <c r="D137" s="50">
        <f>IF(hist!$D$2&gt;0,hist!B137/hist!$D$2,0)</f>
        <v>0</v>
      </c>
      <c r="E137" s="50">
        <f t="shared" si="23"/>
        <v>0.36051506466627192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2.6044479999999997</v>
      </c>
      <c r="C138" s="50">
        <f>IF(FH!$C$2&gt;0,FH!A138/FH!$C$2,0)</f>
        <v>0</v>
      </c>
      <c r="D138" s="50">
        <f>IF(hist!$D$2&gt;0,hist!B138/hist!$D$2,0)</f>
        <v>0</v>
      </c>
      <c r="E138" s="50">
        <f t="shared" si="23"/>
        <v>0.33807221895948036</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2.6235983529411762</v>
      </c>
      <c r="C139" s="50">
        <f>IF(FH!$C$2&gt;0,FH!A139/FH!$C$2,0)</f>
        <v>0</v>
      </c>
      <c r="D139" s="50">
        <f>IF(hist!$D$2&gt;0,hist!B139/hist!$D$2,0)</f>
        <v>0</v>
      </c>
      <c r="E139" s="50">
        <f t="shared" si="23"/>
        <v>0.3163711958872541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2.6427487058823527</v>
      </c>
      <c r="C140" s="50">
        <f>IF(FH!$C$2&gt;0,FH!A140/FH!$C$2,0)</f>
        <v>0</v>
      </c>
      <c r="D140" s="50">
        <f>IF(hist!$D$2&gt;0,hist!B140/hist!$D$2,0)</f>
        <v>0</v>
      </c>
      <c r="E140" s="50">
        <f t="shared" si="23"/>
        <v>0.29545121012041448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2.6618990588235287</v>
      </c>
      <c r="C141" s="50">
        <f>IF(FH!$C$2&gt;0,FH!A141/FH!$C$2,0)</f>
        <v>0</v>
      </c>
      <c r="D141" s="50">
        <f>IF(hist!$D$2&gt;0,hist!B141/hist!$D$2,0)</f>
        <v>0</v>
      </c>
      <c r="E141" s="50">
        <f t="shared" si="23"/>
        <v>0.27534423952777232</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2.6810494117647057</v>
      </c>
      <c r="C142" s="50">
        <f>IF(FH!$C$2&gt;0,FH!A142/FH!$C$2,0)</f>
        <v>0</v>
      </c>
      <c r="D142" s="50">
        <f>IF(hist!$D$2&gt;0,hist!B142/hist!$D$2,0)</f>
        <v>0</v>
      </c>
      <c r="E142" s="50">
        <f t="shared" si="23"/>
        <v>0.25607524796387621</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2.7001997647058822</v>
      </c>
      <c r="C143" s="50">
        <f>IF(FH!$C$2&gt;0,FH!A143/FH!$C$2,0)</f>
        <v>0</v>
      </c>
      <c r="D143" s="50">
        <f>IF(hist!$D$2&gt;0,hist!B143/hist!$D$2,0)</f>
        <v>0</v>
      </c>
      <c r="E143" s="50">
        <f t="shared" si="23"/>
        <v>0.23766246309400704</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2.7193501176470587</v>
      </c>
      <c r="C144" s="50">
        <f>IF(FH!$C$2&gt;0,FH!A144/FH!$C$2,0)</f>
        <v>0</v>
      </c>
      <c r="D144" s="50">
        <f>IF(hist!$D$2&gt;0,hist!B144/hist!$D$2,0)</f>
        <v>0</v>
      </c>
      <c r="E144" s="50">
        <f t="shared" si="23"/>
        <v>0.22011770219150159</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2.7385004705882352</v>
      </c>
      <c r="C145" s="50">
        <f>IF(FH!$C$2&gt;0,FH!A145/FH!$C$2,0)</f>
        <v>0</v>
      </c>
      <c r="D145" s="50">
        <f>IF(hist!$D$2&gt;0,hist!B145/hist!$D$2,0)</f>
        <v>0</v>
      </c>
      <c r="E145" s="50">
        <f t="shared" si="23"/>
        <v>0.20344673866070162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2.7576508235294113</v>
      </c>
      <c r="C146" s="50">
        <f>IF(FH!$C$2&gt;0,FH!A146/FH!$C$2,0)</f>
        <v>0</v>
      </c>
      <c r="D146" s="50">
        <f>IF(hist!$D$2&gt;0,hist!B146/hist!$D$2,0)</f>
        <v>0</v>
      </c>
      <c r="E146" s="50">
        <f t="shared" si="23"/>
        <v>0.18764970198506092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2.7768011764705878</v>
      </c>
      <c r="C147" s="50">
        <f>IF(FH!$C$2&gt;0,FH!A147/FH!$C$2,0)</f>
        <v>0</v>
      </c>
      <c r="D147" s="50">
        <f>IF(hist!$D$2&gt;0,hist!B147/hist!$D$2,0)</f>
        <v>0</v>
      </c>
      <c r="E147" s="50">
        <f t="shared" si="23"/>
        <v>0.17272150386618818</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2.7959515294117643</v>
      </c>
      <c r="C148" s="50">
        <f>IF(FH!$C$2&gt;0,FH!A148/FH!$C$2,0)</f>
        <v>0</v>
      </c>
      <c r="D148" s="50">
        <f>IF(hist!$D$2&gt;0,hist!B148/hist!$D$2,0)</f>
        <v>0</v>
      </c>
      <c r="E148" s="50">
        <f t="shared" si="23"/>
        <v>0.15865228349589361</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2.8151018823529408</v>
      </c>
      <c r="C149" s="50">
        <f>IF(FH!$C$2&gt;0,FH!A149/FH!$C$2,0)</f>
        <v>0</v>
      </c>
      <c r="D149" s="50">
        <f>IF(hist!$D$2&gt;0,hist!B149/hist!$D$2,0)</f>
        <v>0</v>
      </c>
      <c r="E149" s="50">
        <f t="shared" si="23"/>
        <v>0.14542786517828493</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2.8342522352941177</v>
      </c>
      <c r="C150" s="50">
        <f>IF(FH!$C$2&gt;0,FH!A150/FH!$C$2,0)</f>
        <v>0</v>
      </c>
      <c r="D150" s="50">
        <f>IF(hist!$D$2&gt;0,hist!B150/hist!$D$2,0)</f>
        <v>0</v>
      </c>
      <c r="E150" s="50">
        <f t="shared" si="23"/>
        <v>0.13303022188017505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2.8534025882352942</v>
      </c>
      <c r="C151" s="50">
        <f>IF(FH!$C$2&gt;0,FH!A151/FH!$C$2,0)</f>
        <v>0</v>
      </c>
      <c r="D151" s="50">
        <f>IF(hist!$D$2&gt;0,hist!B151/hist!$D$2,0)</f>
        <v>0</v>
      </c>
      <c r="E151" s="50">
        <f t="shared" si="23"/>
        <v>0.12143793872229772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2.8725529411764703</v>
      </c>
      <c r="C152" s="50">
        <f>IF(FH!$C$2&gt;0,FH!A152/FH!$C$2,0)</f>
        <v>0</v>
      </c>
      <c r="D152" s="50">
        <f>IF(hist!$D$2&gt;0,hist!B152/hist!$D$2,0)</f>
        <v>0</v>
      </c>
      <c r="E152" s="50">
        <f t="shared" si="23"/>
        <v>0.1106266709174754</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2.8917032941176468</v>
      </c>
      <c r="C153" s="50">
        <f>IF(FH!$C$2&gt;0,FH!A153/FH!$C$2,0)</f>
        <v>0</v>
      </c>
      <c r="D153" s="50">
        <f>IF(hist!$D$2&gt;0,hist!B153/hist!$D$2,0)</f>
        <v>0</v>
      </c>
      <c r="E153" s="50">
        <f t="shared" si="23"/>
        <v>0.10056959120130188</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2.9108536470588233</v>
      </c>
      <c r="C154" s="50">
        <f>IF(FH!$C$2&gt;0,FH!A154/FH!$C$2,0)</f>
        <v>0</v>
      </c>
      <c r="D154" s="50">
        <f>IF(hist!$D$2&gt;0,hist!B154/hist!$D$2,0)</f>
        <v>0</v>
      </c>
      <c r="E154" s="50">
        <f t="shared" si="23"/>
        <v>9.1237822372616129E-2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2.9300039999999998</v>
      </c>
      <c r="C155" s="50">
        <f>IF(FH!$C$2&gt;0,FH!A155/FH!$C$2,0)</f>
        <v>0</v>
      </c>
      <c r="D155" s="50">
        <f>IF(hist!$D$2&gt;0,hist!B155/hist!$D$2,0)</f>
        <v>0</v>
      </c>
      <c r="E155" s="50">
        <f t="shared" si="23"/>
        <v>8.2600851152151641E-2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2.9491543529411759</v>
      </c>
      <c r="C156" s="50">
        <f>IF(FH!$C$2&gt;0,FH!A156/FH!$C$2,0)</f>
        <v>0</v>
      </c>
      <c r="D156" s="50">
        <f>IF(hist!$D$2&gt;0,hist!B156/hist!$D$2,0)</f>
        <v>0</v>
      </c>
      <c r="E156" s="50">
        <f t="shared" si="23"/>
        <v>7.4626920166058763E-2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2.9683047058823524</v>
      </c>
      <c r="C157" s="50">
        <f>IF(FH!$C$2&gt;0,FH!A157/FH!$C$2,0)</f>
        <v>0</v>
      </c>
      <c r="D157" s="50">
        <f>IF(hist!$D$2&gt;0,hist!B157/hist!$D$2,0)</f>
        <v>0</v>
      </c>
      <c r="E157" s="50">
        <f t="shared" si="23"/>
        <v>6.728339545525093E-2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2.9874550588235294</v>
      </c>
      <c r="C158" s="50">
        <f>IF(FH!$C$2&gt;0,FH!A158/FH!$C$2,0)</f>
        <v>0</v>
      </c>
      <c r="D158" s="50">
        <f>IF(hist!$D$2&gt;0,hist!B158/hist!$D$2,0)</f>
        <v>0</v>
      </c>
      <c r="E158" s="50">
        <f t="shared" si="23"/>
        <v>6.0537107491599802E-2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3.0066054117647059</v>
      </c>
      <c r="C159" s="50">
        <f>IF(FH!$C$2&gt;0,FH!A159/FH!$C$2,0)</f>
        <v>0</v>
      </c>
      <c r="D159" s="50">
        <f>IF(hist!$D$2&gt;0,hist!B159/hist!$D$2,0)</f>
        <v>0</v>
      </c>
      <c r="E159" s="50">
        <f t="shared" si="23"/>
        <v>5.4354664238949968E-2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3.0257557647058824</v>
      </c>
      <c r="C160" s="50">
        <f>IF(FH!$C$2&gt;0,FH!A160/FH!$C$2,0)</f>
        <v>0</v>
      </c>
      <c r="D160" s="50">
        <f>IF(hist!$D$2&gt;0,hist!B160/hist!$D$2,0)</f>
        <v>0</v>
      </c>
      <c r="E160" s="50">
        <f t="shared" si="23"/>
        <v>4.8702735323127501E-2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3.0449061176470584</v>
      </c>
      <c r="C161" s="50">
        <f>IF(FH!$C$2&gt;0,FH!A161/FH!$C$2,0)</f>
        <v>0</v>
      </c>
      <c r="D161" s="50">
        <f>IF(hist!$D$2&gt;0,hist!B161/hist!$D$2,0)</f>
        <v>0</v>
      </c>
      <c r="E161" s="50">
        <f t="shared" si="23"/>
        <v>4.3548306864282606E-2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3.0640564705882349</v>
      </c>
      <c r="C162" s="50">
        <f>IF(FH!$C$2&gt;0,FH!A162/FH!$C$2,0)</f>
        <v>0</v>
      </c>
      <c r="D162" s="50">
        <f>IF(hist!$D$2&gt;0,hist!B162/hist!$D$2,0)</f>
        <v>0</v>
      </c>
      <c r="E162" s="50">
        <f t="shared" si="23"/>
        <v>3.8858906972080026E-2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3.0832068235294114</v>
      </c>
      <c r="C163" s="50">
        <f>IF(FH!$C$2&gt;0,FH!A163/FH!$C$2,0)</f>
        <v>0</v>
      </c>
      <c r="D163" s="50">
        <f>IF(hist!$D$2&gt;0,hist!B163/hist!$D$2,0)</f>
        <v>0</v>
      </c>
      <c r="E163" s="50">
        <f t="shared" si="23"/>
        <v>3.4602802305814993E-2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3.102357176470588</v>
      </c>
      <c r="C164" s="50">
        <f>IF(FH!$C$2&gt;0,FH!A164/FH!$C$2,0)</f>
        <v>0</v>
      </c>
      <c r="D164" s="50">
        <f>IF(hist!$D$2&gt;0,hist!B164/hist!$D$2,0)</f>
        <v>0</v>
      </c>
      <c r="E164" s="50">
        <f t="shared" si="23"/>
        <v>3.0749166455101836E-2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3.121507529411764</v>
      </c>
      <c r="C165" s="50">
        <f>IF(FH!$C$2&gt;0,FH!A165/FH!$C$2,0)</f>
        <v>0</v>
      </c>
      <c r="D165" s="50">
        <f>IF(hist!$D$2&gt;0,hist!B165/hist!$D$2,0)</f>
        <v>0</v>
      </c>
      <c r="E165" s="50">
        <f t="shared" si="23"/>
        <v>2.7268221201189703E-2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3.140657882352941</v>
      </c>
      <c r="C166" s="50">
        <f>IF(FH!$C$2&gt;0,FH!A166/FH!$C$2,0)</f>
        <v>0</v>
      </c>
      <c r="D166" s="50">
        <f>IF(hist!$D$2&gt;0,hist!B166/hist!$D$2,0)</f>
        <v>0</v>
      </c>
      <c r="E166" s="50">
        <f t="shared" si="23"/>
        <v>2.413135197408451E-2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3.1598082352941175</v>
      </c>
      <c r="C167" s="50">
        <f>IF(FH!$C$2&gt;0,FH!A167/FH!$C$2,0)</f>
        <v>0</v>
      </c>
      <c r="D167" s="50">
        <f>IF(hist!$D$2&gt;0,hist!B167/hist!$D$2,0)</f>
        <v>0</v>
      </c>
      <c r="E167" s="50">
        <f t="shared" si="23"/>
        <v>2.131119902738484E-2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3.178958588235294</v>
      </c>
      <c r="C168" s="50">
        <f>IF(FH!$C$2&gt;0,FH!A168/FH!$C$2,0)</f>
        <v>0</v>
      </c>
      <c r="D168" s="50">
        <f>IF(hist!$D$2&gt;0,hist!B168/hist!$D$2,0)</f>
        <v>0</v>
      </c>
      <c r="E168" s="50">
        <f t="shared" si="23"/>
        <v>1.8781726012772518E-2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3.1981089411764705</v>
      </c>
      <c r="C169" s="50">
        <f>IF(FH!$C$2&gt;0,FH!A169/FH!$C$2,0)</f>
        <v>0</v>
      </c>
      <c r="D169" s="50">
        <f>IF(hist!$D$2&gt;0,hist!B169/hist!$D$2,0)</f>
        <v>0</v>
      </c>
      <c r="E169" s="50">
        <f t="shared" si="23"/>
        <v>1.6518267751890373E-2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3.2172592941176466</v>
      </c>
      <c r="C170" s="50">
        <f>IF(FH!$C$2&gt;0,FH!A170/FH!$C$2,0)</f>
        <v>0</v>
      </c>
      <c r="D170" s="50">
        <f>IF(hist!$D$2&gt;0,hist!B170/hist!$D$2,0)</f>
        <v>0</v>
      </c>
      <c r="E170" s="50">
        <f t="shared" si="23"/>
        <v>1.4497559077884768E-2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3.2364096470588231</v>
      </c>
      <c r="C171" s="50">
        <f>IF(FH!$C$2&gt;0,FH!A171/FH!$C$2,0)</f>
        <v>0</v>
      </c>
      <c r="D171" s="50">
        <f>IF(hist!$D$2&gt;0,hist!B171/hist!$D$2,0)</f>
        <v>0</v>
      </c>
      <c r="E171" s="50">
        <f t="shared" si="23"/>
        <v>1.2697746655682664E-2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3.2555599999999996</v>
      </c>
      <c r="C172" s="50">
        <f>IF(FH!$C$2&gt;0,FH!A172/FH!$C$2,0)</f>
        <v>0</v>
      </c>
      <c r="D172" s="50">
        <f>IF(hist!$D$2&gt;0,hist!B172/hist!$D$2,0)</f>
        <v>0</v>
      </c>
      <c r="E172" s="50">
        <f t="shared" si="23"/>
        <v>1.1098385692898593E-2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3.2747103529411761</v>
      </c>
      <c r="C173" s="50">
        <f>IF(FH!$C$2&gt;0,FH!A173/FH!$C$2,0)</f>
        <v>0</v>
      </c>
      <c r="D173" s="50">
        <f>IF(hist!$D$2&gt;0,hist!B173/hist!$D$2,0)</f>
        <v>0</v>
      </c>
      <c r="E173" s="50">
        <f t="shared" si="23"/>
        <v>9.680423426135917E-3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3.293860705882353</v>
      </c>
      <c r="C174" s="50">
        <f>IF(FH!$C$2&gt;0,FH!A174/FH!$C$2,0)</f>
        <v>0</v>
      </c>
      <c r="D174" s="50">
        <f>IF(hist!$D$2&gt;0,hist!B174/hist!$D$2,0)</f>
        <v>0</v>
      </c>
      <c r="E174" s="50">
        <f t="shared" si="23"/>
        <v>8.4261712144670046E-3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3.3130110588235291</v>
      </c>
      <c r="C175" s="50">
        <f>IF(FH!$C$2&gt;0,FH!A175/FH!$C$2,0)</f>
        <v>0</v>
      </c>
      <c r="D175" s="50">
        <f>IF(hist!$D$2&gt;0,hist!B175/hist!$D$2,0)</f>
        <v>0</v>
      </c>
      <c r="E175" s="50">
        <f t="shared" si="23"/>
        <v>7.3192669971469731E-3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3.3321614117647056</v>
      </c>
      <c r="C176" s="50">
        <f>IF(FH!$C$2&gt;0,FH!A176/FH!$C$2,0)</f>
        <v>0</v>
      </c>
      <c r="D176" s="50">
        <f>IF(hist!$D$2&gt;0,hist!B176/hist!$D$2,0)</f>
        <v>0</v>
      </c>
      <c r="E176" s="50">
        <f t="shared" si="23"/>
        <v>6.3446297801506273E-3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3.3513117647058821</v>
      </c>
      <c r="C177" s="50">
        <f>IF(FH!$C$2&gt;0,FH!A177/FH!$C$2,0)</f>
        <v>0</v>
      </c>
      <c r="D177" s="50">
        <f>IF(hist!$D$2&gt;0,hist!B177/hist!$D$2,0)</f>
        <v>0</v>
      </c>
      <c r="E177" s="50">
        <f t="shared" si="23"/>
        <v>5.4884077097772906E-3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3.3704621176470586</v>
      </c>
      <c r="C178" s="50">
        <f>IF(FH!$C$2&gt;0,FH!A178/FH!$C$2,0)</f>
        <v>0</v>
      </c>
      <c r="D178" s="50">
        <f>IF(hist!$D$2&gt;0,hist!B178/hist!$D$2,0)</f>
        <v>0</v>
      </c>
      <c r="E178" s="50">
        <f t="shared" si="23"/>
        <v>4.7379211749652437E-3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3.3896124705882347</v>
      </c>
      <c r="C179" s="50">
        <f>IF(FH!$C$2&gt;0,FH!A179/FH!$C$2,0)</f>
        <v>0</v>
      </c>
      <c r="D179" s="50">
        <f>IF(hist!$D$2&gt;0,hist!B179/hist!$D$2,0)</f>
        <v>0</v>
      </c>
      <c r="E179" s="50">
        <f t="shared" si="23"/>
        <v>4.0816022564583426E-3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3.4087628235294112</v>
      </c>
      <c r="C180" s="50">
        <f>IF(FH!$C$2&gt;0,FH!A180/FH!$C$2,0)</f>
        <v>0</v>
      </c>
      <c r="D180" s="50">
        <f>IF(hist!$D$2&gt;0,hist!B180/hist!$D$2,0)</f>
        <v>0</v>
      </c>
      <c r="E180" s="50">
        <f t="shared" si="23"/>
        <v>3.5089317136164505E-3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3.4279131764705877</v>
      </c>
      <c r="C181" s="50">
        <f>IF(FH!$C$2&gt;0,FH!A181/FH!$C$2,0)</f>
        <v>0</v>
      </c>
      <c r="D181" s="50">
        <f>IF(hist!$D$2&gt;0,hist!B181/hist!$D$2,0)</f>
        <v>0</v>
      </c>
      <c r="E181" s="50">
        <f t="shared" si="23"/>
        <v>3.010374571178193E-3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3.4470635294117646</v>
      </c>
      <c r="C182" s="50">
        <f>IF(FH!$C$2&gt;0,FH!A182/FH!$C$2,0)</f>
        <v>0</v>
      </c>
      <c r="D182" s="50">
        <f>IF(hist!$D$2&gt;0,hist!B182/hist!$D$2,0)</f>
        <v>0</v>
      </c>
      <c r="E182" s="50">
        <f t="shared" si="23"/>
        <v>2.5773152410403849E-3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3.4662138823529411</v>
      </c>
      <c r="C183" s="50">
        <f>IF(FH!$C$2&gt;0,FH!A183/FH!$C$2,0)</f>
        <v>0</v>
      </c>
      <c r="D183" s="50">
        <f>IF(hist!$D$2&gt;0,hist!B183/hist!$D$2,0)</f>
        <v>0</v>
      </c>
      <c r="E183" s="50">
        <f t="shared" si="23"/>
        <v>2.2019929901402301E-3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3.4853642352941172</v>
      </c>
      <c r="C184" s="50">
        <f>IF(FH!$C$2&gt;0,FH!A184/FH!$C$2,0)</f>
        <v>0</v>
      </c>
      <c r="D184" s="50">
        <f>IF(hist!$D$2&gt;0,hist!B184/hist!$D$2,0)</f>
        <v>0</v>
      </c>
      <c r="E184" s="50">
        <f t="shared" si="23"/>
        <v>1.877438446494671E-3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3.5045145882352937</v>
      </c>
      <c r="C185" s="50">
        <f>IF(FH!$C$2&gt;0,FH!A185/FH!$C$2,0)</f>
        <v>0</v>
      </c>
      <c r="D185" s="50">
        <f>IF(hist!$D$2&gt;0,hist!B185/hist!$D$2,0)</f>
        <v>0</v>
      </c>
      <c r="E185" s="50">
        <f t="shared" si="23"/>
        <v>1.5974117227199099E-3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3.5236649411764702</v>
      </c>
      <c r="C186" s="50">
        <f>IF(FH!$C$2&gt;0,FH!A186/FH!$C$2,0)</f>
        <v>0</v>
      </c>
      <c r="D186" s="50">
        <f>IF(hist!$D$2&gt;0,hist!B186/hist!$D$2,0)</f>
        <v>0</v>
      </c>
      <c r="E186" s="50">
        <f t="shared" si="23"/>
        <v>1.3563426309616655E-3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3.5428152941176467</v>
      </c>
      <c r="C187" s="50">
        <f>IF(FH!$C$2&gt;0,FH!A187/FH!$C$2,0)</f>
        <v>0</v>
      </c>
      <c r="D187" s="50">
        <f>IF(hist!$D$2&gt;0,hist!B187/hist!$D$2,0)</f>
        <v>0</v>
      </c>
      <c r="E187" s="50">
        <f t="shared" si="23"/>
        <v>1.1492733658643919E-3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3.5619656470588232</v>
      </c>
      <c r="C188" s="50">
        <f>IF(FH!$C$2&gt;0,FH!A188/FH!$C$2,0)</f>
        <v>0</v>
      </c>
      <c r="D188" s="50">
        <f>IF(hist!$D$2&gt;0,hist!B188/hist!$D$2,0)</f>
        <v>0</v>
      </c>
      <c r="E188" s="50">
        <f t="shared" si="23"/>
        <v>9.7180394348228387E-4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3.5811159999999993</v>
      </c>
      <c r="C189" s="50">
        <f>IF(FH!$C$2&gt;0,FH!A189/FH!$C$2,0)</f>
        <v>0</v>
      </c>
      <c r="D189" s="50">
        <f>IF(hist!$D$2&gt;0,hist!B189/hist!$D$2,0)</f>
        <v>0</v>
      </c>
      <c r="E189" s="50">
        <f t="shared" si="23"/>
        <v>8.2004060413782686E-4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3.6002663529411763</v>
      </c>
      <c r="C190" s="50">
        <f>IF(FH!$C$2&gt;0,FH!A190/FH!$C$2,0)</f>
        <v>0</v>
      </c>
      <c r="D190" s="50">
        <f>IF(hist!$D$2&gt;0,hist!B190/hist!$D$2,0)</f>
        <v>0</v>
      </c>
      <c r="E190" s="50">
        <f t="shared" si="23"/>
        <v>6.9054731621157343E-4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3.6194167058823528</v>
      </c>
      <c r="C191" s="50">
        <f>IF(FH!$C$2&gt;0,FH!A191/FH!$C$2,0)</f>
        <v>0</v>
      </c>
      <c r="D191" s="50">
        <f>IF(hist!$D$2&gt;0,hist!B191/hist!$D$2,0)</f>
        <v>0</v>
      </c>
      <c r="E191" s="50">
        <f t="shared" si="23"/>
        <v>5.803004555700248E-4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3.6385670588235293</v>
      </c>
      <c r="C192" s="50">
        <f>IF(FH!$C$2&gt;0,FH!A192/FH!$C$2,0)</f>
        <v>0</v>
      </c>
      <c r="D192" s="50">
        <f>IF(hist!$D$2&gt;0,hist!B192/hist!$D$2,0)</f>
        <v>0</v>
      </c>
      <c r="E192" s="50">
        <f t="shared" si="23"/>
        <v>4.8664668153077634E-4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3.6577174117647058</v>
      </c>
      <c r="C193" s="50">
        <f>IF(FH!$C$2&gt;0,FH!A193/FH!$C$2,0)</f>
        <v>0</v>
      </c>
      <c r="D193" s="50">
        <f>IF(hist!$D$2&gt;0,hist!B193/hist!$D$2,0)</f>
        <v>0</v>
      </c>
      <c r="E193" s="50">
        <f t="shared" si="23"/>
        <v>4.072639845317054E-4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3.6768677647058818</v>
      </c>
      <c r="C194" s="50">
        <f>IF(FH!$C$2&gt;0,FH!A194/FH!$C$2,0)</f>
        <v>0</v>
      </c>
      <c r="D194" s="50">
        <f>IF(hist!$D$2&gt;0,hist!B194/hist!$D$2,0)</f>
        <v>0</v>
      </c>
      <c r="E194" s="50">
        <f t="shared" si="23"/>
        <v>3.4012584252746998E-4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3.6960181176470583</v>
      </c>
      <c r="C195" s="50">
        <f>IF(FH!$C$2&gt;0,FH!A195/FH!$C$2,0)</f>
        <v>0</v>
      </c>
      <c r="D195" s="50">
        <f>IF(hist!$D$2&gt;0,hist!B195/hist!$D$2,0)</f>
        <v>0</v>
      </c>
      <c r="E195" s="50">
        <f t="shared" ref="E195:E257" si="29">NORMDIST(B195,2,0.421,FALSE)</f>
        <v>2.8346839202938296E-4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3.7151684705882349</v>
      </c>
      <c r="C196" s="50">
        <f>IF(FH!$C$2&gt;0,FH!A196/FH!$C$2,0)</f>
        <v>0</v>
      </c>
      <c r="D196" s="50">
        <f>IF(hist!$D$2&gt;0,hist!B196/hist!$D$2,0)</f>
        <v>0</v>
      </c>
      <c r="E196" s="50">
        <f t="shared" si="29"/>
        <v>2.357604950354996E-4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3.7343188235294114</v>
      </c>
      <c r="C197" s="50">
        <f>IF(FH!$C$2&gt;0,FH!A197/FH!$C$2,0)</f>
        <v>0</v>
      </c>
      <c r="D197" s="50">
        <f>IF(hist!$D$2&gt;0,hist!B197/hist!$D$2,0)</f>
        <v>0</v>
      </c>
      <c r="E197" s="50">
        <f t="shared" si="29"/>
        <v>1.9567656424311031E-4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3.7534691764705883</v>
      </c>
      <c r="C198" s="50">
        <f>IF(FH!$C$2&gt;0,FH!A198/FH!$C$2,0)</f>
        <v>0</v>
      </c>
      <c r="D198" s="50">
        <f>IF(hist!$D$2&gt;0,hist!B198/hist!$D$2,0)</f>
        <v>0</v>
      </c>
      <c r="E198" s="50">
        <f t="shared" si="29"/>
        <v>1.6207199526420985E-4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3.7726195294117644</v>
      </c>
      <c r="C199" s="50">
        <f>IF(FH!$C$2&gt;0,FH!A199/FH!$C$2,0)</f>
        <v>0</v>
      </c>
      <c r="D199" s="50">
        <f>IF(hist!$D$2&gt;0,hist!B199/hist!$D$2,0)</f>
        <v>0</v>
      </c>
      <c r="E199" s="50">
        <f t="shared" si="29"/>
        <v>1.339610454501258E-4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3.7917698823529409</v>
      </c>
      <c r="C200" s="50">
        <f>IF(FH!$C$2&gt;0,FH!A200/FH!$C$2,0)</f>
        <v>0</v>
      </c>
      <c r="D200" s="50">
        <f>IF(hist!$D$2&gt;0,hist!B200/hist!$D$2,0)</f>
        <v>0</v>
      </c>
      <c r="E200" s="50">
        <f t="shared" si="29"/>
        <v>1.1049699376718213E-4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3.8109202352941174</v>
      </c>
      <c r="C201" s="50">
        <f>IF(FH!$C$2&gt;0,FH!A201/FH!$C$2,0)</f>
        <v>0</v>
      </c>
      <c r="D201" s="50">
        <f>IF(hist!$D$2&gt;0,hist!B201/hist!$D$2,0)</f>
        <v>0</v>
      </c>
      <c r="E201" s="50">
        <f t="shared" si="29"/>
        <v>9.0954414371151402E-5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3.8300705882352939</v>
      </c>
      <c r="C202" s="50">
        <f>IF(FH!$C$2&gt;0,FH!A202/FH!$C$2,0)</f>
        <v>0</v>
      </c>
      <c r="D202" s="50">
        <f>IF(hist!$D$2&gt;0,hist!B202/hist!$D$2,0)</f>
        <v>0</v>
      </c>
      <c r="E202" s="50">
        <f t="shared" si="29"/>
        <v>7.471339755965722E-5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3.84922094117647</v>
      </c>
      <c r="C203" s="50">
        <f>IF(FH!$C$2&gt;0,FH!A203/FH!$C$2,0)</f>
        <v>0</v>
      </c>
      <c r="D203" s="50">
        <f>IF(hist!$D$2&gt;0,hist!B203/hist!$D$2,0)</f>
        <v>0</v>
      </c>
      <c r="E203" s="50">
        <f t="shared" si="29"/>
        <v>6.124555513421552E-5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3.8683712941176465</v>
      </c>
      <c r="C204" s="50">
        <f>IF(FH!$C$2&gt;0,FH!A204/FH!$C$2,0)</f>
        <v>0</v>
      </c>
      <c r="D204" s="50">
        <f>IF(hist!$D$2&gt;0,hist!B204/hist!$D$2,0)</f>
        <v>0</v>
      </c>
      <c r="E204" s="50">
        <f t="shared" si="29"/>
        <v>5.0101652416596354E-5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3.887521647058823</v>
      </c>
      <c r="C205" s="50">
        <f>IF(FH!$C$2&gt;0,FH!A205/FH!$C$2,0)</f>
        <v>0</v>
      </c>
      <c r="D205" s="50">
        <f>IF(hist!$D$2&gt;0,hist!B205/hist!$D$2,0)</f>
        <v>0</v>
      </c>
      <c r="E205" s="50">
        <f t="shared" si="29"/>
        <v>4.090071582263951E-5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3.9066719999999999</v>
      </c>
      <c r="C206" s="50">
        <f>IF(FH!$C$2&gt;0,FH!A206/FH!$C$2,0)</f>
        <v>0</v>
      </c>
      <c r="D206" s="50">
        <f>IF(hist!$D$2&gt;0,hist!B206/hist!$D$2,0)</f>
        <v>0</v>
      </c>
      <c r="E206" s="50">
        <f t="shared" si="29"/>
        <v>3.3320472631831532E-5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3.9258223529411764</v>
      </c>
      <c r="C207" s="50">
        <f>IF(FH!$C$2&gt;0,FH!A207/FH!$C$2,0)</f>
        <v>0</v>
      </c>
      <c r="D207" s="50">
        <f>IF(hist!$D$2&gt;0,hist!B207/hist!$D$2,0)</f>
        <v>0</v>
      </c>
      <c r="E207" s="50">
        <f t="shared" si="29"/>
        <v>2.7088988079609325E-5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3.9449727058823525</v>
      </c>
      <c r="C208" s="50">
        <f>IF(FH!$C$2&gt;0,FH!A208/FH!$C$2,0)</f>
        <v>0</v>
      </c>
      <c r="D208" s="50">
        <f>IF(hist!$D$2&gt;0,hist!B208/hist!$D$2,0)</f>
        <v>0</v>
      </c>
      <c r="E208" s="50">
        <f t="shared" si="29"/>
        <v>2.1977373862415655E-5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3.964123058823529</v>
      </c>
      <c r="C209" s="50">
        <f>IF(FH!$C$2&gt;0,FH!A209/FH!$C$2,0)</f>
        <v>0</v>
      </c>
      <c r="D209" s="50">
        <f>IF(hist!$D$2&gt;0,hist!B209/hist!$D$2,0)</f>
        <v>0</v>
      </c>
      <c r="E209" s="50">
        <f t="shared" si="29"/>
        <v>1.7793451345700727E-5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3.9832734117647055</v>
      </c>
      <c r="C210" s="50">
        <f>IF(FH!$C$2&gt;0,FH!A210/FH!$C$2,0)</f>
        <v>0</v>
      </c>
      <c r="D210" s="50">
        <f>IF(hist!$D$2&gt;0,hist!B210/hist!$D$2,0)</f>
        <v>0</v>
      </c>
      <c r="E210" s="50">
        <f t="shared" si="29"/>
        <v>1.4376262004172368E-5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4.002423764705882</v>
      </c>
      <c r="C211" s="50">
        <f>IF(FH!$C$2&gt;0,FH!A211/FH!$C$2,0)</f>
        <v>0</v>
      </c>
      <c r="D211" s="50">
        <f>IF(hist!$D$2&gt;0,hist!B211/hist!$D$2,0)</f>
        <v>0</v>
      </c>
      <c r="E211" s="50">
        <f t="shared" si="29"/>
        <v>1.1591326739381683E-5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4.0215741176470585</v>
      </c>
      <c r="C212" s="50">
        <f>IF(FH!$C$2&gt;0,FH!A212/FH!$C$2,0)</f>
        <v>0</v>
      </c>
      <c r="D212" s="50">
        <f>IF(hist!$D$2&gt;0,hist!B212/hist!$D$2,0)</f>
        <v>0</v>
      </c>
      <c r="E212" s="50">
        <f t="shared" si="29"/>
        <v>9.3265645825713037E-6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4.040724470588235</v>
      </c>
      <c r="C213" s="50">
        <f>IF(FH!$C$2&gt;0,FH!A213/FH!$C$2,0)</f>
        <v>0</v>
      </c>
      <c r="D213" s="50">
        <f>IF(hist!$D$2&gt;0,hist!B213/hist!$D$2,0)</f>
        <v>0</v>
      </c>
      <c r="E213" s="50">
        <f t="shared" si="29"/>
        <v>7.4887898000603007E-6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4.0598748235294115</v>
      </c>
      <c r="C214" s="50">
        <f>IF(FH!$C$2&gt;0,FH!A214/FH!$C$2,0)</f>
        <v>0</v>
      </c>
      <c r="D214" s="50">
        <f>IF(hist!$D$2&gt;0,hist!B214/hist!$D$2,0)</f>
        <v>0</v>
      </c>
      <c r="E214" s="50">
        <f t="shared" si="29"/>
        <v>6.0007144994822973E-6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4.079025176470588</v>
      </c>
      <c r="C215" s="50">
        <f>IF(FH!$C$2&gt;0,FH!A215/FH!$C$2,0)</f>
        <v>0</v>
      </c>
      <c r="D215" s="50">
        <f>IF(hist!$D$2&gt;0,hist!B215/hist!$D$2,0)</f>
        <v>0</v>
      </c>
      <c r="E215" s="50">
        <f t="shared" si="29"/>
        <v>4.7983914353772634E-6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4.0981755294117646</v>
      </c>
      <c r="C216" s="50">
        <f>IF(FH!$C$2&gt;0,FH!A216/FH!$C$2,0)</f>
        <v>0</v>
      </c>
      <c r="D216" s="50">
        <f>IF(hist!$D$2&gt;0,hist!B216/hist!$D$2,0)</f>
        <v>0</v>
      </c>
      <c r="E216" s="50">
        <f t="shared" si="29"/>
        <v>3.829038798521478E-6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4.1173258823529411</v>
      </c>
      <c r="C217" s="50">
        <f>IF(FH!$C$2&gt;0,FH!A217/FH!$C$2,0)</f>
        <v>0</v>
      </c>
      <c r="D217" s="50">
        <f>IF(hist!$D$2&gt;0,hist!B217/hist!$D$2,0)</f>
        <v>0</v>
      </c>
      <c r="E217" s="50">
        <f t="shared" si="29"/>
        <v>3.0491953275604614E-6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4.1364762352941176</v>
      </c>
      <c r="C218" s="50">
        <f>IF(FH!$C$2&gt;0,FH!A218/FH!$C$2,0)</f>
        <v>0</v>
      </c>
      <c r="D218" s="50">
        <f>IF(hist!$D$2&gt;0,hist!B218/hist!$D$2,0)</f>
        <v>0</v>
      </c>
      <c r="E218" s="50">
        <f t="shared" si="29"/>
        <v>2.4231600998641076E-6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4.1556265882352932</v>
      </c>
      <c r="C219" s="50">
        <f>IF(FH!$C$2&gt;0,FH!A219/FH!$C$2,0)</f>
        <v>0</v>
      </c>
      <c r="D219" s="50">
        <f>IF(hist!$D$2&gt;0,hist!B219/hist!$D$2,0)</f>
        <v>0</v>
      </c>
      <c r="E219" s="50">
        <f t="shared" si="29"/>
        <v>1.9216768476474632E-6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4.1747769411764697</v>
      </c>
      <c r="C220" s="50">
        <f>IF(FH!$C$2&gt;0,FH!A220/FH!$C$2,0)</f>
        <v>0</v>
      </c>
      <c r="D220" s="50">
        <f>IF(hist!$D$2&gt;0,hist!B220/hist!$D$2,0)</f>
        <v>0</v>
      </c>
      <c r="E220" s="50">
        <f t="shared" si="29"/>
        <v>1.5208276203586121E-6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4.1939272941176462</v>
      </c>
      <c r="C221" s="50">
        <f>IF(FH!$C$2&gt;0,FH!A221/FH!$C$2,0)</f>
        <v>0</v>
      </c>
      <c r="D221" s="50">
        <f>IF(hist!$D$2&gt;0,hist!B221/hist!$D$2,0)</f>
        <v>0</v>
      </c>
      <c r="E221" s="50">
        <f t="shared" si="29"/>
        <v>1.2011050966373826E-6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4.2130776470588236</v>
      </c>
      <c r="C222" s="50">
        <f>IF(FH!$C$2&gt;0,FH!A222/FH!$C$2,0)</f>
        <v>0</v>
      </c>
      <c r="D222" s="50">
        <f>IF(hist!$D$2&gt;0,hist!B222/hist!$D$2,0)</f>
        <v>0</v>
      </c>
      <c r="E222" s="50">
        <f t="shared" si="29"/>
        <v>9.4663686501887197E-7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4.2322280000000001</v>
      </c>
      <c r="C223" s="50">
        <f>IF(FH!$C$2&gt;0,FH!A223/FH!$C$2,0)</f>
        <v>0</v>
      </c>
      <c r="D223" s="50">
        <f>IF(hist!$D$2&gt;0,hist!B223/hist!$D$2,0)</f>
        <v>0</v>
      </c>
      <c r="E223" s="50">
        <f t="shared" si="29"/>
        <v>7.4453857143687585E-7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4.2513783529411766</v>
      </c>
      <c r="C224" s="50">
        <f>IF(FH!$C$2&gt;0,FH!A224/FH!$C$2,0)</f>
        <v>0</v>
      </c>
      <c r="D224" s="50">
        <f>IF(hist!$D$2&gt;0,hist!B224/hist!$D$2,0)</f>
        <v>0</v>
      </c>
      <c r="E224" s="50">
        <f t="shared" si="29"/>
        <v>5.8437600487122395E-7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4.2705287058823522</v>
      </c>
      <c r="C225" s="50">
        <f>IF(FH!$C$2&gt;0,FH!A225/FH!$C$2,0)</f>
        <v>0</v>
      </c>
      <c r="D225" s="50">
        <f>IF(hist!$D$2&gt;0,hist!B225/hist!$D$2,0)</f>
        <v>0</v>
      </c>
      <c r="E225" s="50">
        <f t="shared" si="29"/>
        <v>4.577189924994093E-7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4.2896790588235287</v>
      </c>
      <c r="C226" s="50">
        <f>IF(FH!$C$2&gt;0,FH!A226/FH!$C$2,0)</f>
        <v>0</v>
      </c>
      <c r="D226" s="50">
        <f>IF(hist!$D$2&gt;0,hist!B226/hist!$D$2,0)</f>
        <v>0</v>
      </c>
      <c r="E226" s="50">
        <f t="shared" si="29"/>
        <v>3.5777243484490583E-7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4.3088294117647052</v>
      </c>
      <c r="C227" s="50">
        <f>IF(FH!$C$2&gt;0,FH!A227/FH!$C$2,0)</f>
        <v>0</v>
      </c>
      <c r="D227" s="50">
        <f>IF(hist!$D$2&gt;0,hist!B227/hist!$D$2,0)</f>
        <v>0</v>
      </c>
      <c r="E227" s="50">
        <f t="shared" si="29"/>
        <v>2.7907196145722202E-7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4.3279797647058817</v>
      </c>
      <c r="C228" s="50">
        <f>IF(FH!$C$2&gt;0,FH!A228/FH!$C$2,0)</f>
        <v>0</v>
      </c>
      <c r="D228" s="50">
        <f>IF(hist!$D$2&gt;0,hist!B228/hist!$D$2,0)</f>
        <v>0</v>
      </c>
      <c r="E228" s="50">
        <f t="shared" si="29"/>
        <v>2.1723355929264389E-7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4.3471301176470583</v>
      </c>
      <c r="C229" s="50">
        <f>IF(FH!$C$2&gt;0,FH!A229/FH!$C$2,0)</f>
        <v>0</v>
      </c>
      <c r="D229" s="50">
        <f>IF(hist!$D$2&gt;0,hist!B229/hist!$D$2,0)</f>
        <v>0</v>
      </c>
      <c r="E229" s="50">
        <f t="shared" si="29"/>
        <v>1.6874814838183817E-7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4.3662804705882348</v>
      </c>
      <c r="C230" s="50">
        <f>IF(FH!$C$2&gt;0,FH!A230/FH!$C$2,0)</f>
        <v>0</v>
      </c>
      <c r="D230" s="50">
        <f>IF(hist!$D$2&gt;0,hist!B230/hist!$D$2,0)</f>
        <v>0</v>
      </c>
      <c r="E230" s="50">
        <f t="shared" si="29"/>
        <v>1.3081348000302271E-7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4.3854308235294113</v>
      </c>
      <c r="C231" s="50">
        <f>IF(FH!$C$2&gt;0,FH!A231/FH!$C$2,0)</f>
        <v>0</v>
      </c>
      <c r="D231" s="50">
        <f>IF(hist!$D$2&gt;0,hist!B231/hist!$D$2,0)</f>
        <v>0</v>
      </c>
      <c r="E231" s="50">
        <f t="shared" si="29"/>
        <v>1.0119693693326475E-7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4.4045811764705878</v>
      </c>
      <c r="C232" s="50">
        <f>IF(FH!$C$2&gt;0,FH!A232/FH!$C$2,0)</f>
        <v>0</v>
      </c>
      <c r="D232" s="50">
        <f>IF(hist!$D$2&gt;0,hist!B232/hist!$D$2,0)</f>
        <v>0</v>
      </c>
      <c r="E232" s="50">
        <f t="shared" si="29"/>
        <v>7.8123846912879398E-8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4.4237315294117643</v>
      </c>
      <c r="C233" s="50">
        <f>IF(FH!$C$2&gt;0,FH!A233/FH!$C$2,0)</f>
        <v>0</v>
      </c>
      <c r="D233" s="50">
        <f>IF(hist!$D$2&gt;0,hist!B233/hist!$D$2,0)</f>
        <v>0</v>
      </c>
      <c r="E233" s="50">
        <f t="shared" si="29"/>
        <v>6.0186800671471271E-8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4.4428818823529408</v>
      </c>
      <c r="C234" s="50">
        <f>IF(FH!$C$2&gt;0,FH!A234/FH!$C$2,0)</f>
        <v>0</v>
      </c>
      <c r="D234" s="50">
        <f>IF(hist!$D$2&gt;0,hist!B234/hist!$D$2,0)</f>
        <v>0</v>
      </c>
      <c r="E234" s="50">
        <f t="shared" si="29"/>
        <v>4.6272214150985014E-8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4.4620322352941173</v>
      </c>
      <c r="C235" s="50">
        <f>IF(FH!$C$2&gt;0,FH!A235/FH!$C$2,0)</f>
        <v>0</v>
      </c>
      <c r="D235" s="50">
        <f>IF(hist!$D$2&gt;0,hist!B235/hist!$D$2,0)</f>
        <v>0</v>
      </c>
      <c r="E235" s="50">
        <f t="shared" si="29"/>
        <v>3.5501008385518249E-8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4.4811825882352938</v>
      </c>
      <c r="C236" s="50">
        <f>IF(FH!$C$2&gt;0,FH!A236/FH!$C$2,0)</f>
        <v>0</v>
      </c>
      <c r="D236" s="50">
        <f>IF(hist!$D$2&gt;0,hist!B236/hist!$D$2,0)</f>
        <v>0</v>
      </c>
      <c r="E236" s="50">
        <f t="shared" si="29"/>
        <v>2.7180815457531379E-8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4.5003329411764703</v>
      </c>
      <c r="C237" s="50">
        <f>IF(FH!$C$2&gt;0,FH!A237/FH!$C$2,0)</f>
        <v>0</v>
      </c>
      <c r="D237" s="50">
        <f>IF(hist!$D$2&gt;0,hist!B237/hist!$D$2,0)</f>
        <v>0</v>
      </c>
      <c r="E237" s="50">
        <f t="shared" si="29"/>
        <v>2.0767568888861442E-8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4.5194832941176468</v>
      </c>
      <c r="C238" s="50">
        <f>IF(FH!$C$2&gt;0,FH!A238/FH!$C$2,0)</f>
        <v>0</v>
      </c>
      <c r="D238" s="50">
        <f>IF(hist!$D$2&gt;0,hist!B238/hist!$D$2,0)</f>
        <v>0</v>
      </c>
      <c r="E238" s="50">
        <f t="shared" si="29"/>
        <v>1.583471395540179E-8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4.5386336470588233</v>
      </c>
      <c r="C239" s="50">
        <f>IF(FH!$C$2&gt;0,FH!A239/FH!$C$2,0)</f>
        <v>0</v>
      </c>
      <c r="D239" s="50">
        <f>IF(hist!$D$2&gt;0,hist!B239/hist!$D$2,0)</f>
        <v>0</v>
      </c>
      <c r="E239" s="50">
        <f t="shared" si="29"/>
        <v>1.2048588450444647E-8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4.5577839999999998</v>
      </c>
      <c r="C240" s="50">
        <f>IF(FH!$C$2&gt;0,FH!A240/FH!$C$2,0)</f>
        <v>0</v>
      </c>
      <c r="D240" s="50">
        <f>IF(hist!$D$2&gt;0,hist!B240/hist!$D$2,0)</f>
        <v>0</v>
      </c>
      <c r="E240" s="50">
        <f t="shared" si="29"/>
        <v>9.1487867119620272E-9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4.5769343529411763</v>
      </c>
      <c r="C241" s="50">
        <f>IF(FH!$C$2&gt;0,FH!A241/FH!$C$2,0)</f>
        <v>0</v>
      </c>
      <c r="D241" s="50">
        <f>IF(hist!$D$2&gt;0,hist!B241/hist!$D$2,0)</f>
        <v>0</v>
      </c>
      <c r="E241" s="50">
        <f t="shared" si="29"/>
        <v>6.9325373889879494E-9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4.5960847058823528</v>
      </c>
      <c r="C242" s="50">
        <f>IF(FH!$C$2&gt;0,FH!A242/FH!$C$2,0)</f>
        <v>0</v>
      </c>
      <c r="D242" s="50">
        <f>IF(hist!$D$2&gt;0,hist!B242/hist!$D$2,0)</f>
        <v>0</v>
      </c>
      <c r="E242" s="50">
        <f t="shared" si="29"/>
        <v>5.2423054620988892E-9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4.6152350588235285</v>
      </c>
      <c r="C243" s="50">
        <f>IF(FH!$C$2&gt;0,FH!A243/FH!$C$2,0)</f>
        <v>0</v>
      </c>
      <c r="D243" s="50">
        <f>IF(hist!$D$2&gt;0,hist!B243/hist!$D$2,0)</f>
        <v>0</v>
      </c>
      <c r="E243" s="50">
        <f t="shared" si="29"/>
        <v>3.9559774800003215E-9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4.634385411764705</v>
      </c>
      <c r="C244" s="50">
        <f>IF(FH!$C$2&gt;0,FH!A244/FH!$C$2,0)</f>
        <v>0</v>
      </c>
      <c r="D244" s="50">
        <f>IF(hist!$D$2&gt;0,hist!B244/hist!$D$2,0)</f>
        <v>0</v>
      </c>
      <c r="E244" s="50">
        <f t="shared" si="29"/>
        <v>2.979110986683606E-9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4.6535357647058815</v>
      </c>
      <c r="C245" s="50">
        <f>IF(FH!$C$2&gt;0,FH!A245/FH!$C$2,0)</f>
        <v>0</v>
      </c>
      <c r="D245" s="50">
        <f>IF(hist!$D$2&gt;0,hist!B245/hist!$D$2,0)</f>
        <v>0</v>
      </c>
      <c r="E245" s="50">
        <f t="shared" si="29"/>
        <v>2.2388290867295083E-9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4.6726861176470589</v>
      </c>
      <c r="C246" s="50">
        <f>IF(FH!$C$2&gt;0,FH!A246/FH!$C$2,0)</f>
        <v>0</v>
      </c>
      <c r="D246" s="50">
        <f>IF(hist!$D$2&gt;0,hist!B246/hist!$D$2,0)</f>
        <v>0</v>
      </c>
      <c r="E246" s="50">
        <f t="shared" si="29"/>
        <v>1.6790227590413698E-9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4.6918364705882354</v>
      </c>
      <c r="C247" s="50">
        <f>IF(FH!$C$2&gt;0,FH!A247/FH!$C$2,0)</f>
        <v>0</v>
      </c>
      <c r="D247" s="50">
        <f>IF(hist!$D$2&gt;0,hist!B247/hist!$D$2,0)</f>
        <v>0</v>
      </c>
      <c r="E247" s="50">
        <f t="shared" si="29"/>
        <v>1.2565900321783347E-9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4.710986823529411</v>
      </c>
      <c r="C248" s="50">
        <f>IF(FH!$C$2&gt;0,FH!A248/FH!$C$2,0)</f>
        <v>0</v>
      </c>
      <c r="D248" s="50">
        <f>IF(hist!$D$2&gt;0,hist!B248/hist!$D$2,0)</f>
        <v>0</v>
      </c>
      <c r="E248" s="50">
        <f t="shared" si="29"/>
        <v>9.3849512862937189E-10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4.7301371764705875</v>
      </c>
      <c r="C249" s="50">
        <f>IF(FH!$C$2&gt;0,FH!A249/FH!$C$2,0)</f>
        <v>0</v>
      </c>
      <c r="D249" s="50">
        <f>IF(hist!$D$2&gt;0,hist!B249/hist!$D$2,0)</f>
        <v>0</v>
      </c>
      <c r="E249" s="50">
        <f t="shared" si="29"/>
        <v>6.9947439287281448E-10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4.749287529411764</v>
      </c>
      <c r="C250" s="50">
        <f>IF(FH!$C$2&gt;0,FH!A250/FH!$C$2,0)</f>
        <v>0</v>
      </c>
      <c r="D250" s="50">
        <f>IF(hist!$D$2&gt;0,hist!B250/hist!$D$2,0)</f>
        <v>0</v>
      </c>
      <c r="E250" s="50">
        <f t="shared" si="29"/>
        <v>5.2025109411627865E-10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4.7684378823529405</v>
      </c>
      <c r="C251" s="50">
        <f>IF(FH!$C$2&gt;0,FH!A251/FH!$C$2,0)</f>
        <v>0</v>
      </c>
      <c r="D251" s="50">
        <f>IF(hist!$D$2&gt;0,hist!B251/hist!$D$2,0)</f>
        <v>0</v>
      </c>
      <c r="E251" s="50">
        <f t="shared" si="29"/>
        <v>3.861495823272773E-10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4.787588235294117</v>
      </c>
      <c r="C252" s="50">
        <f>IF(FH!$C$2&gt;0,FH!A252/FH!$C$2,0)</f>
        <v>0</v>
      </c>
      <c r="D252" s="50">
        <f>IF(hist!$D$2&gt;0,hist!B252/hist!$D$2,0)</f>
        <v>0</v>
      </c>
      <c r="E252" s="50">
        <f t="shared" si="29"/>
        <v>2.8602205431322959E-10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4.8067385882352935</v>
      </c>
      <c r="C253" s="50">
        <f>IF(FH!$C$2&gt;0,FH!A253/FH!$C$2,0)</f>
        <v>0</v>
      </c>
      <c r="D253" s="50">
        <f>IF(hist!$D$2&gt;0,hist!B253/hist!$D$2,0)</f>
        <v>0</v>
      </c>
      <c r="E253" s="50">
        <f t="shared" si="29"/>
        <v>2.1141941105575591E-10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4.82588894117647</v>
      </c>
      <c r="C254" s="50">
        <f>IF(FH!$C$2&gt;0,FH!A254/FH!$C$2,0)</f>
        <v>0</v>
      </c>
      <c r="D254" s="50">
        <f>IF(hist!$D$2&gt;0,hist!B254/hist!$D$2,0)</f>
        <v>0</v>
      </c>
      <c r="E254" s="50">
        <f t="shared" si="29"/>
        <v>1.5595222696115233E-10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4.8450392941176466</v>
      </c>
      <c r="C255" s="50">
        <f>IF(FH!$C$2&gt;0,FH!A255/FH!$C$2,0)</f>
        <v>0</v>
      </c>
      <c r="D255" s="50">
        <f>IF(hist!$D$2&gt;0,hist!B255/hist!$D$2,0)</f>
        <v>0</v>
      </c>
      <c r="E255" s="50">
        <f t="shared" si="29"/>
        <v>1.1479941838761175E-10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4.8641896470588231</v>
      </c>
      <c r="C256" s="50">
        <f>IF(FH!$C$2&gt;0,FH!A256/FH!$C$2,0)</f>
        <v>0</v>
      </c>
      <c r="D256" s="50">
        <f>IF(hist!$D$2&gt;0,hist!B256/hist!$D$2,0)</f>
        <v>0</v>
      </c>
      <c r="E256" s="50">
        <f t="shared" si="29"/>
        <v>8.4331374675851551E-11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4.8833399999999996</v>
      </c>
      <c r="C257" s="50">
        <f>IF(FH!$C$2&gt;0,FH!A257/FH!$C$2,0)</f>
        <v>0</v>
      </c>
      <c r="D257" s="50">
        <f>IF(hist!$D$2&gt;0,hist!B257/hist!$D$2,0)</f>
        <v>0</v>
      </c>
      <c r="E257" s="50">
        <f t="shared" si="29"/>
        <v>6.1821573792508636E-11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18.502099999999999</v>
      </c>
      <c r="C5" s="49">
        <v>12.6189</v>
      </c>
      <c r="D5" s="49">
        <v>68.202399999999997</v>
      </c>
      <c r="E5" s="49">
        <v>20</v>
      </c>
      <c r="F5" s="49">
        <v>0</v>
      </c>
      <c r="G5" s="49">
        <v>50</v>
      </c>
      <c r="H5" s="49">
        <v>50.696800000000003</v>
      </c>
    </row>
    <row r="6" spans="1:10">
      <c r="A6" t="s">
        <v>1111</v>
      </c>
      <c r="B6" s="49">
        <v>29.701699999999999</v>
      </c>
      <c r="C6" s="49">
        <v>18.1158</v>
      </c>
      <c r="D6" s="49">
        <v>60.992600000000003</v>
      </c>
      <c r="E6" s="49">
        <v>20</v>
      </c>
      <c r="F6" s="49">
        <v>0</v>
      </c>
      <c r="G6" s="49">
        <v>40</v>
      </c>
      <c r="H6" s="49">
        <v>62.720300000000002</v>
      </c>
    </row>
    <row r="7" spans="1:10">
      <c r="A7" t="s">
        <v>1112</v>
      </c>
      <c r="B7" s="49">
        <v>12.746</v>
      </c>
      <c r="C7" s="49">
        <v>4.1488800000000001</v>
      </c>
      <c r="D7" s="49">
        <v>32.5505</v>
      </c>
      <c r="E7" s="49">
        <v>15</v>
      </c>
      <c r="F7" s="49">
        <v>0</v>
      </c>
      <c r="G7" s="49">
        <v>40</v>
      </c>
      <c r="H7" s="49">
        <v>36.225499999999997</v>
      </c>
    </row>
    <row r="8" spans="1:10">
      <c r="A8" t="s">
        <v>1113</v>
      </c>
      <c r="B8" s="49">
        <v>22.298200000000001</v>
      </c>
      <c r="C8" s="49">
        <v>10.440799999999999</v>
      </c>
      <c r="D8" s="49">
        <v>46.823399999999999</v>
      </c>
      <c r="E8" s="49">
        <v>20</v>
      </c>
      <c r="F8" s="49">
        <v>0</v>
      </c>
      <c r="G8" s="49">
        <v>50</v>
      </c>
      <c r="H8" s="49">
        <v>40.582999999999998</v>
      </c>
    </row>
    <row r="9" spans="1:10">
      <c r="A9" t="s">
        <v>1114</v>
      </c>
      <c r="B9" s="49">
        <v>60.947200000000002</v>
      </c>
      <c r="C9" s="49">
        <v>22.951899999999998</v>
      </c>
      <c r="D9" s="49">
        <v>37.6586</v>
      </c>
      <c r="E9" s="49">
        <v>50</v>
      </c>
      <c r="F9" s="49">
        <v>0</v>
      </c>
      <c r="G9" s="49">
        <v>100</v>
      </c>
      <c r="H9" s="49">
        <v>97.346199999999996</v>
      </c>
    </row>
    <row r="10" spans="1:10">
      <c r="A10" t="s">
        <v>1115</v>
      </c>
      <c r="B10" s="49">
        <v>31.298300000000001</v>
      </c>
      <c r="C10" s="49">
        <v>10.8711</v>
      </c>
      <c r="D10" s="49">
        <v>34.733699999999999</v>
      </c>
      <c r="E10" s="49">
        <v>40</v>
      </c>
      <c r="F10" s="49">
        <v>0</v>
      </c>
      <c r="G10" s="49">
        <v>100</v>
      </c>
      <c r="H10" s="49">
        <v>58.271799999999999</v>
      </c>
    </row>
    <row r="11" spans="1:10">
      <c r="A11" t="s">
        <v>1116</v>
      </c>
      <c r="B11" s="49">
        <v>9.4289199999999997</v>
      </c>
      <c r="C11" s="49">
        <v>6.5451800000000002</v>
      </c>
      <c r="D11" s="49">
        <v>69.4161</v>
      </c>
      <c r="E11" s="49">
        <v>10</v>
      </c>
      <c r="F11" s="49">
        <v>0</v>
      </c>
      <c r="G11" s="49">
        <v>50</v>
      </c>
      <c r="H11" s="49">
        <v>27.077500000000001</v>
      </c>
    </row>
    <row r="12" spans="1:10">
      <c r="A12" t="s">
        <v>1117</v>
      </c>
      <c r="B12" s="49">
        <v>47.645699999999998</v>
      </c>
      <c r="C12" s="49">
        <v>11.7659</v>
      </c>
      <c r="D12" s="49">
        <v>24.694600000000001</v>
      </c>
      <c r="E12" s="49">
        <v>50</v>
      </c>
      <c r="F12" s="49">
        <v>0</v>
      </c>
      <c r="G12" s="49">
        <v>100</v>
      </c>
      <c r="H12" s="49">
        <v>64.250900000000001</v>
      </c>
    </row>
    <row r="13" spans="1:10">
      <c r="A13" t="s">
        <v>1118</v>
      </c>
      <c r="B13" s="49">
        <v>26.158300000000001</v>
      </c>
      <c r="C13" s="49">
        <v>7.7948599999999999</v>
      </c>
      <c r="D13" s="49">
        <v>29.7988</v>
      </c>
      <c r="E13" s="49">
        <v>10</v>
      </c>
      <c r="F13" s="49">
        <v>0</v>
      </c>
      <c r="G13" s="49">
        <v>25</v>
      </c>
      <c r="H13" s="49">
        <v>34.614899999999999</v>
      </c>
      <c r="J13" s="49"/>
    </row>
    <row r="14" spans="1:10">
      <c r="A14" t="s">
        <v>1119</v>
      </c>
      <c r="B14" s="49">
        <v>77.948599999999999</v>
      </c>
      <c r="C14" s="49">
        <v>31.131799999999998</v>
      </c>
      <c r="D14" s="49">
        <v>39.938800000000001</v>
      </c>
      <c r="E14" s="49">
        <v>10</v>
      </c>
      <c r="F14" s="49">
        <v>0</v>
      </c>
      <c r="G14" s="49">
        <v>50</v>
      </c>
      <c r="H14" s="49">
        <v>108.535</v>
      </c>
    </row>
    <row r="15" spans="1:10">
      <c r="A15" t="s">
        <v>1120</v>
      </c>
      <c r="B15" s="49">
        <v>0.55875300000000006</v>
      </c>
      <c r="C15" s="49">
        <v>0</v>
      </c>
      <c r="D15" s="49">
        <v>0</v>
      </c>
      <c r="E15" s="49">
        <v>0</v>
      </c>
      <c r="F15" s="49">
        <v>0</v>
      </c>
      <c r="G15" s="49">
        <v>0</v>
      </c>
      <c r="H15" s="49">
        <v>0</v>
      </c>
    </row>
    <row r="16" spans="1:10">
      <c r="A16" t="s">
        <v>1121</v>
      </c>
      <c r="B16" s="49">
        <v>1.0299799999999999</v>
      </c>
      <c r="C16" s="49">
        <v>0</v>
      </c>
      <c r="D16" s="49">
        <v>0</v>
      </c>
      <c r="E16" s="49">
        <v>0</v>
      </c>
      <c r="F16" s="49">
        <v>0</v>
      </c>
      <c r="G16" s="49">
        <v>0</v>
      </c>
      <c r="H16" s="49">
        <v>0</v>
      </c>
    </row>
    <row r="17" spans="1:8">
      <c r="A17" t="s">
        <v>1122</v>
      </c>
      <c r="B17" s="49">
        <v>44.481000000000002</v>
      </c>
      <c r="C17" s="49">
        <v>0</v>
      </c>
      <c r="D17" s="49">
        <v>0</v>
      </c>
      <c r="E17" s="49">
        <v>0</v>
      </c>
      <c r="F17" s="49">
        <v>0</v>
      </c>
      <c r="G17" s="49">
        <v>0</v>
      </c>
      <c r="H17" s="49">
        <v>0</v>
      </c>
    </row>
    <row r="18" spans="1:8">
      <c r="A18" t="s">
        <v>1123</v>
      </c>
      <c r="B18" s="49">
        <v>0.851657</v>
      </c>
      <c r="C18" s="49">
        <v>0</v>
      </c>
      <c r="D18" s="49">
        <v>0</v>
      </c>
      <c r="E18" s="49">
        <v>0</v>
      </c>
      <c r="F18" s="49">
        <v>0</v>
      </c>
      <c r="G18" s="49">
        <v>0</v>
      </c>
      <c r="H18" s="49">
        <v>0</v>
      </c>
    </row>
    <row r="19" spans="1:8">
      <c r="A19" t="s">
        <v>1124</v>
      </c>
      <c r="B19" s="49">
        <v>0.78376599999999996</v>
      </c>
      <c r="C19" s="49">
        <v>0</v>
      </c>
      <c r="D19" s="49">
        <v>0</v>
      </c>
      <c r="E19" s="49">
        <v>0</v>
      </c>
      <c r="F19" s="49">
        <v>0</v>
      </c>
      <c r="G19" s="49">
        <v>0</v>
      </c>
      <c r="H19" s="49">
        <v>0</v>
      </c>
    </row>
    <row r="20" spans="1:8">
      <c r="A20" t="s">
        <v>1125</v>
      </c>
      <c r="B20" s="49">
        <v>0.24764800000000001</v>
      </c>
      <c r="C20" s="49">
        <v>1.07369</v>
      </c>
      <c r="D20" s="49">
        <v>4.3355399999999999</v>
      </c>
      <c r="E20" s="49">
        <v>0</v>
      </c>
      <c r="F20" s="49">
        <v>0</v>
      </c>
      <c r="G20" s="49">
        <v>0</v>
      </c>
      <c r="H20" s="49">
        <v>8.7673699999999997</v>
      </c>
    </row>
    <row r="21" spans="1:8">
      <c r="A21" t="s">
        <v>1126</v>
      </c>
      <c r="B21" s="49">
        <v>2.0763400000000001</v>
      </c>
      <c r="C21" s="49">
        <v>4.3259100000000004</v>
      </c>
      <c r="D21" s="49">
        <v>2.0834199999999998</v>
      </c>
      <c r="E21" s="49">
        <v>0</v>
      </c>
      <c r="F21" s="49">
        <v>0</v>
      </c>
      <c r="G21" s="49">
        <v>0</v>
      </c>
      <c r="H21" s="49">
        <v>25.167300000000001</v>
      </c>
    </row>
    <row r="22" spans="1:8">
      <c r="A22" t="s">
        <v>1127</v>
      </c>
      <c r="B22" s="49">
        <v>98.705299999999994</v>
      </c>
      <c r="C22" s="49">
        <v>47.918100000000003</v>
      </c>
      <c r="D22" s="49">
        <v>0.48546600000000001</v>
      </c>
      <c r="E22" s="49">
        <v>0</v>
      </c>
      <c r="F22" s="49">
        <v>0</v>
      </c>
      <c r="G22" s="49">
        <v>0</v>
      </c>
      <c r="H22" s="49">
        <v>199.226</v>
      </c>
    </row>
    <row r="23" spans="1:8">
      <c r="A23" t="s">
        <v>1128</v>
      </c>
      <c r="B23" s="49">
        <v>30.236899999999999</v>
      </c>
      <c r="C23" s="49">
        <v>15.1793</v>
      </c>
      <c r="D23" s="49">
        <v>0.50201399999999996</v>
      </c>
      <c r="E23" s="49">
        <v>0</v>
      </c>
      <c r="F23" s="49">
        <v>0</v>
      </c>
      <c r="G23" s="49">
        <v>0</v>
      </c>
      <c r="H23" s="49">
        <v>64.926299999999998</v>
      </c>
    </row>
    <row r="24" spans="1:8">
      <c r="A24" t="s">
        <v>1129</v>
      </c>
      <c r="B24" s="49">
        <v>0.268544</v>
      </c>
      <c r="C24" s="49">
        <v>0.84349300000000005</v>
      </c>
      <c r="D24" s="49">
        <v>3.1409899999999999</v>
      </c>
      <c r="E24" s="49">
        <v>0</v>
      </c>
      <c r="F24" s="49">
        <v>0</v>
      </c>
      <c r="G24" s="49">
        <v>0</v>
      </c>
      <c r="H24" s="49">
        <v>5.2628899999999996</v>
      </c>
    </row>
    <row r="25" spans="1:8">
      <c r="A25" t="s">
        <v>1130</v>
      </c>
      <c r="B25" s="49">
        <v>3.1162899999999998</v>
      </c>
      <c r="C25" s="49">
        <v>2.2964000000000002</v>
      </c>
      <c r="D25" s="49">
        <v>0.73690100000000003</v>
      </c>
      <c r="E25" s="49">
        <v>0</v>
      </c>
      <c r="F25" s="49">
        <v>0</v>
      </c>
      <c r="G25" s="49">
        <v>0</v>
      </c>
      <c r="H25" s="49">
        <v>8.6182300000000005</v>
      </c>
    </row>
    <row r="26" spans="1:8">
      <c r="A26" t="s">
        <v>1131</v>
      </c>
      <c r="B26" s="49">
        <v>2.2152100000000001E-2</v>
      </c>
      <c r="C26" s="49">
        <v>4.6121099999999998E-2</v>
      </c>
      <c r="D26" s="49">
        <v>2.08202</v>
      </c>
      <c r="E26" s="49">
        <v>0</v>
      </c>
      <c r="F26" s="173">
        <v>0</v>
      </c>
      <c r="G26" s="49">
        <v>0</v>
      </c>
      <c r="H26" s="49">
        <v>0.32706099999999999</v>
      </c>
    </row>
    <row r="27" spans="1:8">
      <c r="A27" t="s">
        <v>1132</v>
      </c>
      <c r="B27" s="49">
        <v>1.5494200000000001E-4</v>
      </c>
      <c r="C27" s="49">
        <v>1.5650500000000001E-2</v>
      </c>
      <c r="D27" s="49">
        <v>101.009</v>
      </c>
      <c r="E27" s="49">
        <v>0</v>
      </c>
      <c r="F27" s="49">
        <v>-0.18620800000000001</v>
      </c>
      <c r="G27" s="49">
        <v>0</v>
      </c>
      <c r="H27" s="49">
        <v>0.105725</v>
      </c>
    </row>
    <row r="28" spans="1:8">
      <c r="A28" t="s">
        <v>1133</v>
      </c>
      <c r="B28" s="49">
        <v>9.1247300000000003E-2</v>
      </c>
      <c r="C28" s="49">
        <v>9.4761999999999999E-2</v>
      </c>
      <c r="D28" s="49">
        <v>1.0385200000000001</v>
      </c>
      <c r="E28" s="49">
        <v>0</v>
      </c>
      <c r="F28" s="49">
        <v>0</v>
      </c>
      <c r="G28" s="49">
        <v>0</v>
      </c>
      <c r="H28" s="49">
        <v>0.54126399999999997</v>
      </c>
    </row>
    <row r="29" spans="1:8">
      <c r="A29" t="s">
        <v>1134</v>
      </c>
      <c r="B29" s="49">
        <v>73.7911</v>
      </c>
      <c r="C29" s="49">
        <v>15.597099999999999</v>
      </c>
      <c r="D29" s="49">
        <v>0.211368</v>
      </c>
      <c r="E29" s="49">
        <v>0</v>
      </c>
      <c r="F29" s="49">
        <v>0</v>
      </c>
      <c r="G29" s="49">
        <v>0</v>
      </c>
      <c r="H29" s="49">
        <v>94.409099999999995</v>
      </c>
    </row>
    <row r="30" spans="1:8">
      <c r="A30" t="s">
        <v>1135</v>
      </c>
      <c r="B30" s="49">
        <v>11.9734</v>
      </c>
      <c r="C30" s="49">
        <v>8.5954200000000007</v>
      </c>
      <c r="D30" s="49">
        <v>0.71787500000000004</v>
      </c>
      <c r="E30" s="49">
        <v>0</v>
      </c>
      <c r="F30" s="49">
        <v>0</v>
      </c>
      <c r="G30" s="49">
        <v>0</v>
      </c>
      <c r="H30" s="49">
        <v>37.452300000000001</v>
      </c>
    </row>
    <row r="31" spans="1:8">
      <c r="A31" t="s">
        <v>1136</v>
      </c>
      <c r="B31" s="49">
        <v>174.64699999999999</v>
      </c>
      <c r="C31" s="49">
        <v>75.804599999999994</v>
      </c>
      <c r="D31" s="49">
        <v>0.43404399999999999</v>
      </c>
      <c r="E31" s="49">
        <v>0</v>
      </c>
      <c r="F31" s="49">
        <v>0</v>
      </c>
      <c r="G31" s="49">
        <v>0</v>
      </c>
      <c r="H31" s="49">
        <v>306.79899999999998</v>
      </c>
    </row>
    <row r="32" spans="1:8">
      <c r="A32" t="s">
        <v>1137</v>
      </c>
      <c r="B32" s="49">
        <v>0.12745999999999999</v>
      </c>
      <c r="C32" s="49">
        <v>4.1488799999999999E-2</v>
      </c>
      <c r="D32" s="49">
        <v>0.32550499999999999</v>
      </c>
      <c r="E32" s="49">
        <v>0.15</v>
      </c>
      <c r="F32" s="49">
        <v>0</v>
      </c>
      <c r="G32" s="49">
        <v>0.4</v>
      </c>
      <c r="H32" s="49">
        <v>0.36225499999999999</v>
      </c>
    </row>
    <row r="33" spans="1:8">
      <c r="A33" t="s">
        <v>1138</v>
      </c>
      <c r="B33" s="49">
        <v>0.221827</v>
      </c>
      <c r="C33" s="49">
        <v>5.9169899999999997E-2</v>
      </c>
      <c r="D33" s="49">
        <v>0.26673799999999998</v>
      </c>
      <c r="E33" s="49">
        <v>0</v>
      </c>
      <c r="F33" s="49">
        <v>0</v>
      </c>
      <c r="G33" s="49">
        <v>0</v>
      </c>
      <c r="H33" s="49">
        <v>0.5</v>
      </c>
    </row>
    <row r="34" spans="1:8">
      <c r="A34" t="s">
        <v>1139</v>
      </c>
      <c r="B34" s="49">
        <v>0.26158300000000001</v>
      </c>
      <c r="C34" s="49">
        <v>7.7948600000000007E-2</v>
      </c>
      <c r="D34" s="49">
        <v>0.29798799999999998</v>
      </c>
      <c r="E34" s="49">
        <v>0.1</v>
      </c>
      <c r="F34" s="49">
        <v>0</v>
      </c>
      <c r="G34" s="49">
        <v>0.25</v>
      </c>
      <c r="H34" s="49">
        <v>0.34614899999999998</v>
      </c>
    </row>
    <row r="35" spans="1:8">
      <c r="A35" t="s">
        <v>1140</v>
      </c>
      <c r="B35" s="49">
        <v>0.11156099999999999</v>
      </c>
      <c r="C35" s="49">
        <v>3.1493500000000001E-2</v>
      </c>
      <c r="D35" s="49">
        <v>0.28229799999999999</v>
      </c>
      <c r="E35" s="49">
        <v>0</v>
      </c>
      <c r="F35" s="49">
        <v>0</v>
      </c>
      <c r="G35" s="49">
        <v>0</v>
      </c>
      <c r="H35" s="49">
        <v>0.15575800000000001</v>
      </c>
    </row>
    <row r="36" spans="1:8">
      <c r="A36" t="s">
        <v>1141</v>
      </c>
      <c r="B36" s="49">
        <v>0.25958599999999998</v>
      </c>
      <c r="C36" s="49">
        <v>0.13503699999999999</v>
      </c>
      <c r="D36" s="49">
        <v>0.52020299999999997</v>
      </c>
      <c r="E36" s="49">
        <v>0</v>
      </c>
      <c r="F36" s="49">
        <v>0</v>
      </c>
      <c r="G36" s="49">
        <v>0</v>
      </c>
      <c r="H36" s="49">
        <v>0.50513200000000003</v>
      </c>
    </row>
    <row r="37" spans="1:8">
      <c r="A37" t="s">
        <v>1142</v>
      </c>
      <c r="B37" s="49">
        <v>0.77948600000000001</v>
      </c>
      <c r="C37" s="49">
        <v>0.31131799999999998</v>
      </c>
      <c r="D37" s="49">
        <v>0.39938800000000002</v>
      </c>
      <c r="E37" s="49">
        <v>0.1</v>
      </c>
      <c r="F37" s="49">
        <v>0</v>
      </c>
      <c r="G37" s="49">
        <v>0.5</v>
      </c>
      <c r="H37" s="49">
        <v>1.08535</v>
      </c>
    </row>
    <row r="38" spans="1:8">
      <c r="A38" t="s">
        <v>1143</v>
      </c>
      <c r="B38" s="49">
        <v>-87.806700000000006</v>
      </c>
      <c r="C38" s="49">
        <v>342.63900000000001</v>
      </c>
      <c r="D38" s="49">
        <v>-3.9022000000000001</v>
      </c>
      <c r="E38" s="49">
        <v>0</v>
      </c>
      <c r="F38" s="49">
        <v>-1058.02</v>
      </c>
      <c r="G38" s="49">
        <v>0</v>
      </c>
      <c r="H38" s="49">
        <v>686.38099999999997</v>
      </c>
    </row>
    <row r="39" spans="1:8">
      <c r="A39" t="s">
        <v>1144</v>
      </c>
      <c r="B39" s="49">
        <v>-66.732200000000006</v>
      </c>
      <c r="C39" s="49">
        <v>64.944100000000006</v>
      </c>
      <c r="D39" s="49">
        <v>-0.97320399999999996</v>
      </c>
      <c r="E39" s="49">
        <v>0</v>
      </c>
      <c r="F39" s="49">
        <v>-208.46</v>
      </c>
      <c r="G39" s="49">
        <v>0</v>
      </c>
      <c r="H39" s="49">
        <v>88.364000000000004</v>
      </c>
    </row>
    <row r="40" spans="1:8">
      <c r="A40" t="s">
        <v>1145</v>
      </c>
      <c r="B40" s="49">
        <v>-21.3752</v>
      </c>
      <c r="C40" s="49">
        <v>8.8173700000000004</v>
      </c>
      <c r="D40" s="49">
        <v>-0.41250500000000001</v>
      </c>
      <c r="E40" s="49">
        <v>0</v>
      </c>
      <c r="F40" s="49">
        <v>-37.326000000000001</v>
      </c>
      <c r="G40" s="49">
        <v>0</v>
      </c>
      <c r="H40" s="49">
        <v>0</v>
      </c>
    </row>
    <row r="41" spans="1:8">
      <c r="A41" t="s">
        <v>1146</v>
      </c>
      <c r="B41" s="49">
        <v>-0.17319399999999999</v>
      </c>
      <c r="C41" s="49">
        <v>0.60471200000000003</v>
      </c>
      <c r="D41" s="49">
        <v>-3.49153</v>
      </c>
      <c r="E41" s="49">
        <v>0</v>
      </c>
      <c r="F41" s="49">
        <v>-1</v>
      </c>
      <c r="G41" s="49">
        <v>0</v>
      </c>
      <c r="H41" s="49">
        <v>0.99507800000000002</v>
      </c>
    </row>
    <row r="42" spans="1:8">
      <c r="A42" t="s">
        <v>1147</v>
      </c>
      <c r="B42" s="49">
        <v>-0.35253899999999999</v>
      </c>
      <c r="C42" s="49">
        <v>0.28920600000000002</v>
      </c>
      <c r="D42" s="49">
        <v>-0.82035199999999997</v>
      </c>
      <c r="E42" s="49">
        <v>0</v>
      </c>
      <c r="F42" s="49">
        <v>-0.75287499999999996</v>
      </c>
      <c r="G42" s="49">
        <v>0</v>
      </c>
      <c r="H42" s="49">
        <v>0.56315400000000004</v>
      </c>
    </row>
    <row r="43" spans="1:8">
      <c r="A43" t="s">
        <v>1148</v>
      </c>
      <c r="B43" s="49">
        <v>-0.34373700000000001</v>
      </c>
      <c r="C43" s="49">
        <v>0.16447800000000001</v>
      </c>
      <c r="D43" s="49">
        <v>-0.47849900000000001</v>
      </c>
      <c r="E43" s="49">
        <v>0</v>
      </c>
      <c r="F43" s="49">
        <v>-0.95471700000000004</v>
      </c>
      <c r="G43" s="49">
        <v>0</v>
      </c>
      <c r="H43" s="49">
        <v>0</v>
      </c>
    </row>
    <row r="44" spans="1:8">
      <c r="A44" t="s">
        <v>1149</v>
      </c>
      <c r="B44" s="49">
        <v>-61.566299999999998</v>
      </c>
      <c r="C44" s="49">
        <v>26.493600000000001</v>
      </c>
      <c r="D44" s="49">
        <v>-0.43032599999999999</v>
      </c>
      <c r="E44" s="49">
        <v>0</v>
      </c>
      <c r="F44" s="49">
        <v>-88.230400000000003</v>
      </c>
      <c r="G44" s="49">
        <v>0</v>
      </c>
      <c r="H44" s="49">
        <v>0</v>
      </c>
    </row>
    <row r="45" spans="1:8">
      <c r="A45" t="s">
        <v>1150</v>
      </c>
      <c r="B45" s="49">
        <v>45.703699999999998</v>
      </c>
      <c r="C45" s="49">
        <v>16.3735</v>
      </c>
      <c r="D45" s="49">
        <v>0.35825299999999999</v>
      </c>
      <c r="E45" s="49">
        <v>0</v>
      </c>
      <c r="F45" s="49">
        <v>0</v>
      </c>
      <c r="G45" s="49">
        <v>0</v>
      </c>
      <c r="H45" s="49">
        <v>78.218199999999996</v>
      </c>
    </row>
    <row r="46" spans="1:8">
      <c r="A46" t="s">
        <v>1151</v>
      </c>
      <c r="B46" s="49">
        <v>14.2346</v>
      </c>
      <c r="C46" s="49">
        <v>11.434699999999999</v>
      </c>
      <c r="D46" s="49">
        <v>0.80330400000000002</v>
      </c>
      <c r="E46" s="49">
        <v>0</v>
      </c>
      <c r="F46" s="49">
        <v>0</v>
      </c>
      <c r="G46" s="49">
        <v>0</v>
      </c>
      <c r="H46" s="49">
        <v>45.0901</v>
      </c>
    </row>
    <row r="47" spans="1:8">
      <c r="A47" t="s">
        <v>1152</v>
      </c>
      <c r="B47" s="49">
        <v>2.12636</v>
      </c>
      <c r="C47" s="49">
        <v>4.40639</v>
      </c>
      <c r="D47" s="49">
        <v>2.07226</v>
      </c>
      <c r="E47" s="49">
        <v>0</v>
      </c>
      <c r="F47" s="49">
        <v>0</v>
      </c>
      <c r="G47" s="49">
        <v>0</v>
      </c>
      <c r="H47" s="49">
        <v>24.002800000000001</v>
      </c>
    </row>
    <row r="48" spans="1:8">
      <c r="A48" t="s">
        <v>1153</v>
      </c>
      <c r="B48" s="49">
        <v>1.2945800000000001</v>
      </c>
      <c r="C48" s="49">
        <v>4.6008800000000001</v>
      </c>
      <c r="D48" s="49">
        <v>3.5539499999999999</v>
      </c>
      <c r="E48" s="49">
        <v>0</v>
      </c>
      <c r="F48" s="49">
        <v>0</v>
      </c>
      <c r="G48" s="49">
        <v>0</v>
      </c>
      <c r="H48" s="49">
        <v>23.999600000000001</v>
      </c>
    </row>
    <row r="50" spans="1:4">
      <c r="A50" t="str">
        <f>lang!B7</f>
        <v>긍정감정</v>
      </c>
      <c r="B50" s="134">
        <f>SUM(B9:B12)</f>
        <v>149.32012</v>
      </c>
      <c r="C50" s="134"/>
      <c r="D50" s="134">
        <f t="shared" ref="D50" si="0">SUM(D9:D12)</f>
        <v>166.50300000000001</v>
      </c>
    </row>
    <row r="51" spans="1:4">
      <c r="A51" t="str">
        <f>lang!B8</f>
        <v>부정감정</v>
      </c>
      <c r="B51" s="134">
        <f>SUM(B5:B8)</f>
        <v>83.248000000000005</v>
      </c>
      <c r="C51" s="134"/>
      <c r="D51" s="134">
        <f t="shared" ref="D51" si="1">SUM(D5:D8)</f>
        <v>208.56889999999999</v>
      </c>
    </row>
    <row r="52" spans="1:4">
      <c r="A52" t="str">
        <f>lang!B9</f>
        <v>생리감정</v>
      </c>
      <c r="B52" s="134">
        <f>SUM(B13:B14)</f>
        <v>104.1069</v>
      </c>
      <c r="C52" s="134"/>
      <c r="D52" s="134">
        <f t="shared" ref="D52" si="2">SUM(D13:D14)</f>
        <v>69.7376</v>
      </c>
    </row>
    <row r="53" spans="1:4">
      <c r="B53" s="50">
        <f>SUM(B50:B52)</f>
        <v>336.67502000000002</v>
      </c>
      <c r="D53" s="50">
        <f>SUM(D50:D52)</f>
        <v>444.80950000000001</v>
      </c>
    </row>
    <row r="54" spans="1:4">
      <c r="A54" t="str">
        <f>lang!B7</f>
        <v>긍정감정</v>
      </c>
      <c r="B54" s="135">
        <f>IF(B$53&lt;&gt;0,B50/B$53,0)</f>
        <v>0.44351410449162515</v>
      </c>
      <c r="C54" s="135"/>
      <c r="D54" s="135">
        <f>IF(D$53&lt;&gt;0,D50/D$53,0)</f>
        <v>0.37432428938680495</v>
      </c>
    </row>
    <row r="55" spans="1:4">
      <c r="A55" t="str">
        <f>lang!B8</f>
        <v>부정감정</v>
      </c>
      <c r="B55" s="135">
        <f>IF(B$53&lt;&gt;0,B51/B$53,0)</f>
        <v>0.2472651520151391</v>
      </c>
      <c r="C55" s="135"/>
      <c r="D55" s="135">
        <f>IF(D$53&lt;&gt;0,D51/D$53,0)</f>
        <v>0.46889488646263172</v>
      </c>
    </row>
    <row r="56" spans="1:4">
      <c r="A56" t="str">
        <f>lang!B9</f>
        <v>생리감정</v>
      </c>
      <c r="B56" s="135">
        <f>IF(B$53&lt;&gt;0,B52/B$53,0)</f>
        <v>0.30922074349323569</v>
      </c>
      <c r="C56" s="135"/>
      <c r="D56" s="135">
        <f>IF(D$53&lt;&gt;0,D52/D$53,0)</f>
        <v>0.15678082415056332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29.2196</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0.908497</v>
      </c>
      <c r="B8" s="49">
        <v>0.908497</v>
      </c>
    </row>
    <row r="9" spans="1:3">
      <c r="A9" s="49">
        <v>0</v>
      </c>
      <c r="B9" s="49">
        <v>0</v>
      </c>
    </row>
    <row r="10" spans="1:3">
      <c r="A10" s="49">
        <v>9.3751599999999993</v>
      </c>
      <c r="B10" s="49">
        <v>9.3751599999999993</v>
      </c>
    </row>
    <row r="11" spans="1:3">
      <c r="A11" s="49">
        <v>0</v>
      </c>
      <c r="B11" s="49">
        <v>0</v>
      </c>
    </row>
    <row r="12" spans="1:3">
      <c r="A12" s="49">
        <v>0</v>
      </c>
      <c r="B12" s="49">
        <v>0</v>
      </c>
    </row>
    <row r="13" spans="1:3">
      <c r="A13" s="49">
        <v>5.6339899999999998</v>
      </c>
      <c r="B13" s="49">
        <v>5.6339899999999998</v>
      </c>
    </row>
    <row r="14" spans="1:3">
      <c r="A14" s="49">
        <v>0</v>
      </c>
      <c r="B14" s="49">
        <v>0</v>
      </c>
    </row>
    <row r="15" spans="1:3">
      <c r="A15" s="49">
        <v>1.48105</v>
      </c>
      <c r="B15" s="49">
        <v>1.48105</v>
      </c>
    </row>
    <row r="16" spans="1:3">
      <c r="A16" s="49">
        <v>0</v>
      </c>
      <c r="B16" s="49">
        <v>0</v>
      </c>
    </row>
    <row r="17" spans="1:2">
      <c r="A17" s="49">
        <v>0</v>
      </c>
      <c r="B17" s="49">
        <v>0</v>
      </c>
    </row>
    <row r="18" spans="1:2">
      <c r="A18" s="49">
        <v>0.88627500000000003</v>
      </c>
      <c r="B18" s="49">
        <v>0.88627500000000003</v>
      </c>
    </row>
    <row r="19" spans="1:2">
      <c r="A19" s="49">
        <v>0</v>
      </c>
      <c r="B19" s="49">
        <v>0</v>
      </c>
    </row>
    <row r="20" spans="1:2">
      <c r="A20" s="49">
        <v>0</v>
      </c>
      <c r="B20" s="49">
        <v>0</v>
      </c>
    </row>
    <row r="21" spans="1:2">
      <c r="A21" s="49">
        <v>0.99607800000000002</v>
      </c>
      <c r="B21" s="49">
        <v>0.99607800000000002</v>
      </c>
    </row>
    <row r="22" spans="1:2">
      <c r="A22" s="49">
        <v>0</v>
      </c>
      <c r="B22" s="49">
        <v>0</v>
      </c>
    </row>
    <row r="23" spans="1:2">
      <c r="A23" s="49">
        <v>2.0313699999999999</v>
      </c>
      <c r="B23" s="49">
        <v>2.0313699999999999</v>
      </c>
    </row>
    <row r="24" spans="1:2">
      <c r="A24" s="49">
        <v>0</v>
      </c>
      <c r="B24" s="49">
        <v>0</v>
      </c>
    </row>
    <row r="25" spans="1:2">
      <c r="A25" s="49">
        <v>0</v>
      </c>
      <c r="B25" s="49">
        <v>0</v>
      </c>
    </row>
    <row r="26" spans="1:2">
      <c r="A26" s="49">
        <v>3.7032699999999998</v>
      </c>
      <c r="B26" s="49">
        <v>3.7032699999999998</v>
      </c>
    </row>
    <row r="27" spans="1:2">
      <c r="A27" s="49">
        <v>0</v>
      </c>
      <c r="B27" s="49">
        <v>0</v>
      </c>
    </row>
    <row r="28" spans="1:2">
      <c r="A28" s="49">
        <v>6.92157</v>
      </c>
      <c r="B28" s="49">
        <v>6.92157</v>
      </c>
    </row>
    <row r="29" spans="1:2">
      <c r="A29" s="49">
        <v>0</v>
      </c>
      <c r="B29" s="49">
        <v>0</v>
      </c>
    </row>
    <row r="30" spans="1:2">
      <c r="A30" s="49">
        <v>0</v>
      </c>
      <c r="B30" s="49">
        <v>0</v>
      </c>
    </row>
    <row r="31" spans="1:2">
      <c r="A31" s="49">
        <v>10.4719</v>
      </c>
      <c r="B31" s="49">
        <v>10.4719</v>
      </c>
    </row>
    <row r="32" spans="1:2">
      <c r="A32" s="49">
        <v>0</v>
      </c>
      <c r="B32" s="49">
        <v>0</v>
      </c>
    </row>
    <row r="33" spans="1:2">
      <c r="A33" s="49">
        <v>13.3085</v>
      </c>
      <c r="B33" s="49">
        <v>13.3085</v>
      </c>
    </row>
    <row r="34" spans="1:2">
      <c r="A34" s="49">
        <v>0</v>
      </c>
      <c r="B34" s="49">
        <v>0</v>
      </c>
    </row>
    <row r="35" spans="1:2">
      <c r="A35" s="49">
        <v>0</v>
      </c>
      <c r="B35" s="49">
        <v>0</v>
      </c>
    </row>
    <row r="36" spans="1:2">
      <c r="A36" s="49">
        <v>13.102</v>
      </c>
      <c r="B36" s="49">
        <v>13.102</v>
      </c>
    </row>
    <row r="37" spans="1:2">
      <c r="A37" s="49">
        <v>0</v>
      </c>
      <c r="B37" s="49">
        <v>0</v>
      </c>
    </row>
    <row r="38" spans="1:2">
      <c r="A38" s="49">
        <v>0</v>
      </c>
      <c r="B38" s="49">
        <v>0</v>
      </c>
    </row>
    <row r="39" spans="1:2">
      <c r="A39" s="49">
        <v>12.594799999999999</v>
      </c>
      <c r="B39" s="49">
        <v>12.594799999999999</v>
      </c>
    </row>
    <row r="40" spans="1:2">
      <c r="A40" s="49">
        <v>0</v>
      </c>
      <c r="B40" s="49">
        <v>0</v>
      </c>
    </row>
    <row r="41" spans="1:2">
      <c r="A41" s="49">
        <v>13.319000000000001</v>
      </c>
      <c r="B41" s="49">
        <v>13.319000000000001</v>
      </c>
    </row>
    <row r="42" spans="1:2">
      <c r="A42" s="49">
        <v>0</v>
      </c>
      <c r="B42" s="49">
        <v>0</v>
      </c>
    </row>
    <row r="43" spans="1:2">
      <c r="A43" s="49">
        <v>0</v>
      </c>
      <c r="B43" s="49">
        <v>0</v>
      </c>
    </row>
    <row r="44" spans="1:2">
      <c r="A44" s="49">
        <v>19.640499999999999</v>
      </c>
      <c r="B44" s="49">
        <v>19.640499999999999</v>
      </c>
    </row>
    <row r="45" spans="1:2">
      <c r="A45" s="49">
        <v>0</v>
      </c>
      <c r="B45" s="49">
        <v>0</v>
      </c>
    </row>
    <row r="46" spans="1:2">
      <c r="A46" s="49">
        <v>23.139900000000001</v>
      </c>
      <c r="B46" s="49">
        <v>23.139900000000001</v>
      </c>
    </row>
    <row r="47" spans="1:2">
      <c r="A47" s="49">
        <v>0</v>
      </c>
      <c r="B47" s="49">
        <v>0</v>
      </c>
    </row>
    <row r="48" spans="1:2">
      <c r="A48" s="49">
        <v>0</v>
      </c>
      <c r="B48" s="49">
        <v>0</v>
      </c>
    </row>
    <row r="49" spans="1:2">
      <c r="A49" s="49">
        <v>29.2196</v>
      </c>
      <c r="B49" s="49">
        <v>29.2196</v>
      </c>
    </row>
    <row r="50" spans="1:2">
      <c r="A50" s="49">
        <v>0</v>
      </c>
      <c r="B50" s="49">
        <v>0</v>
      </c>
    </row>
    <row r="51" spans="1:2">
      <c r="A51" s="49">
        <v>27.809200000000001</v>
      </c>
      <c r="B51" s="49">
        <v>27.809200000000001</v>
      </c>
    </row>
    <row r="52" spans="1:2">
      <c r="A52" s="49">
        <v>0</v>
      </c>
      <c r="B52" s="49">
        <v>0</v>
      </c>
    </row>
    <row r="53" spans="1:2">
      <c r="A53" s="49">
        <v>0</v>
      </c>
      <c r="B53" s="49">
        <v>0</v>
      </c>
    </row>
    <row r="54" spans="1:2">
      <c r="A54" s="49">
        <v>27.423500000000001</v>
      </c>
      <c r="B54" s="49">
        <v>27.423500000000001</v>
      </c>
    </row>
    <row r="55" spans="1:2">
      <c r="A55" s="49">
        <v>0</v>
      </c>
      <c r="B55" s="49">
        <v>0</v>
      </c>
    </row>
    <row r="56" spans="1:2">
      <c r="A56" s="49">
        <v>0</v>
      </c>
      <c r="B56" s="49">
        <v>0</v>
      </c>
    </row>
    <row r="57" spans="1:2">
      <c r="A57" s="49">
        <v>24.350300000000001</v>
      </c>
      <c r="B57" s="49">
        <v>24.350300000000001</v>
      </c>
    </row>
    <row r="58" spans="1:2">
      <c r="A58" s="49">
        <v>0</v>
      </c>
      <c r="B58" s="49">
        <v>0</v>
      </c>
    </row>
    <row r="59" spans="1:2">
      <c r="A59" s="49">
        <v>21.775200000000002</v>
      </c>
      <c r="B59" s="49">
        <v>21.775200000000002</v>
      </c>
    </row>
    <row r="60" spans="1:2">
      <c r="A60" s="49">
        <v>0</v>
      </c>
      <c r="B60" s="49">
        <v>0</v>
      </c>
    </row>
    <row r="61" spans="1:2">
      <c r="A61" s="49">
        <v>0</v>
      </c>
      <c r="B61" s="49">
        <v>0</v>
      </c>
    </row>
    <row r="62" spans="1:2">
      <c r="A62" s="49">
        <v>16.700700000000001</v>
      </c>
      <c r="B62" s="49">
        <v>16.700700000000001</v>
      </c>
    </row>
    <row r="63" spans="1:2">
      <c r="A63" s="49">
        <v>0</v>
      </c>
      <c r="B63" s="49">
        <v>0</v>
      </c>
    </row>
    <row r="64" spans="1:2">
      <c r="A64" s="49">
        <v>12.1137</v>
      </c>
      <c r="B64" s="49">
        <v>12.1137</v>
      </c>
    </row>
    <row r="65" spans="1:2">
      <c r="A65" s="49">
        <v>0</v>
      </c>
      <c r="B65" s="49">
        <v>0</v>
      </c>
    </row>
    <row r="66" spans="1:2">
      <c r="A66" s="49">
        <v>0</v>
      </c>
      <c r="B66" s="49">
        <v>0</v>
      </c>
    </row>
    <row r="67" spans="1:2">
      <c r="A67" s="49">
        <v>5.95817</v>
      </c>
      <c r="B67" s="49">
        <v>5.95817</v>
      </c>
    </row>
    <row r="68" spans="1:2">
      <c r="A68" s="49">
        <v>0</v>
      </c>
      <c r="B68" s="49">
        <v>0</v>
      </c>
    </row>
    <row r="69" spans="1:2">
      <c r="A69" s="49">
        <v>4.2666700000000004</v>
      </c>
      <c r="B69" s="49">
        <v>4.2666700000000004</v>
      </c>
    </row>
    <row r="70" spans="1:2">
      <c r="A70" s="49">
        <v>0</v>
      </c>
      <c r="B70" s="49">
        <v>0</v>
      </c>
    </row>
    <row r="71" spans="1:2">
      <c r="A71" s="49">
        <v>0</v>
      </c>
      <c r="B71" s="49">
        <v>0</v>
      </c>
    </row>
    <row r="72" spans="1:2">
      <c r="A72" s="49">
        <v>3.2745099999999998</v>
      </c>
      <c r="B72" s="49">
        <v>3.2745099999999998</v>
      </c>
    </row>
    <row r="73" spans="1:2">
      <c r="A73" s="49">
        <v>0</v>
      </c>
      <c r="B73" s="49">
        <v>0</v>
      </c>
    </row>
    <row r="74" spans="1:2">
      <c r="A74" s="49">
        <v>0</v>
      </c>
      <c r="B74" s="49">
        <v>0</v>
      </c>
    </row>
    <row r="75" spans="1:2">
      <c r="A75" s="49">
        <v>2.9751599999999998</v>
      </c>
      <c r="B75" s="49">
        <v>2.9751599999999998</v>
      </c>
    </row>
    <row r="76" spans="1:2">
      <c r="A76" s="49">
        <v>0</v>
      </c>
      <c r="B76" s="49">
        <v>0</v>
      </c>
    </row>
    <row r="77" spans="1:2">
      <c r="A77" s="49">
        <v>1.43137</v>
      </c>
      <c r="B77" s="49">
        <v>1.43137</v>
      </c>
    </row>
    <row r="78" spans="1:2">
      <c r="A78" s="49">
        <v>0</v>
      </c>
      <c r="B78" s="49">
        <v>0</v>
      </c>
    </row>
    <row r="79" spans="1:2">
      <c r="A79" s="49">
        <v>0</v>
      </c>
      <c r="B79" s="49">
        <v>0</v>
      </c>
    </row>
    <row r="80" spans="1:2">
      <c r="A80" s="49">
        <v>0.920261</v>
      </c>
      <c r="B80" s="49">
        <v>0.920261</v>
      </c>
    </row>
    <row r="81" spans="1:2">
      <c r="A81" s="49">
        <v>0</v>
      </c>
      <c r="B81" s="49">
        <v>0</v>
      </c>
    </row>
    <row r="82" spans="1:2">
      <c r="A82" s="49">
        <v>0.169935</v>
      </c>
      <c r="B82" s="49">
        <v>0.169935</v>
      </c>
    </row>
    <row r="83" spans="1:2">
      <c r="A83" s="49">
        <v>0</v>
      </c>
      <c r="B83" s="49">
        <v>0</v>
      </c>
    </row>
    <row r="84" spans="1:2">
      <c r="A84" s="49">
        <v>0</v>
      </c>
      <c r="B84" s="49">
        <v>0</v>
      </c>
    </row>
    <row r="85" spans="1:2">
      <c r="A85" s="49">
        <v>6.7973900000000004E-2</v>
      </c>
      <c r="B85" s="49">
        <v>6.7973900000000004E-2</v>
      </c>
    </row>
    <row r="86" spans="1:2">
      <c r="A86" s="49">
        <v>0</v>
      </c>
      <c r="B86" s="49">
        <v>0</v>
      </c>
    </row>
    <row r="87" spans="1:2">
      <c r="A87" s="49">
        <v>0</v>
      </c>
      <c r="B87" s="49">
        <v>0</v>
      </c>
    </row>
    <row r="88" spans="1:2">
      <c r="A88" s="49">
        <v>0</v>
      </c>
      <c r="B88" s="49">
        <v>0</v>
      </c>
    </row>
    <row r="89" spans="1:2">
      <c r="A89" s="49">
        <v>0</v>
      </c>
      <c r="B89" s="49">
        <v>0</v>
      </c>
    </row>
    <row r="90" spans="1:2">
      <c r="A90" s="49">
        <v>0</v>
      </c>
      <c r="B90" s="49">
        <v>0</v>
      </c>
    </row>
    <row r="91" spans="1:2">
      <c r="A91" s="49">
        <v>0</v>
      </c>
      <c r="B91" s="49">
        <v>0</v>
      </c>
    </row>
    <row r="92" spans="1:2">
      <c r="A92" s="49">
        <v>0</v>
      </c>
      <c r="B92" s="49">
        <v>0</v>
      </c>
    </row>
    <row r="93" spans="1:2">
      <c r="A93" s="49">
        <v>0</v>
      </c>
      <c r="B93" s="49">
        <v>0</v>
      </c>
    </row>
    <row r="94" spans="1:2">
      <c r="A94" s="49">
        <v>0</v>
      </c>
      <c r="B94" s="49">
        <v>0</v>
      </c>
    </row>
    <row r="95" spans="1:2">
      <c r="A95" s="49">
        <v>0</v>
      </c>
      <c r="B95" s="49">
        <v>0</v>
      </c>
    </row>
    <row r="96" spans="1:2">
      <c r="A96" s="49">
        <v>0</v>
      </c>
      <c r="B96" s="49">
        <v>0</v>
      </c>
    </row>
    <row r="97" spans="1:2">
      <c r="A97" s="49">
        <v>0</v>
      </c>
      <c r="B97" s="49">
        <v>0</v>
      </c>
    </row>
    <row r="98" spans="1:2">
      <c r="A98" s="49">
        <v>0</v>
      </c>
      <c r="B98" s="49">
        <v>0</v>
      </c>
    </row>
    <row r="99" spans="1:2">
      <c r="A99" s="49">
        <v>0</v>
      </c>
      <c r="B99" s="49">
        <v>0</v>
      </c>
    </row>
    <row r="100" spans="1:2">
      <c r="A100" s="49">
        <v>0</v>
      </c>
      <c r="B100" s="49">
        <v>0</v>
      </c>
    </row>
    <row r="101" spans="1:2">
      <c r="A101" s="49">
        <v>0</v>
      </c>
      <c r="B101" s="49">
        <v>0</v>
      </c>
    </row>
    <row r="102" spans="1:2">
      <c r="A102" s="49">
        <v>0</v>
      </c>
      <c r="B102" s="49">
        <v>0</v>
      </c>
    </row>
    <row r="103" spans="1:2">
      <c r="A103" s="49">
        <v>0</v>
      </c>
      <c r="B103" s="49">
        <v>0</v>
      </c>
    </row>
    <row r="104" spans="1:2">
      <c r="A104" s="49">
        <v>0</v>
      </c>
      <c r="B104" s="49">
        <v>0</v>
      </c>
    </row>
    <row r="105" spans="1:2">
      <c r="A105" s="49">
        <v>0</v>
      </c>
      <c r="B105" s="49">
        <v>0</v>
      </c>
    </row>
    <row r="106" spans="1:2">
      <c r="A106" s="49">
        <v>0</v>
      </c>
      <c r="B106" s="49">
        <v>0</v>
      </c>
    </row>
    <row r="107" spans="1:2">
      <c r="A107" s="49">
        <v>0</v>
      </c>
      <c r="B107" s="49">
        <v>0</v>
      </c>
    </row>
    <row r="108" spans="1:2">
      <c r="A108" s="49">
        <v>0</v>
      </c>
      <c r="B108" s="49">
        <v>0</v>
      </c>
    </row>
    <row r="109" spans="1:2">
      <c r="A109" s="49">
        <v>0</v>
      </c>
      <c r="B109" s="49">
        <v>0</v>
      </c>
    </row>
    <row r="110" spans="1:2">
      <c r="A110" s="49">
        <v>0</v>
      </c>
      <c r="B110" s="49">
        <v>0</v>
      </c>
    </row>
    <row r="111" spans="1:2">
      <c r="A111" s="49">
        <v>0</v>
      </c>
      <c r="B111" s="49">
        <v>0</v>
      </c>
    </row>
    <row r="112" spans="1:2">
      <c r="A112" s="49">
        <v>0</v>
      </c>
      <c r="B112" s="49">
        <v>0</v>
      </c>
    </row>
    <row r="113" spans="1:2">
      <c r="A113" s="49">
        <v>0</v>
      </c>
      <c r="B113" s="49">
        <v>0</v>
      </c>
    </row>
    <row r="114" spans="1:2">
      <c r="A114" s="49">
        <v>0</v>
      </c>
      <c r="B114" s="49">
        <v>0</v>
      </c>
    </row>
    <row r="115" spans="1:2">
      <c r="A115" s="49">
        <v>0</v>
      </c>
      <c r="B115" s="49">
        <v>0</v>
      </c>
    </row>
    <row r="116" spans="1:2">
      <c r="A116" s="49">
        <v>0</v>
      </c>
      <c r="B116" s="49">
        <v>0</v>
      </c>
    </row>
    <row r="117" spans="1:2">
      <c r="A117" s="49">
        <v>0</v>
      </c>
      <c r="B117" s="49">
        <v>0</v>
      </c>
    </row>
    <row r="118" spans="1:2">
      <c r="A118" s="49">
        <v>0</v>
      </c>
      <c r="B118" s="49">
        <v>0</v>
      </c>
    </row>
    <row r="119" spans="1:2">
      <c r="A119" s="49">
        <v>0</v>
      </c>
      <c r="B119" s="49">
        <v>0</v>
      </c>
    </row>
    <row r="120" spans="1:2">
      <c r="A120" s="49">
        <v>0</v>
      </c>
      <c r="B120" s="49">
        <v>0</v>
      </c>
    </row>
    <row r="121" spans="1:2">
      <c r="A121" s="49">
        <v>0</v>
      </c>
      <c r="B121" s="49">
        <v>0</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0.33761799999999997</v>
      </c>
      <c r="B2" s="49">
        <v>0.113999</v>
      </c>
      <c r="C2">
        <v>0</v>
      </c>
      <c r="D2">
        <v>0</v>
      </c>
      <c r="E2" t="s">
        <v>1161</v>
      </c>
      <c r="F2" s="49">
        <f>IF(A2&lt;&gt;"",1,"")</f>
        <v>1</v>
      </c>
      <c r="G2">
        <f>IF($H8&gt;0,LOOKUP(COUNT(A2:A1000)*$H8,F2:F1000,A2:A1000),LOOKUP(1,F2:F1000,A2:A1000))</f>
        <v>0.28731400000000001</v>
      </c>
      <c r="H2">
        <f>IF($H8&gt;0,LOOKUP(COUNT(B2:B1000)*$H8,F2:F1000,B2:B1000),LOOKUP(1,F2:F1000,B2:B1000))</f>
        <v>4.9921599999999997E-2</v>
      </c>
      <c r="J2" s="49">
        <f>IF(A2&lt;&gt;"",A2*10,"")</f>
        <v>3.3761799999999997</v>
      </c>
      <c r="K2" s="49">
        <f>IF(B2&lt;&gt;"",B2*100,"")</f>
        <v>11.399900000000001</v>
      </c>
      <c r="L2" s="49">
        <f>IF(F2&lt;&gt;"",IF(K2&lt;&gt;0,K2/J2,0),"")</f>
        <v>3.376567600068717</v>
      </c>
    </row>
    <row r="3" spans="1:12">
      <c r="A3" s="49">
        <v>0.28731400000000001</v>
      </c>
      <c r="B3" s="49">
        <v>4.9921599999999997E-2</v>
      </c>
      <c r="C3">
        <v>0.37014999999999998</v>
      </c>
      <c r="D3">
        <v>0</v>
      </c>
      <c r="E3" t="s">
        <v>2560</v>
      </c>
      <c r="F3" s="49">
        <f>IF(A3&lt;&gt;"",F2+1,"")</f>
        <v>2</v>
      </c>
      <c r="G3">
        <f>IF($H9&gt;0,LOOKUP(COUNT(A2:A1000)*$H9,F2:F1000,A2:A1000),LOOKUP(1,F2:F1000,A2:A1000))</f>
        <v>0.201741</v>
      </c>
      <c r="H3">
        <f>IF($H9&gt;0,LOOKUP(COUNT(B2:B1000)*$H9,F2:F1000,B2:B1000),LOOKUP(1,F2:F1000,B2:B1000))</f>
        <v>0.74391399999999996</v>
      </c>
      <c r="J3" s="49">
        <f t="shared" ref="J3:J66" si="0">IF(A3&lt;&gt;"",A3*10,"")</f>
        <v>2.8731400000000002</v>
      </c>
      <c r="K3" s="49">
        <f t="shared" ref="K3:K66" si="1">IF(B3&lt;&gt;"",B3*100,"")</f>
        <v>4.9921599999999993</v>
      </c>
      <c r="L3" s="49">
        <f t="shared" ref="L3:L66" si="2">IF(F3&lt;&gt;"",IF(K3&lt;&gt;0,K3/J3,0),"")</f>
        <v>1.737527583062433</v>
      </c>
    </row>
    <row r="4" spans="1:12">
      <c r="A4" s="49">
        <v>0.18493000000000001</v>
      </c>
      <c r="B4" s="49">
        <v>0.13095300000000001</v>
      </c>
      <c r="C4">
        <v>0.78969699999999998</v>
      </c>
      <c r="D4">
        <v>0</v>
      </c>
      <c r="E4" t="s">
        <v>2561</v>
      </c>
      <c r="F4" s="49">
        <f t="shared" ref="F4:F67" si="3">IF(A4&lt;&gt;"",F3+1,"")</f>
        <v>3</v>
      </c>
      <c r="G4" s="71" t="s">
        <v>209</v>
      </c>
      <c r="H4" s="23">
        <f>IF(ISERROR(G3-G2)=FALSE,(G3-G2)*10,0)</f>
        <v>-0.8557300000000001</v>
      </c>
      <c r="J4" s="49">
        <f t="shared" si="0"/>
        <v>1.8493000000000002</v>
      </c>
      <c r="K4" s="49">
        <f t="shared" si="1"/>
        <v>13.095300000000002</v>
      </c>
      <c r="L4" s="49">
        <f t="shared" si="2"/>
        <v>7.0812199210512086</v>
      </c>
    </row>
    <row r="5" spans="1:12">
      <c r="A5" s="49">
        <v>8.19159E-2</v>
      </c>
      <c r="B5" s="49">
        <v>0.84729200000000005</v>
      </c>
      <c r="C5">
        <v>1.17787</v>
      </c>
      <c r="D5">
        <v>0</v>
      </c>
      <c r="E5" t="s">
        <v>2562</v>
      </c>
      <c r="F5" s="49">
        <f t="shared" si="3"/>
        <v>4</v>
      </c>
      <c r="G5" s="71" t="s">
        <v>210</v>
      </c>
      <c r="H5" s="23">
        <f>IF(ISERROR(H3-H2)=FALSE,H3-H2,0)</f>
        <v>0.69399239999999995</v>
      </c>
      <c r="J5" s="49">
        <f t="shared" si="0"/>
        <v>0.81915899999999997</v>
      </c>
      <c r="K5" s="49">
        <f t="shared" si="1"/>
        <v>84.729200000000006</v>
      </c>
      <c r="L5" s="49">
        <f t="shared" si="2"/>
        <v>103.43437598805605</v>
      </c>
    </row>
    <row r="6" spans="1:12">
      <c r="A6" s="49">
        <v>9.1969999999999996E-2</v>
      </c>
      <c r="B6" s="49">
        <v>0.84511899999999995</v>
      </c>
      <c r="C6">
        <v>1.5904799999999999</v>
      </c>
      <c r="D6">
        <v>0</v>
      </c>
      <c r="E6" t="s">
        <v>2563</v>
      </c>
      <c r="F6" s="49">
        <f t="shared" si="3"/>
        <v>5</v>
      </c>
      <c r="G6" s="71" t="s">
        <v>211</v>
      </c>
      <c r="H6" s="23">
        <f>IF(H4&lt;&gt;0,H5/H4,0)</f>
        <v>-0.81099458941488534</v>
      </c>
      <c r="J6" s="49">
        <f t="shared" si="0"/>
        <v>0.91969999999999996</v>
      </c>
      <c r="K6" s="49">
        <f t="shared" si="1"/>
        <v>84.511899999999997</v>
      </c>
      <c r="L6" s="49">
        <f t="shared" si="2"/>
        <v>91.890725236490155</v>
      </c>
    </row>
    <row r="7" spans="1:12">
      <c r="A7" s="49">
        <v>0.100329</v>
      </c>
      <c r="B7" s="49">
        <v>0.83289000000000002</v>
      </c>
      <c r="C7">
        <v>1.9999100000000001</v>
      </c>
      <c r="D7">
        <v>0</v>
      </c>
      <c r="E7" t="s">
        <v>2564</v>
      </c>
      <c r="F7" s="49">
        <f t="shared" si="3"/>
        <v>6</v>
      </c>
      <c r="G7" s="71" t="s">
        <v>212</v>
      </c>
      <c r="H7" s="23">
        <f>DEGREES(ATAN(H6))</f>
        <v>-39.041865439909913</v>
      </c>
      <c r="J7" s="49">
        <f t="shared" si="0"/>
        <v>1.00329</v>
      </c>
      <c r="K7" s="49">
        <f t="shared" si="1"/>
        <v>83.289000000000001</v>
      </c>
      <c r="L7" s="49">
        <f t="shared" si="2"/>
        <v>83.015877762162489</v>
      </c>
    </row>
    <row r="8" spans="1:12">
      <c r="A8" s="49">
        <v>0.10818</v>
      </c>
      <c r="B8" s="49">
        <v>0.81683300000000003</v>
      </c>
      <c r="C8">
        <v>2.4061699999999999</v>
      </c>
      <c r="D8">
        <v>0</v>
      </c>
      <c r="E8" t="s">
        <v>2565</v>
      </c>
      <c r="F8" s="49">
        <f t="shared" si="3"/>
        <v>7</v>
      </c>
      <c r="G8" s="71" t="s">
        <v>213</v>
      </c>
      <c r="H8" s="72">
        <v>0.1</v>
      </c>
      <c r="J8" s="49">
        <f t="shared" si="0"/>
        <v>1.0817999999999999</v>
      </c>
      <c r="K8" s="49">
        <f t="shared" si="1"/>
        <v>81.683300000000003</v>
      </c>
      <c r="L8" s="49">
        <f t="shared" si="2"/>
        <v>75.506840451100032</v>
      </c>
    </row>
    <row r="9" spans="1:12">
      <c r="A9" s="49">
        <v>0.11647200000000001</v>
      </c>
      <c r="B9" s="49">
        <v>0.79633799999999999</v>
      </c>
      <c r="C9">
        <v>2.8075800000000002</v>
      </c>
      <c r="D9">
        <v>0</v>
      </c>
      <c r="E9" t="s">
        <v>2566</v>
      </c>
      <c r="F9" s="49">
        <f t="shared" si="3"/>
        <v>8</v>
      </c>
      <c r="G9" s="71" t="s">
        <v>214</v>
      </c>
      <c r="H9" s="72">
        <v>0.9</v>
      </c>
      <c r="J9" s="49">
        <f t="shared" si="0"/>
        <v>1.16472</v>
      </c>
      <c r="K9" s="49">
        <f t="shared" si="1"/>
        <v>79.633799999999994</v>
      </c>
      <c r="L9" s="49">
        <f t="shared" si="2"/>
        <v>68.371625798475165</v>
      </c>
    </row>
    <row r="10" spans="1:12">
      <c r="A10" s="49">
        <v>0.124574</v>
      </c>
      <c r="B10" s="49">
        <v>0.77914499999999998</v>
      </c>
      <c r="C10">
        <v>3.21604</v>
      </c>
      <c r="D10">
        <v>0</v>
      </c>
      <c r="E10" t="s">
        <v>2567</v>
      </c>
      <c r="F10" s="49">
        <f t="shared" si="3"/>
        <v>9</v>
      </c>
      <c r="G10" t="s">
        <v>215</v>
      </c>
      <c r="J10" s="49">
        <f t="shared" si="0"/>
        <v>1.2457400000000001</v>
      </c>
      <c r="K10" s="49">
        <f t="shared" si="1"/>
        <v>77.914500000000004</v>
      </c>
      <c r="L10" s="49">
        <f t="shared" si="2"/>
        <v>62.544752516576494</v>
      </c>
    </row>
    <row r="11" spans="1:12">
      <c r="A11" s="49">
        <v>0.13236600000000001</v>
      </c>
      <c r="B11" s="49">
        <v>0.75990999999999997</v>
      </c>
      <c r="C11">
        <v>3.6219899999999998</v>
      </c>
      <c r="D11">
        <v>0</v>
      </c>
      <c r="E11" t="s">
        <v>2568</v>
      </c>
      <c r="F11" s="49">
        <f t="shared" si="3"/>
        <v>10</v>
      </c>
      <c r="G11" s="71" t="s">
        <v>216</v>
      </c>
      <c r="H11" s="73">
        <f>MIN(B2:B1000)</f>
        <v>4.9921599999999997E-2</v>
      </c>
      <c r="J11" s="49">
        <f t="shared" si="0"/>
        <v>1.3236600000000001</v>
      </c>
      <c r="K11" s="49">
        <f t="shared" si="1"/>
        <v>75.991</v>
      </c>
      <c r="L11" s="49">
        <f t="shared" si="2"/>
        <v>57.409757792786664</v>
      </c>
    </row>
    <row r="12" spans="1:12">
      <c r="A12" s="49">
        <v>0.139705</v>
      </c>
      <c r="B12" s="49">
        <v>0.74011199999999999</v>
      </c>
      <c r="C12">
        <v>4.04542</v>
      </c>
      <c r="D12">
        <v>0</v>
      </c>
      <c r="E12" t="s">
        <v>2569</v>
      </c>
      <c r="F12" s="49">
        <f t="shared" si="3"/>
        <v>11</v>
      </c>
      <c r="G12" s="71" t="s">
        <v>218</v>
      </c>
      <c r="H12" s="73">
        <f>MAX(B2:B1000)</f>
        <v>0.84729200000000005</v>
      </c>
      <c r="J12" s="49">
        <f t="shared" si="0"/>
        <v>1.3970499999999999</v>
      </c>
      <c r="K12" s="49">
        <f t="shared" si="1"/>
        <v>74.011200000000002</v>
      </c>
      <c r="L12" s="49">
        <f t="shared" si="2"/>
        <v>52.976772484878857</v>
      </c>
    </row>
    <row r="13" spans="1:12">
      <c r="A13" s="49">
        <v>0.14711199999999999</v>
      </c>
      <c r="B13" s="49">
        <v>0.72252000000000005</v>
      </c>
      <c r="C13">
        <v>4.47302</v>
      </c>
      <c r="D13">
        <v>0</v>
      </c>
      <c r="E13" t="s">
        <v>2570</v>
      </c>
      <c r="F13" s="49">
        <f t="shared" si="3"/>
        <v>12</v>
      </c>
      <c r="G13" s="71" t="s">
        <v>220</v>
      </c>
      <c r="H13">
        <f>MATCH($H$11,B2:B1000,0)</f>
        <v>2</v>
      </c>
      <c r="J13" s="49">
        <f t="shared" si="0"/>
        <v>1.47112</v>
      </c>
      <c r="K13" s="49">
        <f t="shared" si="1"/>
        <v>72.25200000000001</v>
      </c>
      <c r="L13" s="49">
        <f t="shared" si="2"/>
        <v>49.113600522051236</v>
      </c>
    </row>
    <row r="14" spans="1:12">
      <c r="A14" s="49">
        <v>0.15493899999999999</v>
      </c>
      <c r="B14" s="49">
        <v>0.71477599999999997</v>
      </c>
      <c r="C14">
        <v>4.8472099999999996</v>
      </c>
      <c r="D14">
        <v>0</v>
      </c>
      <c r="E14" t="s">
        <v>2571</v>
      </c>
      <c r="F14" s="49">
        <f t="shared" si="3"/>
        <v>13</v>
      </c>
      <c r="G14" s="71" t="s">
        <v>221</v>
      </c>
      <c r="H14">
        <f>MATCH($H$12,B2:B1000,0)</f>
        <v>4</v>
      </c>
      <c r="J14" s="49">
        <f t="shared" si="0"/>
        <v>1.5493899999999998</v>
      </c>
      <c r="K14" s="49">
        <f t="shared" si="1"/>
        <v>71.477599999999995</v>
      </c>
      <c r="L14" s="49">
        <f t="shared" si="2"/>
        <v>46.132736109049368</v>
      </c>
    </row>
    <row r="15" spans="1:12">
      <c r="A15" s="49">
        <v>0.16333900000000001</v>
      </c>
      <c r="B15" s="49">
        <v>0.71565699999999999</v>
      </c>
      <c r="C15">
        <v>5.2542600000000004</v>
      </c>
      <c r="D15">
        <v>0</v>
      </c>
      <c r="E15" t="s">
        <v>2572</v>
      </c>
      <c r="F15" s="49">
        <f t="shared" si="3"/>
        <v>14</v>
      </c>
      <c r="G15">
        <f>LOOKUP($H13,F2:F1000,A2:A1000)</f>
        <v>0.28731400000000001</v>
      </c>
      <c r="H15">
        <f>LOOKUP($H13,F2:F1000,B2:B1000)</f>
        <v>4.9921599999999997E-2</v>
      </c>
      <c r="J15" s="49">
        <f t="shared" si="0"/>
        <v>1.6333900000000001</v>
      </c>
      <c r="K15" s="49">
        <f t="shared" si="1"/>
        <v>71.565699999999993</v>
      </c>
      <c r="L15" s="49">
        <f t="shared" si="2"/>
        <v>43.81421460888091</v>
      </c>
    </row>
    <row r="16" spans="1:12">
      <c r="A16" s="49">
        <v>0.170823</v>
      </c>
      <c r="B16" s="49">
        <v>0.718445</v>
      </c>
      <c r="C16">
        <v>5.6542300000000001</v>
      </c>
      <c r="D16">
        <v>0</v>
      </c>
      <c r="E16" t="s">
        <v>2573</v>
      </c>
      <c r="F16" s="49">
        <f t="shared" si="3"/>
        <v>15</v>
      </c>
      <c r="G16">
        <f>LOOKUP($H14,F2:F1000,A2:A1000)</f>
        <v>8.19159E-2</v>
      </c>
      <c r="H16">
        <f>LOOKUP($H14,F2:F1000,B2:B1000)</f>
        <v>0.84729200000000005</v>
      </c>
      <c r="J16" s="49">
        <f t="shared" si="0"/>
        <v>1.7082299999999999</v>
      </c>
      <c r="K16" s="49">
        <f t="shared" si="1"/>
        <v>71.844499999999996</v>
      </c>
      <c r="L16" s="49">
        <f t="shared" si="2"/>
        <v>42.05786106086417</v>
      </c>
    </row>
    <row r="17" spans="1:12">
      <c r="A17" s="49">
        <v>0.177565</v>
      </c>
      <c r="B17" s="49">
        <v>0.72186300000000003</v>
      </c>
      <c r="C17">
        <v>6.05992</v>
      </c>
      <c r="D17">
        <v>0</v>
      </c>
      <c r="E17" t="s">
        <v>2574</v>
      </c>
      <c r="F17" s="49">
        <f t="shared" si="3"/>
        <v>16</v>
      </c>
      <c r="J17" s="49">
        <f t="shared" si="0"/>
        <v>1.77565</v>
      </c>
      <c r="K17" s="49">
        <f t="shared" si="1"/>
        <v>72.186300000000003</v>
      </c>
      <c r="L17" s="49">
        <f t="shared" si="2"/>
        <v>40.653450848984882</v>
      </c>
    </row>
    <row r="18" spans="1:12">
      <c r="A18" s="49">
        <v>0.18371899999999999</v>
      </c>
      <c r="B18" s="49">
        <v>0.72704199999999997</v>
      </c>
      <c r="C18">
        <v>6.4690500000000002</v>
      </c>
      <c r="D18">
        <v>0</v>
      </c>
      <c r="E18" t="s">
        <v>2575</v>
      </c>
      <c r="F18" s="49">
        <f t="shared" si="3"/>
        <v>17</v>
      </c>
      <c r="J18" s="49">
        <f t="shared" si="0"/>
        <v>1.8371899999999999</v>
      </c>
      <c r="K18" s="49">
        <f t="shared" si="1"/>
        <v>72.7042</v>
      </c>
      <c r="L18" s="49">
        <f t="shared" si="2"/>
        <v>39.5735879250377</v>
      </c>
    </row>
    <row r="19" spans="1:12">
      <c r="A19" s="49">
        <v>0.18917</v>
      </c>
      <c r="B19" s="49">
        <v>0.733047</v>
      </c>
      <c r="C19">
        <v>6.8726399999999996</v>
      </c>
      <c r="D19">
        <v>0</v>
      </c>
      <c r="E19" t="s">
        <v>2576</v>
      </c>
      <c r="F19" s="49">
        <f t="shared" si="3"/>
        <v>18</v>
      </c>
      <c r="J19" s="49">
        <f t="shared" si="0"/>
        <v>1.8917000000000002</v>
      </c>
      <c r="K19" s="49">
        <f t="shared" si="1"/>
        <v>73.304699999999997</v>
      </c>
      <c r="L19" s="49">
        <f t="shared" si="2"/>
        <v>38.750700428186285</v>
      </c>
    </row>
    <row r="20" spans="1:12">
      <c r="A20" s="49">
        <v>0.19419</v>
      </c>
      <c r="B20" s="49">
        <v>0.73979799999999996</v>
      </c>
      <c r="C20">
        <v>7.2815000000000003</v>
      </c>
      <c r="D20">
        <v>0</v>
      </c>
      <c r="E20" t="s">
        <v>2577</v>
      </c>
      <c r="F20" s="49">
        <f t="shared" si="3"/>
        <v>19</v>
      </c>
      <c r="J20" s="49">
        <f t="shared" si="0"/>
        <v>1.9419</v>
      </c>
      <c r="K20" s="49">
        <f t="shared" si="1"/>
        <v>73.979799999999997</v>
      </c>
      <c r="L20" s="49">
        <f t="shared" si="2"/>
        <v>38.096606416396313</v>
      </c>
    </row>
    <row r="21" spans="1:12">
      <c r="A21" s="49">
        <v>0.197019</v>
      </c>
      <c r="B21" s="49">
        <v>0.74599499999999996</v>
      </c>
      <c r="C21">
        <v>7.6829799999999997</v>
      </c>
      <c r="D21">
        <v>0</v>
      </c>
      <c r="E21" t="s">
        <v>2578</v>
      </c>
      <c r="F21" s="49">
        <f t="shared" si="3"/>
        <v>20</v>
      </c>
      <c r="J21" s="49">
        <f t="shared" si="0"/>
        <v>1.9701900000000001</v>
      </c>
      <c r="K21" s="49">
        <f t="shared" si="1"/>
        <v>74.599499999999992</v>
      </c>
      <c r="L21" s="49">
        <f t="shared" si="2"/>
        <v>37.86411462853836</v>
      </c>
    </row>
    <row r="22" spans="1:12">
      <c r="A22" s="49">
        <v>0.199181</v>
      </c>
      <c r="B22" s="49">
        <v>0.74936899999999995</v>
      </c>
      <c r="C22">
        <v>8.0920400000000008</v>
      </c>
      <c r="D22">
        <v>0</v>
      </c>
      <c r="E22" t="s">
        <v>2579</v>
      </c>
      <c r="F22" s="49">
        <f t="shared" si="3"/>
        <v>21</v>
      </c>
      <c r="J22" s="49">
        <f t="shared" si="0"/>
        <v>1.9918100000000001</v>
      </c>
      <c r="K22" s="49">
        <f t="shared" si="1"/>
        <v>74.936899999999994</v>
      </c>
      <c r="L22" s="49">
        <f t="shared" si="2"/>
        <v>37.622514195631105</v>
      </c>
    </row>
    <row r="23" spans="1:12">
      <c r="A23" s="49">
        <v>0.200485</v>
      </c>
      <c r="B23" s="49">
        <v>0.74641900000000005</v>
      </c>
      <c r="C23">
        <v>8.5050500000000007</v>
      </c>
      <c r="D23">
        <v>0</v>
      </c>
      <c r="E23" t="s">
        <v>2580</v>
      </c>
      <c r="F23" s="49">
        <f t="shared" si="3"/>
        <v>22</v>
      </c>
      <c r="J23" s="49">
        <f t="shared" si="0"/>
        <v>2.0048499999999998</v>
      </c>
      <c r="K23" s="49">
        <f t="shared" si="1"/>
        <v>74.641900000000007</v>
      </c>
      <c r="L23" s="49">
        <f t="shared" si="2"/>
        <v>37.230665635833113</v>
      </c>
    </row>
    <row r="24" spans="1:12">
      <c r="A24" s="49">
        <v>0.201741</v>
      </c>
      <c r="B24" s="49">
        <v>0.74391399999999996</v>
      </c>
      <c r="C24">
        <v>8.9030400000000007</v>
      </c>
      <c r="D24">
        <v>0</v>
      </c>
      <c r="E24" t="s">
        <v>2581</v>
      </c>
      <c r="F24" s="49">
        <f t="shared" si="3"/>
        <v>23</v>
      </c>
      <c r="G24" t="s">
        <v>245</v>
      </c>
      <c r="H24">
        <f>COUNT(A2:A2000)</f>
        <v>26</v>
      </c>
      <c r="J24" s="49">
        <f t="shared" si="0"/>
        <v>2.0174099999999999</v>
      </c>
      <c r="K24" s="49">
        <f t="shared" si="1"/>
        <v>74.39139999999999</v>
      </c>
      <c r="L24" s="49">
        <f t="shared" si="2"/>
        <v>36.874705686994709</v>
      </c>
    </row>
    <row r="25" spans="1:12">
      <c r="A25" s="49">
        <v>0.20293700000000001</v>
      </c>
      <c r="B25" s="49">
        <v>0.74228899999999998</v>
      </c>
      <c r="C25">
        <v>9.3136100000000006</v>
      </c>
      <c r="D25">
        <v>0</v>
      </c>
      <c r="E25" t="s">
        <v>2582</v>
      </c>
      <c r="F25" s="49">
        <f t="shared" si="3"/>
        <v>24</v>
      </c>
      <c r="J25" s="49">
        <f t="shared" si="0"/>
        <v>2.0293700000000001</v>
      </c>
      <c r="K25" s="49">
        <f t="shared" si="1"/>
        <v>74.228899999999996</v>
      </c>
      <c r="L25" s="49">
        <f t="shared" si="2"/>
        <v>36.577312170772203</v>
      </c>
    </row>
    <row r="26" spans="1:12">
      <c r="A26" s="49">
        <v>0.204399</v>
      </c>
      <c r="B26" s="49">
        <v>0.74049799999999999</v>
      </c>
      <c r="C26">
        <v>9.7139100000000003</v>
      </c>
      <c r="D26">
        <v>0</v>
      </c>
      <c r="E26" t="s">
        <v>2583</v>
      </c>
      <c r="F26" s="49">
        <f t="shared" si="3"/>
        <v>25</v>
      </c>
      <c r="J26" s="49">
        <f t="shared" si="0"/>
        <v>2.04399</v>
      </c>
      <c r="K26" s="49">
        <f t="shared" si="1"/>
        <v>74.049800000000005</v>
      </c>
      <c r="L26" s="49">
        <f t="shared" si="2"/>
        <v>36.228063738080913</v>
      </c>
    </row>
    <row r="27" spans="1:12">
      <c r="A27" s="49">
        <v>0.205676</v>
      </c>
      <c r="B27" s="49">
        <v>0.740313</v>
      </c>
      <c r="C27">
        <v>10.123100000000001</v>
      </c>
      <c r="D27">
        <v>0</v>
      </c>
      <c r="E27" t="s">
        <v>2584</v>
      </c>
      <c r="F27" s="49">
        <f t="shared" si="3"/>
        <v>26</v>
      </c>
      <c r="J27" s="49">
        <f t="shared" si="0"/>
        <v>2.0567600000000001</v>
      </c>
      <c r="K27" s="49">
        <f t="shared" si="1"/>
        <v>74.031300000000002</v>
      </c>
      <c r="L27" s="49">
        <f t="shared" si="2"/>
        <v>35.994136408720507</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45795.612199074072</v>
      </c>
      <c r="B2" t="s">
        <v>2585</v>
      </c>
      <c r="C2" s="49"/>
      <c r="D2" s="49"/>
      <c r="E2" s="49">
        <v>4.8833399999999996</v>
      </c>
      <c r="F2" s="49">
        <v>0.86711000000000005</v>
      </c>
      <c r="G2" s="49">
        <v>0.27164700000000003</v>
      </c>
      <c r="H2" s="49">
        <v>0</v>
      </c>
      <c r="I2" s="49">
        <v>29.2196</v>
      </c>
      <c r="J2" s="49">
        <v>47</v>
      </c>
      <c r="K2" s="49">
        <v>47</v>
      </c>
      <c r="L2" s="49">
        <v>100</v>
      </c>
      <c r="M2" s="521" t="s">
        <v>1549</v>
      </c>
      <c r="O2" s="565" t="str">
        <f>IF(FH_info!B2="","",TRIM(MID(SUBSTITUTE(FH_info!B2,"^",REPT(" ",LEN(FH_info!B2))),LEN(FH_info!B2)*2-LEN(FH_info!B2)+1,LEN(FH_info!B2))))</f>
        <v>김정국</v>
      </c>
      <c r="P2" s="565" t="str">
        <f>IF(FH_info!O2="","",TRIM(MID(SUBSTITUTE(FH_info!O2," ",REPT(" ",LEN(FH_info!O2))),LEN(FH_info!O2)*1-LEN(FH_info!O2)+1,LEN(FH_info!O2))))</f>
        <v>김정국</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64</v>
      </c>
      <c r="U2" s="567" t="str">
        <f>IF(FH_info!B2="","",TRIM(MID(SUBSTITUTE(FH_info!B2,"^",REPT(" ",LEN(FH_info!B2))),LEN(FH_info!B2)*5-LEN(FH_info!B2)+1,LEN(FH_info!B2))))</f>
        <v>일상센터</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29.219605999999999</v>
      </c>
      <c r="D2">
        <f>MAX(B2:B257)</f>
        <v>1503.413086</v>
      </c>
      <c r="G2" t="s">
        <v>1590</v>
      </c>
      <c r="H2">
        <v>4.8833419999999998</v>
      </c>
      <c r="I2">
        <v>29.219605999999999</v>
      </c>
      <c r="J2">
        <v>0</v>
      </c>
      <c r="K2">
        <v>47</v>
      </c>
      <c r="L2">
        <v>47</v>
      </c>
      <c r="M2">
        <v>0.86711000000000005</v>
      </c>
      <c r="N2">
        <v>0.27164700000000003</v>
      </c>
      <c r="O2">
        <v>7.3791999999999996E-2</v>
      </c>
    </row>
    <row r="3" spans="1:15">
      <c r="A3">
        <v>0</v>
      </c>
      <c r="B3">
        <v>0</v>
      </c>
      <c r="G3" t="s">
        <v>1591</v>
      </c>
      <c r="H3">
        <v>4.8833419999999998</v>
      </c>
      <c r="I3">
        <v>1503.413086</v>
      </c>
      <c r="J3">
        <v>0</v>
      </c>
      <c r="K3">
        <v>3</v>
      </c>
      <c r="L3">
        <v>3</v>
      </c>
      <c r="M3">
        <v>0.28484399999999999</v>
      </c>
      <c r="N3">
        <v>0.22829099999999999</v>
      </c>
      <c r="O3">
        <v>5.2116999999999997E-2</v>
      </c>
    </row>
    <row r="4" spans="1:15">
      <c r="A4">
        <v>0</v>
      </c>
      <c r="B4">
        <v>0</v>
      </c>
    </row>
    <row r="5" spans="1:15">
      <c r="A5">
        <v>7.4510000000000007E-2</v>
      </c>
      <c r="B5">
        <v>1503.413086</v>
      </c>
    </row>
    <row r="6" spans="1:15">
      <c r="A6">
        <v>0</v>
      </c>
      <c r="B6">
        <v>0</v>
      </c>
    </row>
    <row r="7" spans="1:15">
      <c r="A7">
        <v>0</v>
      </c>
      <c r="B7">
        <v>0</v>
      </c>
    </row>
    <row r="8" spans="1:15">
      <c r="A8">
        <v>0.908497</v>
      </c>
      <c r="B8">
        <v>1472.649658</v>
      </c>
    </row>
    <row r="9" spans="1:15">
      <c r="A9">
        <v>0</v>
      </c>
      <c r="B9">
        <v>0</v>
      </c>
    </row>
    <row r="10" spans="1:15">
      <c r="A10">
        <v>9.3751630000000006</v>
      </c>
      <c r="B10">
        <v>618.48101799999995</v>
      </c>
    </row>
    <row r="11" spans="1:15">
      <c r="A11">
        <v>0</v>
      </c>
      <c r="B11">
        <v>0</v>
      </c>
    </row>
    <row r="12" spans="1:15">
      <c r="A12">
        <v>0</v>
      </c>
      <c r="B12">
        <v>0</v>
      </c>
    </row>
    <row r="13" spans="1:15">
      <c r="A13">
        <v>5.6339870000000003</v>
      </c>
      <c r="B13">
        <v>481.83657799999997</v>
      </c>
    </row>
    <row r="14" spans="1:15">
      <c r="A14">
        <v>0</v>
      </c>
      <c r="B14">
        <v>0</v>
      </c>
    </row>
    <row r="15" spans="1:15">
      <c r="A15">
        <v>1.4810460000000001</v>
      </c>
      <c r="B15">
        <v>508.03265399999998</v>
      </c>
    </row>
    <row r="16" spans="1:15">
      <c r="A16">
        <v>0</v>
      </c>
      <c r="B16">
        <v>0</v>
      </c>
    </row>
    <row r="17" spans="1:2">
      <c r="A17">
        <v>0</v>
      </c>
      <c r="B17">
        <v>0</v>
      </c>
    </row>
    <row r="18" spans="1:2">
      <c r="A18">
        <v>0.88627500000000003</v>
      </c>
      <c r="B18">
        <v>475.52810699999998</v>
      </c>
    </row>
    <row r="19" spans="1:2">
      <c r="A19">
        <v>0</v>
      </c>
      <c r="B19">
        <v>0</v>
      </c>
    </row>
    <row r="20" spans="1:2">
      <c r="A20">
        <v>0</v>
      </c>
      <c r="B20">
        <v>0</v>
      </c>
    </row>
    <row r="21" spans="1:2">
      <c r="A21">
        <v>0.99607800000000002</v>
      </c>
      <c r="B21">
        <v>463.68496699999997</v>
      </c>
    </row>
    <row r="22" spans="1:2">
      <c r="A22">
        <v>0</v>
      </c>
      <c r="B22">
        <v>0</v>
      </c>
    </row>
    <row r="23" spans="1:2">
      <c r="A23">
        <v>2.0313729999999999</v>
      </c>
      <c r="B23">
        <v>404.52285799999999</v>
      </c>
    </row>
    <row r="24" spans="1:2">
      <c r="A24">
        <v>0</v>
      </c>
      <c r="B24">
        <v>0</v>
      </c>
    </row>
    <row r="25" spans="1:2">
      <c r="A25">
        <v>0</v>
      </c>
      <c r="B25">
        <v>0</v>
      </c>
    </row>
    <row r="26" spans="1:2">
      <c r="A26">
        <v>3.703268</v>
      </c>
      <c r="B26">
        <v>338.82223499999998</v>
      </c>
    </row>
    <row r="27" spans="1:2">
      <c r="A27">
        <v>0</v>
      </c>
      <c r="B27">
        <v>0</v>
      </c>
    </row>
    <row r="28" spans="1:2">
      <c r="A28">
        <v>6.9215679999999997</v>
      </c>
      <c r="B28">
        <v>277.82614100000001</v>
      </c>
    </row>
    <row r="29" spans="1:2">
      <c r="A29">
        <v>0</v>
      </c>
      <c r="B29">
        <v>0</v>
      </c>
    </row>
    <row r="30" spans="1:2">
      <c r="A30">
        <v>0</v>
      </c>
      <c r="B30">
        <v>0</v>
      </c>
    </row>
    <row r="31" spans="1:2">
      <c r="A31">
        <v>10.471895</v>
      </c>
      <c r="B31">
        <v>240.26797500000001</v>
      </c>
    </row>
    <row r="32" spans="1:2">
      <c r="A32">
        <v>0</v>
      </c>
      <c r="B32">
        <v>0</v>
      </c>
    </row>
    <row r="33" spans="1:2">
      <c r="A33">
        <v>13.308496</v>
      </c>
      <c r="B33">
        <v>220.03791799999999</v>
      </c>
    </row>
    <row r="34" spans="1:2">
      <c r="A34">
        <v>0</v>
      </c>
      <c r="B34">
        <v>0</v>
      </c>
    </row>
    <row r="35" spans="1:2">
      <c r="A35">
        <v>0</v>
      </c>
      <c r="B35">
        <v>0</v>
      </c>
    </row>
    <row r="36" spans="1:2">
      <c r="A36">
        <v>13.101960999999999</v>
      </c>
      <c r="B36">
        <v>189.61047400000001</v>
      </c>
    </row>
    <row r="37" spans="1:2">
      <c r="A37">
        <v>0</v>
      </c>
      <c r="B37">
        <v>0</v>
      </c>
    </row>
    <row r="38" spans="1:2">
      <c r="A38">
        <v>0</v>
      </c>
      <c r="B38">
        <v>0</v>
      </c>
    </row>
    <row r="39" spans="1:2">
      <c r="A39">
        <v>12.59477</v>
      </c>
      <c r="B39">
        <v>147.37777700000001</v>
      </c>
    </row>
    <row r="40" spans="1:2">
      <c r="A40">
        <v>0</v>
      </c>
      <c r="B40">
        <v>0</v>
      </c>
    </row>
    <row r="41" spans="1:2">
      <c r="A41">
        <v>13.318954</v>
      </c>
      <c r="B41">
        <v>114.04837000000001</v>
      </c>
    </row>
    <row r="42" spans="1:2">
      <c r="A42">
        <v>0</v>
      </c>
      <c r="B42">
        <v>0</v>
      </c>
    </row>
    <row r="43" spans="1:2">
      <c r="A43">
        <v>0</v>
      </c>
      <c r="B43">
        <v>0</v>
      </c>
    </row>
    <row r="44" spans="1:2">
      <c r="A44">
        <v>19.640523999999999</v>
      </c>
      <c r="B44">
        <v>91.469275999999994</v>
      </c>
    </row>
    <row r="45" spans="1:2">
      <c r="A45">
        <v>0</v>
      </c>
      <c r="B45">
        <v>0</v>
      </c>
    </row>
    <row r="46" spans="1:2">
      <c r="A46">
        <v>23.139868</v>
      </c>
      <c r="B46">
        <v>69.366012999999995</v>
      </c>
    </row>
    <row r="47" spans="1:2">
      <c r="A47">
        <v>0</v>
      </c>
      <c r="B47">
        <v>0</v>
      </c>
    </row>
    <row r="48" spans="1:2">
      <c r="A48">
        <v>0</v>
      </c>
      <c r="B48">
        <v>0</v>
      </c>
    </row>
    <row r="49" spans="1:2">
      <c r="A49">
        <v>29.219605999999999</v>
      </c>
      <c r="B49">
        <v>54.209152000000003</v>
      </c>
    </row>
    <row r="50" spans="1:2">
      <c r="A50">
        <v>0</v>
      </c>
      <c r="B50">
        <v>0</v>
      </c>
    </row>
    <row r="51" spans="1:2">
      <c r="A51">
        <v>27.809151</v>
      </c>
      <c r="B51">
        <v>38.214378000000004</v>
      </c>
    </row>
    <row r="52" spans="1:2">
      <c r="A52">
        <v>0</v>
      </c>
      <c r="B52">
        <v>0</v>
      </c>
    </row>
    <row r="53" spans="1:2">
      <c r="A53">
        <v>0</v>
      </c>
      <c r="B53">
        <v>0</v>
      </c>
    </row>
    <row r="54" spans="1:2">
      <c r="A54">
        <v>27.423528999999998</v>
      </c>
      <c r="B54">
        <v>27.128105000000001</v>
      </c>
    </row>
    <row r="55" spans="1:2">
      <c r="A55">
        <v>0</v>
      </c>
      <c r="B55">
        <v>0</v>
      </c>
    </row>
    <row r="56" spans="1:2">
      <c r="A56">
        <v>0</v>
      </c>
      <c r="B56">
        <v>0</v>
      </c>
    </row>
    <row r="57" spans="1:2">
      <c r="A57">
        <v>24.350327</v>
      </c>
      <c r="B57">
        <v>17.562092</v>
      </c>
    </row>
    <row r="58" spans="1:2">
      <c r="A58">
        <v>0</v>
      </c>
      <c r="B58">
        <v>0</v>
      </c>
    </row>
    <row r="59" spans="1:2">
      <c r="A59">
        <v>21.775164</v>
      </c>
      <c r="B59">
        <v>10.240522</v>
      </c>
    </row>
    <row r="60" spans="1:2">
      <c r="A60">
        <v>0</v>
      </c>
      <c r="B60">
        <v>0</v>
      </c>
    </row>
    <row r="61" spans="1:2">
      <c r="A61">
        <v>0</v>
      </c>
      <c r="B61">
        <v>0</v>
      </c>
    </row>
    <row r="62" spans="1:2">
      <c r="A62">
        <v>16.700652999999999</v>
      </c>
      <c r="B62">
        <v>5.6653589999999996</v>
      </c>
    </row>
    <row r="63" spans="1:2">
      <c r="A63">
        <v>0</v>
      </c>
      <c r="B63">
        <v>0</v>
      </c>
    </row>
    <row r="64" spans="1:2">
      <c r="A64">
        <v>12.113726</v>
      </c>
      <c r="B64">
        <v>3.3215680000000001</v>
      </c>
    </row>
    <row r="65" spans="1:2">
      <c r="A65">
        <v>0</v>
      </c>
      <c r="B65">
        <v>0</v>
      </c>
    </row>
    <row r="66" spans="1:2">
      <c r="A66">
        <v>0</v>
      </c>
      <c r="B66">
        <v>0</v>
      </c>
    </row>
    <row r="67" spans="1:2">
      <c r="A67">
        <v>5.95817</v>
      </c>
      <c r="B67">
        <v>1.8209150000000001</v>
      </c>
    </row>
    <row r="68" spans="1:2">
      <c r="A68">
        <v>0</v>
      </c>
      <c r="B68">
        <v>0</v>
      </c>
    </row>
    <row r="69" spans="1:2">
      <c r="A69">
        <v>4.266667</v>
      </c>
      <c r="B69">
        <v>1.04183</v>
      </c>
    </row>
    <row r="70" spans="1:2">
      <c r="A70">
        <v>0</v>
      </c>
      <c r="B70">
        <v>0</v>
      </c>
    </row>
    <row r="71" spans="1:2">
      <c r="A71">
        <v>0</v>
      </c>
      <c r="B71">
        <v>0</v>
      </c>
    </row>
    <row r="72" spans="1:2">
      <c r="A72">
        <v>3.2745099999999998</v>
      </c>
      <c r="B72">
        <v>0.54640500000000003</v>
      </c>
    </row>
    <row r="73" spans="1:2">
      <c r="A73">
        <v>0</v>
      </c>
      <c r="B73">
        <v>0</v>
      </c>
    </row>
    <row r="74" spans="1:2">
      <c r="A74">
        <v>0</v>
      </c>
      <c r="B74">
        <v>0</v>
      </c>
    </row>
    <row r="75" spans="1:2">
      <c r="A75">
        <v>2.9751629999999998</v>
      </c>
      <c r="B75">
        <v>0.219608</v>
      </c>
    </row>
    <row r="76" spans="1:2">
      <c r="A76">
        <v>0</v>
      </c>
      <c r="B76">
        <v>0</v>
      </c>
    </row>
    <row r="77" spans="1:2">
      <c r="A77">
        <v>1.431373</v>
      </c>
      <c r="B77">
        <v>9.1503000000000001E-2</v>
      </c>
    </row>
    <row r="78" spans="1:2">
      <c r="A78">
        <v>0</v>
      </c>
      <c r="B78">
        <v>0</v>
      </c>
    </row>
    <row r="79" spans="1:2">
      <c r="A79">
        <v>0</v>
      </c>
      <c r="B79">
        <v>0</v>
      </c>
    </row>
    <row r="80" spans="1:2">
      <c r="A80">
        <v>0.920261</v>
      </c>
      <c r="B80">
        <v>3.7907999999999997E-2</v>
      </c>
    </row>
    <row r="81" spans="1:2">
      <c r="A81">
        <v>0</v>
      </c>
      <c r="B81">
        <v>0</v>
      </c>
    </row>
    <row r="82" spans="1:2">
      <c r="A82">
        <v>0.169935</v>
      </c>
      <c r="B82">
        <v>5.2290000000000001E-3</v>
      </c>
    </row>
    <row r="83" spans="1:2">
      <c r="A83">
        <v>0</v>
      </c>
      <c r="B83">
        <v>0</v>
      </c>
    </row>
    <row r="84" spans="1:2">
      <c r="A84">
        <v>0</v>
      </c>
      <c r="B84">
        <v>0</v>
      </c>
    </row>
    <row r="85" spans="1:2">
      <c r="A85">
        <v>6.7974000000000007E-2</v>
      </c>
      <c r="B85">
        <v>1.307E-3</v>
      </c>
    </row>
    <row r="86" spans="1:2">
      <c r="A86">
        <v>0</v>
      </c>
      <c r="B86">
        <v>0</v>
      </c>
    </row>
    <row r="87" spans="1:2">
      <c r="A87">
        <v>0</v>
      </c>
      <c r="B87">
        <v>0</v>
      </c>
    </row>
    <row r="88" spans="1:2">
      <c r="A88">
        <v>0</v>
      </c>
      <c r="B88">
        <v>0</v>
      </c>
    </row>
    <row r="89" spans="1:2">
      <c r="A89">
        <v>0</v>
      </c>
      <c r="B89">
        <v>0</v>
      </c>
    </row>
    <row r="90" spans="1:2">
      <c r="A90">
        <v>0</v>
      </c>
      <c r="B90">
        <v>0</v>
      </c>
    </row>
    <row r="91" spans="1:2">
      <c r="A91">
        <v>0</v>
      </c>
      <c r="B91">
        <v>0</v>
      </c>
    </row>
    <row r="92" spans="1:2">
      <c r="A92">
        <v>0</v>
      </c>
      <c r="B92">
        <v>0</v>
      </c>
    </row>
    <row r="93" spans="1:2">
      <c r="A93">
        <v>0</v>
      </c>
      <c r="B93">
        <v>0</v>
      </c>
    </row>
    <row r="94" spans="1:2">
      <c r="A94">
        <v>0</v>
      </c>
      <c r="B94">
        <v>0</v>
      </c>
    </row>
    <row r="95" spans="1:2">
      <c r="A95">
        <v>0</v>
      </c>
      <c r="B95">
        <v>0</v>
      </c>
    </row>
    <row r="96" spans="1:2">
      <c r="A96">
        <v>0</v>
      </c>
      <c r="B96">
        <v>0</v>
      </c>
    </row>
    <row r="97" spans="1:2">
      <c r="A97">
        <v>0</v>
      </c>
      <c r="B97">
        <v>0</v>
      </c>
    </row>
    <row r="98" spans="1:2">
      <c r="A98">
        <v>0</v>
      </c>
      <c r="B98">
        <v>0</v>
      </c>
    </row>
    <row r="99" spans="1:2">
      <c r="A99">
        <v>0</v>
      </c>
      <c r="B99">
        <v>0</v>
      </c>
    </row>
    <row r="100" spans="1:2">
      <c r="A100">
        <v>0</v>
      </c>
      <c r="B100">
        <v>0</v>
      </c>
    </row>
    <row r="101" spans="1:2">
      <c r="A101">
        <v>0</v>
      </c>
      <c r="B101">
        <v>0</v>
      </c>
    </row>
    <row r="102" spans="1:2">
      <c r="A102">
        <v>0</v>
      </c>
      <c r="B102">
        <v>0</v>
      </c>
    </row>
    <row r="103" spans="1:2">
      <c r="A103">
        <v>0</v>
      </c>
      <c r="B103">
        <v>0</v>
      </c>
    </row>
    <row r="104" spans="1:2">
      <c r="A104">
        <v>0</v>
      </c>
      <c r="B104">
        <v>0</v>
      </c>
    </row>
    <row r="105" spans="1:2">
      <c r="A105">
        <v>0</v>
      </c>
      <c r="B105">
        <v>0</v>
      </c>
    </row>
    <row r="106" spans="1:2">
      <c r="A106">
        <v>0</v>
      </c>
      <c r="B106">
        <v>0</v>
      </c>
    </row>
    <row r="107" spans="1:2">
      <c r="A107">
        <v>0</v>
      </c>
      <c r="B107">
        <v>0</v>
      </c>
    </row>
    <row r="108" spans="1:2">
      <c r="A108">
        <v>0</v>
      </c>
      <c r="B108">
        <v>0</v>
      </c>
    </row>
    <row r="109" spans="1:2">
      <c r="A109">
        <v>0</v>
      </c>
      <c r="B109">
        <v>0</v>
      </c>
    </row>
    <row r="110" spans="1:2">
      <c r="A110">
        <v>0</v>
      </c>
      <c r="B110">
        <v>0</v>
      </c>
    </row>
    <row r="111" spans="1:2">
      <c r="A111">
        <v>0</v>
      </c>
      <c r="B111">
        <v>0</v>
      </c>
    </row>
    <row r="112" spans="1:2">
      <c r="A112">
        <v>0</v>
      </c>
      <c r="B112">
        <v>0</v>
      </c>
    </row>
    <row r="113" spans="1:2">
      <c r="A113">
        <v>0</v>
      </c>
      <c r="B113">
        <v>0</v>
      </c>
    </row>
    <row r="114" spans="1:2">
      <c r="A114">
        <v>0</v>
      </c>
      <c r="B114">
        <v>0</v>
      </c>
    </row>
    <row r="115" spans="1:2">
      <c r="A115">
        <v>0</v>
      </c>
      <c r="B115">
        <v>0</v>
      </c>
    </row>
    <row r="116" spans="1:2">
      <c r="A116">
        <v>0</v>
      </c>
      <c r="B116">
        <v>0</v>
      </c>
    </row>
    <row r="117" spans="1:2">
      <c r="A117">
        <v>0</v>
      </c>
      <c r="B117">
        <v>0</v>
      </c>
    </row>
    <row r="118" spans="1:2">
      <c r="A118">
        <v>0</v>
      </c>
      <c r="B118">
        <v>0</v>
      </c>
    </row>
    <row r="119" spans="1:2">
      <c r="A119">
        <v>0</v>
      </c>
      <c r="B119">
        <v>0</v>
      </c>
    </row>
    <row r="120" spans="1:2">
      <c r="A120">
        <v>0</v>
      </c>
      <c r="B120">
        <v>0</v>
      </c>
    </row>
    <row r="121" spans="1:2">
      <c r="A121">
        <v>0</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-5.42872056327775
-5.43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-5.4287205632777464</v>
      </c>
      <c r="I4" s="322">
        <f>IF(Measurement!AQ7&lt;&gt;"",NORMSDIST((H6-$B$2)/$B$3)*100,"")</f>
        <v>0.65239946246276148</v>
      </c>
      <c r="J4" t="str">
        <f>Measurement!AR7</f>
        <v>위험</v>
      </c>
    </row>
    <row r="5" spans="1:11">
      <c r="B5" s="171">
        <v>-10</v>
      </c>
      <c r="C5" s="171">
        <f>NORMSDIST(($B5-$B$2)/$B$3)*100</f>
        <v>7.1097265868555281E-5</v>
      </c>
      <c r="G5" t="s">
        <v>1539</v>
      </c>
      <c r="H5" s="320">
        <f>IF(Measurement!AQ7&lt;-7,-7,Measurement!AQ7)</f>
        <v>-5.4287205632777464</v>
      </c>
      <c r="I5" s="321">
        <f>IF(Measurement!AQ7&lt;&gt;"",0,"")</f>
        <v>0</v>
      </c>
    </row>
    <row r="6" spans="1:11">
      <c r="B6" s="171">
        <f>B5+0.1</f>
        <v>-9.9</v>
      </c>
      <c r="C6" s="171">
        <f t="shared" ref="C6:C57" si="0">NORMSDIST(($B6-$B$2)/$B$3)*100</f>
        <v>9.1781224195367343E-5</v>
      </c>
      <c r="H6" s="320">
        <f>IF(Measurement!AQ7&lt;-7,-7,Measurement!AQ7)</f>
        <v>-5.4287205632777464</v>
      </c>
      <c r="I6" s="321">
        <f>IF(Measurement!AQ7&lt;&gt;"",NORMSDIST((H6-$B$2)/$B$3)*100,"")</f>
        <v>0.65239946246276148</v>
      </c>
    </row>
    <row r="7" spans="1:11">
      <c r="B7" s="171">
        <f t="shared" ref="B7:B70" si="1">B6+0.1</f>
        <v>-9.8000000000000007</v>
      </c>
      <c r="C7" s="171">
        <f t="shared" si="0"/>
        <v>1.1818368021892541E-4</v>
      </c>
      <c r="D7" s="171"/>
      <c r="H7" s="320">
        <f>IF(Measurement!AQ7&lt;&gt;"",-7,"")</f>
        <v>-7</v>
      </c>
      <c r="I7" s="321">
        <f>IF(Measurement!AQ7&lt;&gt;"",NORMSDIST((H6-$B$2)/$B$3)*100,"")</f>
        <v>0.65239946246276148</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79.63</v>
      </c>
      <c r="V4" t="s">
        <v>1218</v>
      </c>
    </row>
    <row r="5" spans="1:29">
      <c r="B5" s="171">
        <v>0</v>
      </c>
      <c r="C5" s="171">
        <f>NORMSDIST(($B5-$B$2)/$B$3)*100</f>
        <v>1.2153167836658598</v>
      </c>
      <c r="H5">
        <f>info!W36</f>
        <v>79.626474999999999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79.626474999999999</v>
      </c>
      <c r="I6" s="171">
        <f>NORMSDIST((H6-$B$2)/$B$3)*100</f>
        <v>90.898421790070572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90.898421790070572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0.86711000000000005</v>
      </c>
    </row>
    <row r="3" spans="1:11" ht="18">
      <c r="A3" s="71" t="s">
        <v>1065</v>
      </c>
      <c r="B3" s="557">
        <v>0.71290976993199895</v>
      </c>
      <c r="C3" s="523"/>
      <c r="H3" s="561" t="s">
        <v>2223</v>
      </c>
      <c r="I3" s="562">
        <f>IF(I2=0,0,NORMSDIST((I2-$B$2)/$B$3)*100)</f>
        <v>7.3691564379773826</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0.87</v>
      </c>
    </row>
    <row r="6" spans="1:11">
      <c r="B6" s="23">
        <v>0</v>
      </c>
      <c r="C6" s="23">
        <f>NORMSDIST(($B6-$B$2)/$B$3)*100</f>
        <v>0.38478836223957635</v>
      </c>
      <c r="H6" s="205">
        <f>IF(info!V36&gt;I1,I1,info!V36)</f>
        <v>0.86711000000000005</v>
      </c>
      <c r="I6" s="560">
        <v>0</v>
      </c>
    </row>
    <row r="7" spans="1:11">
      <c r="B7" s="23">
        <f>B5+0.05</f>
        <v>0</v>
      </c>
      <c r="C7" s="23">
        <f t="shared" ref="C7:E58" si="0">NORMSDIST(($B7-$B$2)/$B$3)*100</f>
        <v>0.38478836223957635</v>
      </c>
      <c r="H7" s="205">
        <f>IF(info!V36&gt;I1,I1,info!V36)</f>
        <v>0.86711000000000005</v>
      </c>
      <c r="I7" s="560">
        <f>NORMSDIST((H7-$B$2)/$B$3)*100</f>
        <v>7.3691564379773826</v>
      </c>
    </row>
    <row r="8" spans="1:11">
      <c r="B8" s="23">
        <f t="shared" ref="B8:B71" si="1">B7+0.05</f>
        <v>0.05</v>
      </c>
      <c r="C8" s="23">
        <f t="shared" si="0"/>
        <v>0.47295624138584591</v>
      </c>
      <c r="D8" s="171"/>
      <c r="H8" s="205">
        <v>0</v>
      </c>
      <c r="I8" s="560">
        <f>NORMSDIST((H7-$B$2)/$B$3)*100</f>
        <v>7.3691564379773826</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감정변이도0.87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0.86711000000000005</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0.86711000000000005</v>
      </c>
      <c r="I6" s="171">
        <f>NORMSDIST((H6-$B$2)/$B$3)*100</f>
        <v>3.0561909150218426E-2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3.0561909150218426E-2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45795.612199074072</v>
      </c>
      <c r="I7" s="876"/>
      <c r="J7" s="877"/>
      <c r="K7" s="166" t="str">
        <f>lang!B160</f>
        <v>나이</v>
      </c>
      <c r="L7" s="879" t="str">
        <f>IF(FH_info!B2="","", FH_info!T2)</f>
        <v>64</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5"/>
      <c r="Q8" s="886"/>
      <c r="R8" s="884" t="str">
        <f>IF(FH_info!B2="","", FH_info!U2)</f>
        <v>일상센터</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 ca="1">Measurement!CG8</f>
        <v>10</v>
      </c>
      <c r="N12" s="234">
        <f>IF(O12=1,Measurement!CH8,"")</f>
        <v>3</v>
      </c>
      <c r="O12" s="309">
        <v>1</v>
      </c>
      <c r="P12" s="309">
        <f>data_info!I54</f>
        <v>0</v>
      </c>
      <c r="Q12" s="309">
        <f>data_info!I52</f>
        <v>2</v>
      </c>
      <c r="R12" s="309">
        <f>data_info!I53</f>
        <v>2</v>
      </c>
      <c r="S12" s="229"/>
      <c r="T12" s="245">
        <f>info!V45</f>
        <v>5</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45795.612199074072</v>
      </c>
      <c r="I7" s="876"/>
      <c r="J7" s="877"/>
      <c r="K7" s="166" t="str">
        <f>lang!B160</f>
        <v>나이</v>
      </c>
      <c r="L7" s="878" t="str">
        <f>IF(FH_info!B2="","", FH_info!T2)</f>
        <v>64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일상센터</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3</v>
      </c>
      <c r="N12" s="309">
        <v>1</v>
      </c>
      <c r="O12" s="309">
        <f>data_info!I54</f>
        <v>0</v>
      </c>
      <c r="P12" s="309">
        <f>data_info!I52</f>
        <v>2</v>
      </c>
      <c r="Q12" s="309">
        <f>data_info!I53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45795.612199074072</v>
      </c>
      <c r="I7" s="876"/>
      <c r="J7" s="877"/>
      <c r="K7" s="166" t="str">
        <f>lang!B160</f>
        <v>나이</v>
      </c>
      <c r="L7" s="878" t="str">
        <f>IF(FH_info!B2="","", FH_info!T2)</f>
        <v>64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일상센터</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3</v>
      </c>
      <c r="N12" s="309">
        <v>1</v>
      </c>
      <c r="O12" s="309">
        <f>data_info!AC54</f>
        <v>0</v>
      </c>
      <c r="P12" s="309">
        <f>data_info!AC52</f>
        <v>2</v>
      </c>
      <c r="Q12" s="309">
        <f>data_info!AC53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45795.612199074072</v>
      </c>
      <c r="I7" s="876"/>
      <c r="J7" s="877"/>
      <c r="K7" s="166" t="str">
        <f>lang!B160</f>
        <v>나이</v>
      </c>
      <c r="L7" s="878" t="str">
        <f>IF(FH_info!B2="","", FH_info!T2)</f>
        <v>64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일상센터</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3</v>
      </c>
      <c r="N12" s="309">
        <v>1</v>
      </c>
      <c r="O12" s="309">
        <f>data_info!AW54</f>
        <v>0</v>
      </c>
      <c r="P12" s="309">
        <f>data_info!AW52</f>
        <v>2</v>
      </c>
      <c r="Q12" s="309">
        <f>data_info!AW53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45795.612199074072</v>
      </c>
      <c r="I7" s="876"/>
      <c r="J7" s="877"/>
      <c r="K7" s="166" t="str">
        <f>lang!B160</f>
        <v>나이</v>
      </c>
      <c r="L7" s="878" t="str">
        <f>IF(FH_info!B2="","", FH_info!T2)</f>
        <v>64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일상센터</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3</v>
      </c>
      <c r="N12" s="309">
        <v>1</v>
      </c>
      <c r="O12" s="309">
        <f>data_info!BQ54</f>
        <v>0</v>
      </c>
      <c r="P12" s="309">
        <f>data_info!BQ52</f>
        <v>2</v>
      </c>
      <c r="Q12" s="309">
        <f>data_info!BQ53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45795.612199074072</v>
      </c>
      <c r="I7" s="876"/>
      <c r="J7" s="877"/>
      <c r="K7" s="166" t="str">
        <f>lang!B160</f>
        <v>나이</v>
      </c>
      <c r="L7" s="878" t="str">
        <f>IF(FH_info!B2="","", FH_info!T2)</f>
        <v>64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일상센터</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3</v>
      </c>
      <c r="N12" s="309">
        <v>1</v>
      </c>
      <c r="O12" s="309">
        <f>data_info!CK54</f>
        <v>0</v>
      </c>
      <c r="P12" s="309">
        <f>data_info!CK52</f>
        <v>2</v>
      </c>
      <c r="Q12" s="309">
        <f>data_info!CK53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45795.612199074072</v>
      </c>
      <c r="I7" s="876"/>
      <c r="J7" s="877"/>
      <c r="K7" s="166" t="str">
        <f>lang!B160</f>
        <v>나이</v>
      </c>
      <c r="L7" s="878" t="str">
        <f>IF(FH_info!B2="","", FH_info!T2)</f>
        <v>64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일상센터</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3</v>
      </c>
      <c r="N12" s="309">
        <v>1</v>
      </c>
      <c r="O12" s="309">
        <f>data_info!DE54</f>
        <v>0</v>
      </c>
      <c r="P12" s="309">
        <f>data_info!DE52</f>
        <v>2</v>
      </c>
      <c r="Q12" s="309">
        <f>data_info!DE53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45795.612199074072</v>
      </c>
      <c r="I7" s="876"/>
      <c r="J7" s="877"/>
      <c r="K7" s="166" t="str">
        <f>lang!B160</f>
        <v>나이</v>
      </c>
      <c r="L7" s="878" t="str">
        <f>IF(FH_info!B2="","", FH_info!T2)</f>
        <v>64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일상센터</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3</v>
      </c>
      <c r="N12" s="309">
        <v>1</v>
      </c>
      <c r="O12" s="309">
        <f>data_info!DY54</f>
        <v>0</v>
      </c>
      <c r="P12" s="309">
        <f>data_info!DY52</f>
        <v>2</v>
      </c>
      <c r="Q12" s="309">
        <f>data_info!DY53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45795.612199074072</v>
      </c>
      <c r="I7" s="876"/>
      <c r="J7" s="877"/>
      <c r="K7" s="166" t="str">
        <f>lang!B160</f>
        <v>나이</v>
      </c>
      <c r="L7" s="878" t="str">
        <f>IF(FH_info!B2="","", FH_info!T2)</f>
        <v>64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일상센터</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3</v>
      </c>
      <c r="N12" s="309">
        <v>1</v>
      </c>
      <c r="O12" s="309">
        <f>data_info!ES54</f>
        <v>0</v>
      </c>
      <c r="P12" s="309">
        <f>data_info!ES52</f>
        <v>2</v>
      </c>
      <c r="Q12" s="309">
        <f>data_info!ES53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45795.612199074072</v>
      </c>
      <c r="I7" s="876"/>
      <c r="J7" s="877"/>
      <c r="K7" s="166" t="str">
        <f>lang!B160</f>
        <v>나이</v>
      </c>
      <c r="L7" s="878" t="str">
        <f>IF(FH_info!B2="","", FH_info!T2)</f>
        <v>64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일상센터</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3</v>
      </c>
      <c r="N12" s="309">
        <v>1</v>
      </c>
      <c r="O12" s="309">
        <f>data_info!FM54</f>
        <v>0</v>
      </c>
      <c r="P12" s="309">
        <f>data_info!FM52</f>
        <v>2</v>
      </c>
      <c r="Q12" s="309">
        <f>data_info!FM53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45795.612199074072</v>
      </c>
      <c r="I7" s="876"/>
      <c r="J7" s="877"/>
      <c r="K7" s="166" t="str">
        <f>lang!B160</f>
        <v>나이</v>
      </c>
      <c r="L7" s="878" t="str">
        <f>IF(FH_info!B2="","", FH_info!T2)</f>
        <v>64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일상센터</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3</v>
      </c>
      <c r="N12" s="309">
        <v>1</v>
      </c>
      <c r="O12" s="309">
        <f>data_info!GG54</f>
        <v>0</v>
      </c>
      <c r="P12" s="309">
        <f>data_info!GG52</f>
        <v>2</v>
      </c>
      <c r="Q12" s="309">
        <f>data_info!GG53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45795.612199074072</v>
      </c>
      <c r="I7" s="876"/>
      <c r="J7" s="877"/>
      <c r="K7" s="166" t="str">
        <f>lang!B160</f>
        <v>나이</v>
      </c>
      <c r="L7" s="878" t="str">
        <f>IF(FH_info!B2="","", FH_info!T2)</f>
        <v>64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일상센터</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3</v>
      </c>
      <c r="N12" s="309">
        <v>1</v>
      </c>
      <c r="O12" s="309">
        <f>data_info!HA54</f>
        <v>0</v>
      </c>
      <c r="P12" s="309">
        <f>data_info!HA52</f>
        <v>2</v>
      </c>
      <c r="Q12" s="309">
        <f>data_info!HA53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45795.612199074072</v>
      </c>
      <c r="I7" s="876"/>
      <c r="J7" s="877"/>
      <c r="K7" s="166" t="str">
        <f>lang!B160</f>
        <v>나이</v>
      </c>
      <c r="L7" s="878" t="str">
        <f>IF(FH_info!B2="","", FH_info!T2)</f>
        <v>64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일상센터</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3</v>
      </c>
      <c r="N12" s="309">
        <v>1</v>
      </c>
      <c r="O12" s="309">
        <f>data_info!HU54</f>
        <v>0</v>
      </c>
      <c r="P12" s="309">
        <f>data_info!HU52</f>
        <v>2</v>
      </c>
      <c r="Q12" s="309">
        <f>data_info!HU53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45795.612199074072</v>
      </c>
      <c r="I7" s="876"/>
      <c r="J7" s="877"/>
      <c r="K7" s="166" t="str">
        <f>lang!B160</f>
        <v>나이</v>
      </c>
      <c r="L7" s="878" t="str">
        <f>IF(FH_info!B2="","", FH_info!T2)</f>
        <v>64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일상센터</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3</v>
      </c>
      <c r="N12" s="309">
        <v>1</v>
      </c>
      <c r="O12" s="309">
        <f>data_info!IO54</f>
        <v>0</v>
      </c>
      <c r="P12" s="309">
        <f>data_info!IO52</f>
        <v>2</v>
      </c>
      <c r="Q12" s="309">
        <f>data_info!IO53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2025-05-18T05:41:47Z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