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mWOK^1^1^\"/>
    </mc:Choice>
  </mc:AlternateContent>
  <xr:revisionPtr revIDLastSave="0" documentId="13_ncr:1_{728E45F8-FF60-4B6A-A4DE-1179716BCCE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33"/>
  <c r="L8" i="39"/>
  <c r="Q8" i="30"/>
  <c r="H8" i="37"/>
  <c r="L8" i="40"/>
  <c r="L8" i="44"/>
  <c r="L8" i="36"/>
  <c r="L7" i="30"/>
  <c r="H8" i="33"/>
  <c r="Q8" i="36"/>
  <c r="L7" i="38"/>
  <c r="H8" i="39"/>
  <c r="Q8" i="40"/>
  <c r="L7" i="42"/>
  <c r="Q8" i="44"/>
  <c r="L7" i="46"/>
  <c r="L8" i="43"/>
  <c r="Q2" i="14"/>
  <c r="H8" i="49"/>
  <c r="H8" i="30"/>
  <c r="Q8" i="33"/>
  <c r="L7" i="37"/>
  <c r="H8" i="38"/>
  <c r="Q8" i="39"/>
  <c r="L7" i="41"/>
  <c r="H8" i="42"/>
  <c r="Q8" i="43"/>
  <c r="L7" i="45"/>
  <c r="H8" i="46"/>
  <c r="P2" i="14"/>
  <c r="L8" i="30"/>
  <c r="L8" i="38"/>
  <c r="L8" i="42"/>
  <c r="L8" i="46"/>
  <c r="L7" i="36"/>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8" i="1"/>
  <c r="I33" i="48" s="1"/>
  <c r="L16" i="1"/>
  <c r="I41" i="48" s="1"/>
  <c r="L14" i="1"/>
  <c r="I39" i="48" s="1"/>
  <c r="L9" i="1"/>
  <c r="I34"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BY6" i="1" s="1"/>
  <c r="CB7" i="1"/>
  <c r="CA7" i="1"/>
  <c r="CA6" i="1" s="1"/>
  <c r="CD7" i="1"/>
  <c r="BW6" i="1" s="1"/>
  <c r="AS7" i="1"/>
  <c r="A71" i="32"/>
  <c r="A67" i="32"/>
  <c r="B53" i="24"/>
  <c r="D53" i="24" s="1"/>
  <c r="H4" i="21"/>
  <c r="H6" i="21"/>
  <c r="I6" i="21" s="1"/>
  <c r="H5" i="21"/>
  <c r="A9" i="17"/>
  <c r="C8" i="17"/>
  <c r="B8" i="17" s="1"/>
  <c r="V21" i="11"/>
  <c r="V52" i="11"/>
  <c r="X52" i="11" s="1"/>
  <c r="B46" i="25"/>
  <c r="G46" i="25" s="1"/>
  <c r="CD6" i="1"/>
  <c r="BV6" i="1"/>
  <c r="H7" i="21"/>
  <c r="I5" i="21"/>
  <c r="B27" i="21"/>
  <c r="C26" i="21"/>
  <c r="B83" i="23"/>
  <c r="E82" i="23"/>
  <c r="C28" i="23"/>
  <c r="H20" i="18"/>
  <c r="F15" i="13"/>
  <c r="L14" i="13"/>
  <c r="M17" i="1"/>
  <c r="A50" i="6"/>
  <c r="A54" i="6"/>
  <c r="K24" i="1"/>
  <c r="I24" i="1"/>
  <c r="F9" i="11"/>
  <c r="A10" i="11"/>
  <c r="B9" i="11"/>
  <c r="E9" i="11" s="1"/>
  <c r="CB6" i="1" l="1"/>
  <c r="BZ6" i="1"/>
  <c r="BX6" i="1"/>
  <c r="CC6" i="1"/>
  <c r="CE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46"/>
  <c r="O7" i="42"/>
  <c r="O7" i="38"/>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6" i="1" l="1"/>
  <c r="Y13" i="1"/>
  <c r="C212" i="17"/>
  <c r="B212" i="17" s="1"/>
  <c r="A213" i="17"/>
  <c r="F210" i="11"/>
  <c r="B210" i="11"/>
  <c r="E210" i="11" s="1"/>
  <c r="A211" i="11"/>
  <c r="Y9" i="1" l="1"/>
  <c r="Y12" i="1"/>
  <c r="Y10" i="1"/>
  <c r="Y8" i="1"/>
  <c r="Y7" i="1"/>
  <c r="Y14" i="1"/>
  <c r="L38" i="48"/>
  <c r="L38" i="18"/>
  <c r="L41" i="48"/>
  <c r="L41" i="18"/>
  <c r="C213" i="17"/>
  <c r="B213" i="17" s="1"/>
  <c r="Y11" i="1" s="1"/>
  <c r="A214" i="17"/>
  <c r="F211" i="11"/>
  <c r="A212" i="11"/>
  <c r="B211" i="11"/>
  <c r="E211" i="11" s="1"/>
  <c r="L32" i="48" l="1"/>
  <c r="L32" i="18"/>
  <c r="L33" i="48"/>
  <c r="L33" i="18"/>
  <c r="L39" i="48"/>
  <c r="L39" i="18"/>
  <c r="L35" i="48"/>
  <c r="L35" i="18"/>
  <c r="L37" i="48"/>
  <c r="L37" i="18"/>
  <c r="L36" i="48"/>
  <c r="L36" i="18"/>
  <c r="L34" i="48"/>
  <c r="L34"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G10" i="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G11" i="1" l="1"/>
  <c r="CJ11" i="1"/>
  <c r="G13" i="18" s="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2" i="1"/>
  <c r="CK19" i="1"/>
  <c r="C312" i="17"/>
  <c r="B312" i="17" s="1"/>
  <c r="CP12" i="1" s="1"/>
  <c r="A313" i="17"/>
  <c r="F310" i="11"/>
  <c r="CG12" i="1" l="1"/>
  <c r="CJ19" i="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CB40"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AX22" i="11" s="1"/>
  <c r="F620" i="11"/>
  <c r="AR26" i="11" l="1"/>
  <c r="X21" i="11" s="1"/>
  <c r="AS26" i="11"/>
  <c r="C624" i="17"/>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<sst xmlns="http://schemas.openxmlformats.org/spreadsheetml/2006/main" count="7312" uniqueCount="2586">
  <si>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</si>
  <si>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</si>
  <si>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</si>
  <si>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</si>
  <si>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</si>
  <si>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</si>
  <si>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</si>
  <si>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</si>
  <si>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</si>
  <si>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</si>
  <si>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</si>
  <si>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</si>
  <si>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</si>
  <si>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</si>
  <si>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</si>
  <si>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</si>
  <si>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</si>
  <si>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</si>
  <si>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</si>
  <si>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</si>
  <si>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</si>
  <si>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</si>
  <si>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</si>
  <si>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</si>
  <si>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</si>
  <si>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</si>
  <si>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</si>
  <si>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</si>
  <si>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</si>
  <si>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</si>
  <si>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</si>
  <si>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</si>
  <si>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</si>
  <si>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</si>
  <si>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</si>
  <si>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</si>
  <si>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</si>
  <si>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</si>
  <si>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</si>
  <si>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</si>
  <si>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</si>
  <si>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</si>
  <si>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</si>
  <si>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</si>
  <si>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</si>
  <si>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</si>
  <si>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</si>
  <si>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</si>
  <si>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</si>
  <si>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</si>
  <si>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</si>
  <si>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</si>
  <si>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</si>
  <si>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</si>
  <si>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</si>
  <si>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</si>
  <si>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</si>
  <si>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</si>
  <si>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</si>
  <si>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</si>
  <si>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</si>
  <si>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</si>
  <si>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</si>
  <si>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</si>
  <si>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</si>
  <si>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</si>
  <si>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</si>
  <si>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</si>
  <si>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</si>
  <si>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</si>
  <si>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</si>
  <si>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</si>
  <si>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</si>
  <si>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</si>
  <si>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</si>
  <si>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</si>
  <si>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</si>
  <si>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</si>
  <si>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</si>
  <si>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</si>
  <si>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</si>
  <si>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</si>
  <si>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</si>
  <si>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</si>
  <si>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</si>
  <si>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</si>
  <si>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</si>
  <si>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</si>
  <si>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</si>
  <si>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</si>
  <si>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</si>
  <si>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</si>
  <si>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</si>
  <si>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</si>
  <si>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</si>
  <si>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</si>
  <si>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</si>
  <si>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</si>
  <si>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</si>
  <si>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</si>
  <si>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</si>
  <si>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</si>
  <si>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</si>
  <si>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</si>
  <si>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</si>
  <si>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</si>
  <si>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</si>
  <si>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</si>
  <si>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</si>
  <si>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</si>
  <si>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</si>
  <si>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</si>
  <si>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</si>
  <si>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</si>
  <si>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</si>
  <si>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</si>
  <si>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</si>
  <si>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</si>
  <si>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</si>
  <si>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</si>
  <si>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</si>
  <si>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</si>
  <si>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</si>
  <si>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</si>
  <si>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</si>
  <si>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</si>
  <si>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</si>
  <si>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</si>
  <si>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</si>
  <si>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</si>
  <si>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</si>
  <si>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</si>
  <si>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</si>
  <si>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</si>
  <si>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</si>
  <si>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</si>
  <si>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</si>
  <si>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</si>
  <si>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</si>
  <si>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</si>
  <si>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</si>
  <si>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</si>
  <si>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</si>
  <si>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</si>
  <si>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</si>
  <si>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</si>
  <si>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</si>
  <si>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</si>
  <si>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</si>
  <si>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</si>
  <si>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</si>
  <si>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</si>
  <si>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</si>
  <si>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</si>
  <si>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</si>
  <si>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</si>
  <si>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</si>
  <si>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</si>
  <si>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</si>
  <si>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</si>
  <si>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</si>
  <si>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</si>
  <si>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</si>
  <si>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</si>
  <si>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</si>
  <si>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</si>
  <si>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</si>
  <si>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</si>
  <si>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</si>
  <si>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</si>
  <si>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</si>
  <si>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</si>
  <si>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</si>
  <si>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</si>
  <si>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</si>
  <si>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</si>
  <si>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</si>
  <si>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</si>
  <si>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</si>
  <si>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</si>
  <si>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</si>
  <si>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</si>
  <si>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</si>
  <si>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</si>
  <si>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</si>
  <si>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</si>
  <si>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</si>
  <si>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</si>
  <si>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</si>
  <si>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</si>
  <si>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</si>
  <si>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</si>
  <si>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</si>
  <si>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</si>
  <si>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</si>
  <si>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</si>
  <si>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</si>
  <si>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</si>
  <si>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</si>
  <si>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</si>
  <si>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</si>
  <si>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</si>
  <si>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</si>
  <si>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</si>
  <si>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</si>
  <si>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</si>
  <si>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</si>
  <si>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</si>
  <si>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</si>
  <si>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</si>
  <si>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</si>
  <si>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</si>
  <si>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</si>
  <si>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</si>
  <si>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</si>
  <si>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</si>
  <si>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</si>
  <si>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</si>
  <si>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</si>
  <si>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</si>
  <si>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</si>
  <si>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</si>
  <si>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</si>
  <si>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</si>
  <si>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</si>
  <si>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</si>
  <si>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</si>
  <si>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</si>
  <si>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</si>
  <si>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</si>
  <si>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</si>
  <si>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</si>
  <si>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</si>
  <si>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</si>
  <si>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</si>
  <si>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</si>
  <si>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</si>
  <si>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</si>
  <si>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</si>
  <si>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</si>
  <si>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</si>
  <si>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</si>
  <si>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</si>
  <si>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</si>
  <si>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</si>
  <si>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</si>
  <si>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</si>
  <si>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</si>
  <si>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</si>
  <si>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</si>
  <si>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</si>
  <si>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</si>
  <si>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</si>
  <si>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</si>
  <si>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</si>
  <si>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</si>
  <si>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</si>
  <si>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</si>
  <si>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</si>
  <si>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</si>
  <si>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</si>
  <si>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</si>
  <si>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</si>
  <si>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</si>
  <si>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</si>
  <si>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</si>
  <si>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</si>
  <si>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</si>
  <si>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</si>
  <si>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</si>
  <si>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</si>
  <si>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</si>
  <si>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</si>
  <si>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</si>
  <si>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</si>
  <si>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</si>
  <si>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</si>
  <si>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</si>
  <si>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</si>
  <si>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</si>
  <si>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</si>
  <si>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</si>
  <si>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</si>
  <si>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</si>
  <si>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</si>
  <si>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</si>
  <si>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</si>
  <si>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</si>
  <si>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</si>
  <si>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</si>
  <si>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</si>
  <si>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</si>
  <si>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</si>
  <si>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</si>
  <si>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</si>
  <si>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</si>
  <si>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</si>
  <si>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</si>
  <si>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</si>
  <si>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</si>
  <si>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</si>
  <si>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</si>
  <si>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</si>
  <si>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</si>
  <si>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</si>
  <si>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</si>
  <si>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</si>
  <si>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</si>
  <si>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</si>
  <si>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</si>
  <si>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</si>
  <si>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</si>
  <si>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</si>
  <si>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</si>
  <si>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</si>
  <si>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</si>
  <si>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</si>
  <si>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</si>
  <si>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</si>
  <si>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</si>
  <si>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</si>
  <si>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</si>
  <si>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</si>
  <si>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</si>
  <si>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</si>
  <si>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</si>
  <si>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</si>
  <si>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</si>
  <si>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</si>
  <si>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</si>
  <si>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</si>
  <si>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</si>
  <si>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</si>
  <si>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</si>
  <si>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</si>
  <si>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</si>
  <si>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</si>
  <si>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</si>
  <si>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</si>
  <si>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</si>
  <si>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</si>
  <si>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</si>
  <si>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</si>
  <si>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</si>
  <si>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</si>
  <si>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</si>
  <si>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</si>
  <si>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</si>
  <si>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</si>
  <si>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</si>
  <si>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</si>
  <si>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</si>
  <si>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</si>
  <si>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</si>
  <si>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</si>
  <si>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</si>
  <si>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</si>
  <si>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</si>
  <si>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</si>
  <si>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</si>
  <si>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</si>
  <si>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</si>
  <si>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</si>
  <si>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</si>
  <si>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</si>
  <si>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</si>
  <si>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</si>
  <si>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</si>
  <si>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</si>
  <si>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</si>
  <si>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</si>
  <si>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</si>
  <si>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</si>
  <si>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</si>
  <si>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</si>
  <si>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</si>
  <si>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</si>
  <si>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</si>
  <si>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</si>
  <si>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</si>
  <si>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</si>
  <si>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</si>
  <si>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</si>
  <si>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</si>
  <si>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</si>
  <si>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</si>
  <si>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</si>
  <si>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</si>
  <si>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</si>
  <si>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</si>
  <si>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</si>
  <si>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</si>
  <si>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</si>
  <si>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</si>
  <si>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</si>
  <si>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</si>
  <si>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</si>
  <si>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</si>
  <si>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</si>
  <si>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</si>
  <si>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</si>
  <si>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</si>
  <si>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</si>
  <si>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</si>
  <si>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</si>
  <si>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</si>
  <si>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</si>
  <si>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</si>
  <si>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</si>
  <si>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</si>
  <si>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</si>
  <si>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</si>
  <si>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</si>
  <si>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</si>
  <si>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</si>
  <si>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</si>
  <si>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</si>
  <si>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</si>
  <si>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</si>
  <si>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</si>
  <si>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</si>
  <si>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</si>
  <si>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</si>
  <si>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</si>
  <si>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</si>
  <si>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</si>
  <si>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</si>
  <si>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</si>
  <si>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</si>
  <si>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</si>
  <si>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</si>
  <si>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</si>
  <si>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</si>
  <si>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</si>
  <si>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</si>
  <si>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</si>
  <si>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</si>
  <si>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</si>
  <si>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</si>
  <si>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</si>
  <si>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</si>
  <si>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</si>
  <si>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</si>
  <si>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</si>
  <si>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</si>
  <si>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</si>
  <si>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</si>
  <si>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</si>
  <si>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</si>
  <si>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</si>
  <si>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</si>
  <si>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</si>
  <si>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</si>
  <si>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</si>
  <si>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</si>
  <si>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</si>
  <si>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</si>
  <si>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</si>
  <si>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</si>
  <si>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</si>
  <si>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</si>
  <si>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</si>
  <si>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</si>
  <si>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</si>
  <si>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</si>
  <si>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</si>
  <si>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</si>
  <si>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</si>
  <si>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</si>
  <si>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</si>
  <si>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</si>
  <si>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</si>
  <si>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</si>
  <si>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</si>
  <si>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</si>
  <si>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</si>
  <si>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</si>
  <si>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</si>
  <si>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</si>
  <si>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</si>
  <si>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</si>
  <si>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</si>
  <si>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</si>
  <si>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</si>
  <si>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</si>
  <si>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</si>
  <si>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</si>
  <si>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</si>
  <si>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</si>
  <si>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</si>
  <si>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</si>
  <si>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</si>
  <si>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</si>
  <si>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</si>
  <si>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</si>
  <si>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</si>
  <si>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</si>
  <si>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</si>
  <si>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</si>
  <si>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</si>
  <si>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</si>
  <si>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</si>
  <si>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</si>
  <si>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</si>
  <si>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</si>
  <si>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</si>
  <si>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</si>
  <si>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</si>
  <si>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</si>
  <si>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</si>
  <si>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</si>
  <si>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</si>
  <si>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</si>
  <si>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</si>
  <si>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</si>
  <si>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</si>
  <si>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</si>
  <si>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</si>
  <si>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</si>
  <si>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</si>
  <si>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</si>
  <si>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</si>
  <si>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</si>
  <si>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</si>
  <si>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</si>
  <si>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</si>
  <si>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</si>
  <si>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</si>
  <si>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</si>
  <si>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</si>
  <si>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</si>
  <si>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</si>
  <si>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</si>
  <si>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</si>
  <si>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</si>
  <si>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</si>
  <si>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</si>
  <si>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</si>
  <si>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</si>
  <si>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</si>
  <si>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</si>
  <si>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</si>
  <si>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</si>
  <si>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</si>
  <si>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</si>
  <si>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</si>
  <si>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</si>
  <si>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</si>
  <si>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</si>
  <si>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</si>
  <si>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</si>
  <si>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</si>
  <si>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</si>
  <si>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</si>
  <si>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</si>
  <si>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</si>
  <si>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</si>
  <si>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</si>
  <si>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</si>
  <si>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</si>
  <si>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</si>
  <si>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</si>
  <si>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</si>
  <si>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</si>
  <si>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</si>
  <si>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</si>
  <si>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</si>
  <si>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</si>
  <si>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</si>
  <si>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</si>
  <si>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</si>
  <si>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</si>
  <si>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</si>
  <si>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</si>
  <si>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</si>
  <si>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</si>
  <si>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</si>
  <si>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</si>
  <si>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</si>
  <si>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</si>
  <si>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</si>
  <si>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</si>
  <si>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</si>
  <si>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</si>
  <si>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</si>
  <si>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</si>
  <si>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</si>
  <si>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</si>
  <si>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</si>
  <si>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</si>
  <si>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</si>
  <si>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</si>
  <si>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</si>
  <si>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</si>
  <si>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</si>
  <si>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</si>
  <si>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</si>
  <si>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</si>
  <si>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</si>
  <si>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</si>
  <si>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</si>
  <si>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</si>
  <si>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</si>
  <si>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</si>
  <si>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</si>
  <si>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</si>
  <si>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</si>
  <si>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</si>
  <si>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</si>
  <si>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</si>
  <si>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</si>
  <si>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</si>
  <si>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</si>
  <si>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</si>
  <si>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</si>
  <si>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</si>
  <si>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</si>
  <si>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</si>
  <si>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</si>
  <si>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</si>
  <si>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</si>
  <si>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</si>
  <si>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</si>
  <si>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</si>
  <si>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</si>
  <si>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</si>
  <si>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</si>
  <si>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</si>
  <si>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</si>
  <si>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</si>
  <si>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</si>
  <si>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</si>
  <si>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</si>
  <si>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</si>
  <si>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</si>
  <si>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</si>
  <si>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</si>
  <si>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</si>
  <si>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</si>
  <si>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</si>
  <si>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</si>
  <si>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</si>
  <si>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</si>
  <si>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</si>
  <si>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</si>
  <si>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</si>
  <si>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</si>
  <si>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</si>
  <si>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</si>
  <si>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</si>
  <si>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</si>
  <si>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</si>
  <si>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</si>
  <si>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</si>
  <si>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</si>
  <si>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</si>
  <si>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</si>
  <si>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</si>
  <si>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</si>
  <si>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</si>
  <si>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</si>
  <si>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</si>
  <si>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</si>
  <si>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</si>
  <si>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</si>
  <si>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</si>
  <si>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</si>
  <si>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</si>
  <si>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</si>
  <si>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</si>
  <si>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</si>
  <si>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</si>
  <si>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</si>
  <si>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</si>
  <si>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</si>
  <si>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</si>
  <si>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</si>
  <si>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</si>
  <si>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</si>
  <si>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</si>
  <si>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</si>
  <si>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</si>
  <si>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</si>
  <si>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</si>
  <si>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</si>
  <si>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</si>
  <si>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</si>
  <si>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</si>
  <si>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</si>
  <si>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</si>
  <si>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</si>
  <si>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</si>
  <si>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</si>
  <si>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</si>
  <si>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</si>
  <si>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</si>
  <si>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</si>
  <si>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</si>
  <si>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</si>
  <si>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</si>
  <si>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</si>
  <si>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</si>
  <si>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</si>
  <si>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</si>
  <si>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</si>
  <si>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</si>
  <si>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</si>
  <si>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</si>
  <si>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</si>
  <si>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</si>
  <si>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</si>
  <si>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</si>
  <si>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</si>
  <si>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</si>
  <si>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</si>
  <si>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</si>
  <si>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</si>
  <si>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</si>
  <si>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</si>
  <si>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</si>
  <si>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</si>
  <si>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</si>
  <si>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</si>
  <si>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</si>
  <si>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</si>
  <si>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</si>
  <si>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</si>
  <si>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</si>
  <si>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</si>
  <si>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</si>
  <si>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</si>
  <si>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</si>
  <si>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</si>
  <si>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</si>
  <si>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</si>
  <si>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</si>
  <si>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</si>
  <si>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</si>
  <si>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</si>
  <si>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</si>
  <si>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</si>
  <si>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</si>
  <si>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</si>
  <si>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</si>
  <si>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</si>
  <si>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</si>
  <si>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</si>
  <si>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</si>
  <si>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</si>
  <si>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</si>
  <si>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</si>
  <si>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</si>
  <si>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</si>
  <si>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</si>
  <si>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</si>
  <si>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</si>
  <si>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</si>
  <si>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</si>
  <si>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</si>
  <si>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</si>
  <si>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</si>
  <si>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</si>
  <si>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</si>
  <si>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</si>
  <si>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</si>
  <si>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</si>
  <si>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</si>
  <si>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</si>
  <si>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</si>
  <si>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</si>
  <si>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</si>
  <si>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</si>
  <si>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</si>
  <si>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</si>
  <si>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</si>
  <si>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</si>
  <si>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</si>
  <si>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</si>
  <si>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</si>
  <si>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</si>
  <si>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</si>
  <si>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</si>
  <si>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</si>
  <si>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</si>
  <si>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</si>
  <si>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</si>
  <si>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</si>
  <si>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</si>
  <si>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</si>
  <si>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</si>
  <si>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</si>
  <si>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</si>
  <si>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</si>
  <si>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</si>
  <si>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</si>
  <si>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</si>
  <si>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</si>
  <si>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</si>
  <si>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</si>
  <si>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</si>
  <si>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</si>
  <si>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</si>
  <si>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</si>
  <si>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</si>
  <si>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</si>
  <si>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</si>
  <si>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</si>
  <si>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</si>
  <si>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</si>
  <si>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</si>
  <si>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</si>
  <si>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</si>
  <si>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</si>
  <si>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</si>
  <si>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</si>
  <si>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</si>
  <si>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</si>
  <si>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</si>
  <si>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</si>
  <si>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</si>
  <si>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</si>
  <si>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</si>
  <si>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</si>
  <si>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</si>
  <si>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</si>
  <si>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</si>
  <si>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</si>
  <si>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</si>
  <si>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</si>
  <si>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</si>
  <si>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</si>
  <si>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</si>
  <si>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</si>
  <si>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</si>
  <si>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</si>
  <si>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</si>
  <si>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</si>
  <si>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</si>
  <si>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</si>
  <si>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</si>
  <si>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</si>
  <si>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</si>
  <si>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</si>
  <si>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</si>
  <si>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</si>
  <si>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</si>
  <si>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</si>
  <si>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</si>
  <si>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</si>
  <si>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</si>
  <si>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</si>
  <si>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</si>
  <si>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</si>
  <si>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</si>
  <si>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</si>
  <si>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</si>
  <si>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</si>
  <si>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</si>
  <si>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</si>
  <si>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</si>
  <si>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</si>
  <si>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</si>
  <si>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</si>
  <si>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</si>
  <si>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</si>
  <si>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</si>
  <si>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</si>
  <si>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</si>
  <si>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</si>
  <si>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</si>
  <si>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</si>
  <si>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</si>
  <si>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</si>
  <si>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</si>
  <si>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</si>
  <si>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</si>
  <si>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</si>
  <si>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</si>
  <si>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</si>
  <si>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</si>
  <si>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</si>
  <si>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</si>
  <si>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</si>
  <si>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</si>
  <si>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</si>
  <si>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</si>
  <si>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</si>
  <si>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</si>
  <si>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</si>
  <si>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</si>
  <si>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</si>
  <si>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</si>
  <si>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</si>
  <si>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</si>
  <si>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</si>
  <si>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</si>
  <si>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</si>
  <si>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</si>
  <si>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</si>
  <si>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</si>
  <si>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</si>
  <si>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</si>
  <si>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</si>
  <si>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</si>
  <si>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</si>
  <si>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</si>
  <si>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</si>
  <si>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</si>
  <si>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</si>
  <si>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</si>
  <si>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</si>
  <si>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</si>
  <si>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</si>
  <si>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</si>
  <si>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</si>
  <si>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</si>
  <si>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</si>
  <si>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</si>
  <si>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</si>
  <si>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</si>
  <si>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</si>
  <si>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</si>
  <si>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</si>
  <si>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</si>
  <si>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</si>
  <si>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</si>
  <si>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</si>
  <si>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</si>
  <si>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</si>
  <si>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</si>
  <si>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</si>
  <si>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</si>
  <si>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</si>
  <si>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</si>
  <si>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</si>
  <si>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</si>
  <si>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</si>
  <si>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</si>
  <si>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</si>
  <si>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</si>
  <si>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</si>
  <si>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</si>
  <si>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</si>
  <si>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</si>
  <si>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</si>
  <si>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</si>
  <si>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</si>
  <si>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</si>
  <si>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</si>
  <si>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</si>
  <si>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</si>
  <si>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</si>
  <si>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</si>
  <si>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</si>
  <si>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</si>
  <si>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</si>
  <si>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</si>
  <si>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</si>
  <si>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</si>
  <si>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</si>
  <si>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</si>
  <si>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</si>
  <si>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</si>
  <si>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</si>
  <si>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</si>
  <si>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</si>
  <si>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</si>
  <si>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</si>
  <si>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</si>
  <si>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</si>
  <si>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</si>
  <si>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</si>
  <si>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</si>
  <si>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</si>
  <si>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</si>
  <si>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</si>
  <si>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</si>
  <si>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</si>
  <si>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</si>
  <si>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</si>
  <si>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</si>
  <si>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</si>
  <si>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</si>
  <si>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</si>
  <si>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</si>
  <si>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</si>
  <si>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</si>
  <si>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</si>
  <si>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</si>
  <si>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</si>
  <si>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</si>
  <si>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</si>
  <si>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</si>
  <si>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</si>
  <si>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</si>
  <si>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</si>
  <si>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</si>
  <si>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</si>
  <si>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</si>
  <si>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</si>
  <si>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</si>
  <si>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</si>
  <si>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</si>
  <si>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</si>
  <si>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</si>
  <si>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</si>
  <si>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</si>
  <si>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</si>
  <si>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</si>
  <si>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</si>
  <si>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</si>
  <si>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</si>
  <si>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</si>
  <si>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</si>
  <si>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</si>
  <si>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</si>
  <si>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</si>
  <si>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</si>
  <si>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</si>
  <si>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</si>
  <si>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</si>
  <si>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</si>
  <si>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</si>
  <si>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</si>
  <si>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</si>
  <si>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</si>
  <si>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</si>
  <si>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</si>
  <si>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</si>
  <si>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</si>
  <si>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</si>
  <si>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</si>
  <si>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</si>
  <si>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</si>
  <si>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</si>
  <si>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</si>
  <si>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</si>
  <si>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</si>
  <si>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</si>
  <si>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</si>
  <si>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</si>
  <si>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</si>
  <si>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</si>
  <si>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</si>
  <si>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</si>
  <si>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</si>
  <si>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</si>
  <si>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</si>
  <si>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</si>
  <si>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</si>
  <si>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</si>
  <si>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</si>
  <si>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</si>
  <si>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</si>
  <si>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</si>
  <si>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</si>
  <si>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</si>
  <si>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</si>
  <si>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</si>
  <si>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</si>
  <si>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</si>
  <si>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</si>
  <si>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</si>
  <si>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</si>
  <si>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</si>
  <si>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</si>
  <si>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</si>
  <si>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</si>
  <si>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</si>
  <si>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</si>
  <si>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</si>
  <si>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</si>
  <si>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</si>
  <si>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</si>
  <si>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</si>
  <si>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</si>
  <si>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</si>
  <si>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</si>
  <si>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</si>
  <si>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</si>
  <si>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</si>
  <si>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</si>
  <si>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</si>
  <si>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</si>
  <si>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</si>
  <si>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</si>
  <si>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</si>
  <si>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</si>
  <si>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</si>
  <si>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</si>
  <si>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</si>
  <si>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</si>
  <si>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</si>
  <si>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</si>
  <si>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</si>
  <si>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</si>
  <si>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</si>
  <si>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</si>
  <si>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</si>
  <si>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</si>
  <si>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</si>
  <si>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</si>
  <si>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</si>
  <si>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</si>
  <si>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</si>
  <si>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</si>
  <si>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</si>
  <si>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</si>
  <si>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</si>
  <si>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</si>
  <si>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</si>
  <si>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</si>
  <si>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</si>
  <si>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</si>
  <si>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</si>
  <si>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</si>
  <si>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</si>
  <si>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</si>
  <si>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</si>
  <si>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</si>
  <si>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</si>
  <si>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</si>
  <si>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</si>
  <si>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</si>
  <si>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</si>
  <si>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</si>
  <si>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</si>
  <si>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</si>
  <si>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</si>
  <si>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</si>
  <si>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</si>
  <si>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</si>
  <si>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</si>
  <si>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</si>
  <si>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</si>
  <si>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</si>
  <si>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</si>
  <si>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</si>
  <si>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</si>
  <si>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</si>
  <si>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</si>
  <si>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</si>
  <si>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</si>
  <si>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</si>
  <si>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</si>
  <si>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</si>
  <si>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</si>
  <si>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</si>
  <si>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</si>
  <si>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</si>
  <si>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</si>
  <si>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</si>
  <si>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</si>
  <si>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</si>
  <si>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</si>
  <si>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</si>
  <si>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</si>
  <si>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</si>
  <si>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</si>
  <si>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</si>
  <si>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</si>
  <si>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</si>
  <si>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</si>
  <si>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</si>
  <si>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</si>
  <si>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</si>
  <si>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</si>
  <si>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</si>
  <si>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</si>
  <si>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</si>
  <si>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</si>
  <si>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</si>
  <si>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</si>
  <si>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</si>
  <si>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</si>
  <si>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</si>
  <si>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</si>
  <si>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</si>
  <si>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</si>
  <si>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</si>
  <si>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</si>
  <si>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</si>
  <si>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</si>
  <si>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</si>
  <si>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</si>
  <si>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</si>
  <si>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</si>
  <si>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</si>
  <si>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</si>
  <si>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</si>
  <si>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</si>
  <si>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</si>
  <si>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</si>
  <si>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</si>
  <si>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</si>
  <si>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</si>
  <si>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</si>
  <si>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</si>
  <si>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</si>
  <si>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</si>
  <si>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</si>
  <si>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</si>
  <si>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</si>
  <si>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</si>
  <si>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</si>
  <si>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</si>
  <si>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</si>
  <si>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</si>
  <si>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</si>
  <si>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</si>
  <si>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</si>
  <si>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</si>
  <si>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</si>
  <si>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</si>
  <si>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</si>
  <si>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</si>
  <si>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</si>
  <si>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</si>
  <si>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</si>
  <si>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</si>
  <si>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</si>
  <si>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</si>
  <si>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</si>
  <si>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</si>
  <si>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</si>
  <si>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</si>
  <si>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</si>
  <si>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</si>
  <si>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</si>
  <si>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</si>
  <si>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</si>
  <si>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</si>
  <si>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</si>
  <si>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</si>
  <si>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</si>
  <si>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</si>
  <si>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</si>
  <si>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</si>
  <si>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</si>
  <si>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</si>
  <si>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</si>
  <si>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</si>
  <si>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</si>
  <si>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</si>
  <si>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</si>
  <si>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</si>
  <si>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</si>
  <si>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</si>
  <si>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</si>
  <si>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</si>
  <si>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</si>
  <si>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</si>
  <si>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</si>
  <si>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</si>
  <si>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</si>
  <si>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</si>
  <si>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</si>
  <si>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</si>
  <si>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</si>
  <si>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</si>
  <si>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</si>
  <si>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</si>
  <si>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</si>
  <si>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</si>
  <si>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</si>
  <si>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</si>
  <si>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</si>
  <si>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</si>
  <si>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</si>
  <si>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</si>
  <si>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</si>
  <si>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</si>
  <si>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</si>
  <si>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</si>
  <si>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</si>
  <si>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</si>
  <si>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</si>
  <si>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</si>
  <si>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</si>
  <si>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</si>
  <si>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</si>
  <si>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</si>
  <si>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</si>
  <si>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</si>
  <si>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</si>
  <si>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</si>
  <si>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</si>
  <si>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</si>
  <si>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</si>
  <si>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</si>
  <si>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</si>
  <si>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</si>
  <si>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</si>
  <si>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</si>
  <si>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</si>
  <si>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</si>
  <si>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</si>
  <si>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</si>
  <si>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</si>
  <si>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</si>
  <si>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</si>
  <si>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</si>
  <si>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</si>
  <si>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</si>
  <si>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</si>
  <si>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</si>
  <si>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</si>
  <si>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</si>
  <si>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</si>
  <si>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</si>
  <si>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</si>
  <si>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</si>
  <si>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</si>
  <si>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</si>
  <si>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</si>
  <si>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</si>
  <si>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</si>
  <si>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</si>
  <si>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</si>
  <si>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</si>
  <si>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</si>
  <si>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</si>
  <si>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</si>
  <si>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</si>
  <si>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</si>
  <si>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</si>
  <si>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</si>
  <si>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</si>
  <si>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</si>
  <si>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</si>
  <si>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</si>
  <si>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</si>
  <si>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</si>
  <si>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</si>
  <si>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</si>
  <si>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</si>
  <si>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</si>
  <si>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</si>
  <si>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</si>
  <si>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</si>
  <si>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</si>
  <si>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</si>
  <si>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</si>
  <si>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</si>
  <si>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</si>
  <si>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</si>
  <si>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</si>
  <si>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</si>
  <si>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</si>
  <si>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</si>
  <si>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</si>
  <si>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</si>
  <si>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</si>
  <si>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</si>
  <si>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</si>
  <si>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</si>
  <si>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</si>
  <si>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</si>
  <si>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</si>
  <si>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</si>
  <si>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</si>
  <si>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</si>
  <si>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</si>
  <si>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</si>
  <si>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</si>
  <si>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</si>
  <si>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</si>
  <si>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</si>
  <si>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</si>
  <si>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</si>
  <si>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</si>
  <si>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</si>
  <si>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</si>
  <si>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</si>
  <si>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</si>
  <si>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</si>
  <si>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</si>
  <si>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</si>
  <si>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</si>
  <si>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</si>
  <si>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</si>
  <si>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</si>
  <si>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</si>
  <si>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</si>
  <si>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</si>
  <si>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</si>
  <si>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</si>
  <si>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</si>
  <si>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</si>
  <si>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</si>
  <si>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</si>
  <si>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</si>
  <si>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</si>
  <si>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</si>
  <si>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</si>
  <si>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</si>
  <si>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</si>
  <si>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</si>
  <si>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</si>
  <si>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</si>
  <si>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</si>
  <si>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</si>
  <si>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</si>
  <si>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</si>
  <si>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</si>
  <si>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</si>
  <si>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</si>
  <si>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</si>
  <si>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</si>
  <si>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</si>
  <si>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</si>
  <si>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</si>
  <si>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</si>
  <si>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</si>
  <si>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</si>
  <si>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</si>
  <si>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</si>
  <si>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</si>
  <si>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</si>
  <si>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</si>
  <si>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</si>
  <si>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</si>
  <si>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</si>
  <si>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</si>
  <si>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</si>
  <si>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</si>
  <si>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</si>
  <si>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</si>
  <si>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</si>
  <si>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</si>
  <si>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</si>
  <si>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</si>
  <si>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</si>
  <si>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</si>
  <si>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</si>
  <si>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</si>
  <si>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</si>
  <si>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</si>
  <si>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</si>
  <si>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</si>
  <si>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</si>
  <si>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</si>
  <si>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</si>
  <si>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</si>
  <si>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</si>
  <si>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</si>
  <si>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</si>
  <si>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</si>
  <si>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</si>
  <si>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</si>
  <si>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</si>
  <si>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</si>
  <si>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</si>
  <si>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</si>
  <si>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</si>
  <si>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</si>
  <si>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</si>
  <si>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</si>
  <si>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</si>
  <si>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</si>
  <si>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</si>
  <si>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</si>
  <si>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</si>
  <si>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</si>
  <si>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</si>
  <si>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</si>
  <si>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</si>
  <si>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</si>
  <si>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</si>
  <si>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</si>
  <si>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</si>
  <si>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</si>
  <si>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</si>
  <si>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</si>
  <si>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</si>
  <si>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</si>
  <si>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</si>
  <si>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</si>
  <si>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</si>
  <si>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</si>
  <si>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</si>
  <si>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</si>
  <si>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</si>
  <si>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</si>
  <si>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</si>
  <si>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</si>
  <si>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</si>
  <si>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</si>
  <si>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</si>
  <si>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</si>
  <si>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</si>
  <si>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</si>
  <si>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</si>
  <si>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</si>
  <si>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</si>
  <si>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</si>
  <si>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</si>
  <si>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</si>
  <si>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</si>
  <si>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</si>
  <si>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</si>
  <si>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</si>
  <si>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</si>
  <si>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</si>
  <si>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</si>
  <si>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</si>
  <si>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</si>
  <si>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</si>
  <si>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</si>
  <si>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</si>
  <si>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</si>
  <si>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</si>
  <si>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</si>
  <si>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</si>
  <si>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</si>
  <si>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</si>
  <si>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</si>
  <si>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</si>
  <si>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</si>
  <si>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</si>
  <si>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</si>
  <si>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</si>
  <si>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</si>
  <si>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</si>
  <si>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</si>
  <si>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</si>
  <si>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</si>
  <si>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</si>
  <si>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</si>
  <si>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</si>
  <si>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</si>
  <si>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</si>
  <si>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</si>
  <si>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</si>
  <si>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</si>
  <si>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</si>
  <si>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</si>
  <si>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</si>
  <si>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</si>
  <si>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</si>
  <si>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</si>
  <si>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</si>
  <si>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</si>
  <si>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</si>
  <si>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</si>
  <si>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</si>
  <si>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</si>
  <si>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</si>
  <si>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</si>
  <si>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</si>
  <si>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</si>
  <si>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</si>
  <si>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</si>
  <si>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</si>
  <si>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</si>
  <si>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</si>
  <si>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</si>
  <si>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</si>
  <si>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</si>
  <si>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</si>
  <si>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</si>
  <si>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</si>
  <si>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</si>
  <si>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</si>
  <si>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</si>
  <si>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</si>
  <si>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</si>
  <si>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</si>
  <si>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</si>
  <si>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</si>
  <si>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</si>
  <si>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</si>
  <si>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</si>
  <si>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</si>
  <si>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</si>
  <si>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</si>
  <si>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</si>
  <si>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</si>
  <si>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</si>
  <si>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</si>
  <si>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</si>
  <si>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</si>
  <si>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</si>
  <si>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</si>
  <si>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</si>
  <si>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</si>
  <si>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</si>
  <si>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</si>
  <si>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</si>
  <si>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</si>
  <si>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</si>
  <si>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</si>
  <si>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</si>
  <si>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</si>
  <si>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</si>
  <si>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</si>
  <si>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</si>
  <si>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</si>
  <si>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</si>
  <si>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</si>
  <si>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</si>
  <si>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</si>
  <si>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</si>
  <si>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</si>
  <si>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</si>
  <si>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</si>
  <si>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</si>
  <si>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</si>
  <si>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</si>
  <si>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</si>
  <si>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</si>
  <si>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</si>
  <si>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</si>
  <si>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</si>
  <si>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</si>
  <si>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</si>
  <si>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</si>
  <si>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</si>
  <si>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</si>
  <si>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</si>
  <si>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</si>
  <si>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</si>
  <si>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</si>
  <si>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</si>
  <si>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</si>
  <si>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</si>
  <si>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</si>
  <si>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</si>
  <si>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</si>
  <si>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</si>
  <si>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</si>
  <si>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</si>
  <si>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</si>
  <si>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</si>
  <si>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</si>
  <si>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</si>
  <si>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</si>
  <si>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</si>
  <si>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</si>
  <si>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</si>
  <si>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</si>
  <si>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</si>
  <si>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</si>
  <si>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</si>
  <si>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</si>
  <si>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</si>
  <si>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</si>
  <si>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</si>
  <si>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</si>
  <si>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</si>
  <si>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</si>
  <si>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</si>
  <si>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</si>
  <si>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</si>
  <si>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</si>
  <si>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</si>
  <si>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</si>
  <si>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</si>
  <si>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</si>
  <si>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</si>
  <si>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</si>
  <si>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</si>
  <si>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</si>
  <si>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</si>
  <si>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</si>
  <si>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</si>
  <si>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</si>
  <si>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</si>
  <si>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</si>
  <si>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</si>
  <si>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</si>
  <si>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</si>
  <si>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</si>
  <si>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</si>
  <si>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</si>
  <si>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</si>
  <si>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</si>
  <si>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</si>
  <si>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</si>
  <si>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</si>
  <si>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</si>
  <si>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</si>
  <si>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</si>
  <si>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</si>
  <si>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</si>
  <si>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</si>
  <si>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</si>
  <si>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</si>
  <si>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</si>
  <si>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</si>
  <si>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</si>
  <si>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</si>
  <si>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</si>
  <si>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</si>
  <si>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</si>
  <si>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</si>
  <si>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</si>
  <si>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</si>
  <si>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</si>
  <si>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</si>
  <si>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</si>
  <si>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</si>
  <si>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</si>
  <si>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</si>
  <si>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</si>
  <si>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</si>
  <si>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</si>
  <si>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</si>
  <si>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</si>
  <si>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</si>
  <si>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</si>
  <si>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</si>
  <si>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</si>
  <si>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</si>
  <si>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</si>
  <si>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</si>
  <si>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</si>
  <si>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</si>
  <si>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</si>
  <si>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</si>
  <si>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</si>
  <si>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</si>
  <si>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</si>
  <si>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</si>
  <si>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</si>
  <si>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</si>
  <si>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</si>
  <si>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</si>
  <si>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</si>
  <si>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</si>
  <si>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</si>
  <si>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</si>
  <si>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</si>
  <si>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</si>
  <si>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</si>
  <si>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</si>
  <si>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</si>
  <si>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</si>
  <si>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</si>
  <si>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</si>
  <si>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</si>
  <si>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</si>
  <si>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</si>
  <si>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</si>
  <si>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</si>
  <si>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</si>
  <si>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</si>
  <si>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</si>
  <si>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</si>
  <si>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</si>
  <si>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</si>
  <si>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</si>
  <si>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</si>
  <si>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</si>
  <si>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</si>
  <si>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</si>
  <si>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</si>
  <si>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</si>
  <si>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</si>
  <si>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</si>
  <si>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</si>
  <si>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</si>
  <si>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</si>
  <si>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</si>
  <si>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</si>
  <si>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</si>
  <si>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</si>
  <si>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</si>
  <si>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</si>
  <si>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</si>
  <si>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</si>
  <si>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</si>
  <si>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</si>
  <si>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</si>
  <si>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</si>
  <si>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</si>
  <si>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</si>
  <si>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</si>
  <si>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</si>
  <si>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</si>
  <si>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</si>
  <si>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</si>
  <si>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</si>
  <si>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</si>
  <si>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</si>
  <si>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</si>
  <si>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</si>
  <si>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</si>
  <si>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</si>
  <si>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</si>
  <si>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</si>
  <si>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</si>
  <si>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</si>
  <si>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</si>
  <si>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</si>
  <si>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</si>
  <si>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</si>
  <si>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</si>
  <si>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</si>
  <si>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</si>
  <si>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</si>
  <si>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</si>
  <si>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</si>
  <si>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</si>
  <si>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</si>
  <si>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</si>
  <si>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</si>
  <si>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</si>
  <si>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</si>
  <si>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</si>
  <si>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</si>
  <si>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</si>
  <si>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</si>
  <si>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</si>
  <si>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</si>
  <si>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</si>
  <si>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</si>
  <si>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</si>
  <si>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</si>
  <si>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</si>
  <si>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</si>
  <si>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</si>
  <si>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</si>
  <si>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</si>
  <si>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</si>
  <si>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</si>
  <si>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</si>
  <si>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</si>
  <si>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</si>
  <si>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</si>
  <si>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</si>
  <si>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</si>
  <si>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</si>
  <si>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</si>
  <si>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</si>
  <si>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</si>
  <si>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</si>
  <si>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</si>
  <si>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</si>
  <si>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</si>
  <si>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</si>
  <si>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</si>
  <si>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</si>
  <si>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</si>
  <si>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</si>
  <si>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</si>
  <si>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</si>
  <si>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</si>
  <si>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</si>
  <si>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</si>
  <si>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</si>
  <si>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</si>
  <si>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</si>
  <si>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</si>
  <si>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</si>
  <si>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</si>
  <si>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</si>
  <si>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</si>
  <si>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</si>
  <si>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</si>
  <si>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</si>
  <si>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</si>
  <si>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</si>
  <si>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</si>
  <si>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</si>
  <si>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</si>
  <si>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</si>
  <si>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</si>
  <si>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</si>
  <si>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</si>
  <si>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</si>
  <si>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</si>
  <si>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</si>
  <si>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</si>
  <si>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</si>
  <si>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</si>
  <si>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</si>
  <si>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</si>
  <si>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</si>
  <si>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</si>
  <si>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</si>
  <si>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</si>
  <si>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</si>
  <si>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</si>
  <si>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</si>
  <si>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</si>
  <si>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</si>
  <si>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</si>
  <si>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</si>
  <si>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</si>
  <si>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</si>
  <si>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</si>
  <si>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</si>
  <si>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</si>
  <si>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</si>
  <si>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</si>
  <si>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</si>
  <si>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</si>
  <si>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</si>
  <si>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</si>
  <si>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</si>
  <si>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</si>
  <si>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</si>
  <si>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</si>
  <si>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</si>
  <si>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</si>
  <si>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</si>
  <si>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</si>
  <si>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</si>
  <si>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</si>
  <si>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</si>
  <si>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</si>
  <si>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</si>
  <si>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</si>
  <si>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</si>
  <si>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</si>
  <si>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</si>
  <si>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</si>
  <si>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</si>
  <si>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</si>
  <si>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</si>
  <si>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</si>
  <si>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</si>
  <si>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</si>
  <si>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</si>
  <si>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</si>
  <si>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</si>
  <si>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</si>
  <si>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</si>
  <si>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</si>
  <si>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</si>
  <si>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</si>
  <si>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</si>
  <si>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</si>
  <si>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</si>
  <si>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</si>
  <si>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</si>
  <si>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</si>
  <si>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</si>
  <si>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</si>
  <si>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</si>
  <si>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</si>
  <si>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</si>
  <si>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</si>
  <si>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</si>
  <si>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</si>
  <si>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</si>
  <si>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</si>
  <si>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</si>
  <si>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</si>
  <si>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</si>
  <si>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</si>
  <si>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</si>
  <si>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</si>
  <si>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</si>
  <si>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</si>
  <si>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</si>
  <si>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</si>
  <si>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</si>
  <si>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</si>
  <si>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</si>
  <si>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</si>
  <si>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</si>
  <si>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</si>
  <si>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</si>
  <si>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</si>
  <si>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</si>
  <si>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</si>
  <si>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</si>
  <si>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</si>
  <si>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</si>
  <si>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</si>
  <si>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</si>
  <si>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</si>
  <si>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</si>
  <si>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</si>
  <si>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</si>
  <si>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</si>
  <si>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</si>
  <si>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</si>
  <si>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</si>
  <si>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</si>
  <si>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</si>
  <si>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</si>
  <si>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</si>
  <si>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</si>
  <si>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</si>
  <si>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</si>
  <si>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</si>
  <si>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</si>
  <si>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</si>
  <si>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</si>
  <si>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</si>
  <si>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</si>
  <si>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</si>
  <si>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</si>
  <si>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</si>
  <si>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</si>
  <si>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</si>
  <si>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</si>
  <si>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</si>
  <si>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</si>
  <si>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</si>
  <si>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</si>
  <si>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</si>
  <si>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</si>
  <si>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</si>
  <si>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</si>
  <si>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</si>
  <si>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</si>
  <si>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</si>
  <si>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</si>
  <si>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</si>
  <si>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</si>
  <si>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</si>
  <si>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</si>
  <si>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</si>
  <si>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</si>
  <si>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</si>
  <si>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</si>
  <si>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</si>
  <si>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</si>
  <si>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</si>
  <si>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</si>
  <si>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</si>
  <si>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</si>
  <si>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</si>
  <si>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</si>
  <si>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</si>
  <si>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</si>
  <si>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</si>
  <si>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</si>
  <si>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</si>
  <si>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</si>
  <si>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</si>
  <si>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</si>
  <si>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</si>
  <si>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</si>
  <si>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</si>
  <si>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</si>
  <si>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</si>
  <si>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</si>
  <si>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</si>
  <si>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</si>
  <si>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</si>
  <si>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</si>
  <si>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</si>
  <si>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</si>
  <si>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</si>
  <si>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</si>
  <si>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</si>
  <si>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</si>
  <si>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</si>
  <si>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</si>
  <si>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</si>
  <si>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</si>
  <si>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</si>
  <si>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</si>
  <si>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</si>
  <si>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</si>
  <si>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</si>
  <si>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</si>
  <si>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</si>
  <si>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</si>
  <si>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</si>
  <si>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</si>
  <si>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</si>
  <si>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</si>
  <si>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</si>
  <si>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</si>
  <si>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</si>
  <si>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</si>
  <si>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</si>
  <si>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</si>
  <si>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</si>
  <si>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</si>
  <si>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</si>
  <si>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</si>
  <si>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</si>
  <si>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</si>
  <si>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</si>
  <si>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</si>
  <si>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</si>
  <si>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</si>
  <si>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</si>
  <si>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</si>
  <si>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</si>
  <si>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</si>
  <si>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</si>
  <si>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</si>
  <si>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</si>
  <si>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</si>
  <si>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</si>
  <si>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</si>
  <si>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</si>
  <si>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</si>
  <si>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</si>
  <si>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</si>
  <si>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</si>
  <si>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</si>
  <si>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</si>
  <si>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</si>
  <si>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</si>
  <si>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</si>
  <si>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</si>
  <si>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</si>
  <si>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</si>
  <si>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</si>
  <si>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</si>
  <si>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</si>
  <si>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</si>
  <si>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</si>
  <si>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</si>
  <si>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</si>
  <si>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</si>
  <si>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</si>
  <si>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</si>
  <si>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</si>
  <si>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</si>
  <si>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</si>
  <si>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</si>
  <si>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</si>
  <si>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</si>
  <si>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</si>
  <si>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</si>
  <si>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</si>
  <si>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</si>
  <si>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</si>
  <si>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</si>
  <si>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</si>
  <si>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</si>
  <si>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</si>
  <si>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</si>
  <si>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</si>
  <si>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</si>
  <si>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</si>
  <si>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</si>
  <si>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</si>
  <si>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</si>
  <si>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</si>
  <si>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</si>
  <si>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</si>
  <si>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</si>
  <si>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</si>
  <si>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</si>
  <si>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</si>
  <si>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</si>
  <si>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</si>
  <si>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</si>
  <si>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</si>
  <si>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</si>
  <si>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</si>
  <si>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</si>
  <si>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</si>
  <si>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</si>
  <si>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</si>
  <si>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</si>
  <si>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</si>
  <si>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</si>
  <si>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</si>
  <si>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</si>
  <si>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</si>
  <si>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</si>
  <si>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</si>
  <si>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</si>
  <si>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</si>
  <si>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</si>
  <si>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</si>
  <si>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</si>
  <si>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</si>
  <si>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</si>
  <si>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</si>
  <si>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</si>
  <si>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</si>
  <si>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</si>
  <si>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</si>
  <si>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</si>
  <si>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</si>
  <si>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</si>
  <si>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</si>
  <si>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</si>
  <si>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</si>
  <si>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</si>
  <si>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</si>
  <si>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</si>
  <si>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</si>
  <si>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</si>
  <si>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</si>
  <si>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</si>
  <si>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</si>
  <si>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</si>
  <si>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</si>
  <si>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</si>
  <si>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</si>
  <si>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</si>
  <si>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</si>
  <si>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</si>
  <si>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</si>
  <si>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</si>
  <si>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</si>
  <si>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</si>
  <si>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</si>
  <si>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</si>
  <si>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</si>
  <si>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</si>
  <si>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</si>
  <si>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</si>
  <si>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</si>
  <si>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</si>
  <si>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</si>
  <si>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</si>
  <si>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</si>
  <si>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</si>
  <si>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</si>
  <si>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</si>
  <si>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</si>
  <si>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</si>
  <si>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</si>
  <si>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</si>
  <si>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</si>
  <si>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</si>
  <si>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</si>
  <si>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</si>
  <si>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</si>
  <si>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</si>
  <si>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</si>
  <si>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</si>
  <si>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</si>
  <si>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</si>
  <si>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</si>
  <si>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</si>
  <si>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</si>
  <si>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</si>
  <si>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</si>
  <si>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</si>
  <si>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</si>
  <si>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</si>
  <si>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</si>
  <si>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</si>
  <si>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</si>
  <si>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</si>
  <si>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</si>
  <si>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</si>
  <si>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</si>
  <si>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</si>
  <si>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</si>
  <si>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</si>
  <si>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</si>
  <si>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</si>
  <si>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</si>
  <si>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</si>
  <si>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</si>
  <si>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</si>
  <si>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</si>
  <si>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</si>
  <si>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</si>
  <si>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</si>
  <si>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</si>
  <si>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</si>
  <si>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</si>
  <si>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</si>
  <si>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</si>
  <si>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</si>
  <si>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</si>
  <si>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</si>
  <si>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</si>
  <si>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</si>
  <si>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</si>
  <si>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</si>
  <si>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</si>
  <si>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</si>
  <si>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</si>
  <si>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</si>
  <si>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</si>
  <si>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</si>
  <si>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</si>
  <si>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</si>
  <si>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</si>
  <si>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</si>
  <si>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</si>
  <si>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</si>
  <si>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</si>
  <si>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</si>
  <si>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</si>
  <si>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</si>
  <si>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</si>
  <si>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</si>
  <si>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</si>
  <si>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</si>
  <si>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</si>
  <si>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</si>
  <si>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</si>
  <si>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</si>
  <si>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</si>
  <si>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</si>
  <si>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</si>
  <si>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</si>
  <si>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</si>
  <si>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</si>
  <si>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</si>
  <si>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</si>
  <si>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</si>
  <si>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</si>
  <si>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</si>
  <si>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</si>
  <si>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</si>
  <si>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</si>
  <si>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</si>
  <si>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</si>
  <si>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</si>
  <si>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</si>
  <si>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</si>
  <si>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</si>
  <si>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</si>
  <si>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</si>
  <si>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</si>
  <si>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</si>
  <si>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</si>
  <si>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</si>
  <si>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</si>
  <si>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</si>
  <si>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</si>
  <si>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</si>
  <si>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</si>
  <si>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</si>
  <si>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</si>
  <si>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</si>
  <si>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</si>
  <si>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</si>
  <si>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</si>
  <si>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</si>
  <si>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</si>
  <si>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</si>
  <si>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</si>
  <si>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</si>
  <si>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</si>
  <si>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</si>
  <si>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</si>
  <si>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</si>
  <si>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</si>
  <si>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</si>
  <si>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</si>
  <si>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</si>
  <si>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</si>
  <si>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</si>
  <si>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</si>
  <si>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</si>
  <si>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</si>
  <si>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</si>
  <si>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</si>
  <si>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</si>
  <si>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</si>
  <si>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</si>
  <si>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</si>
  <si>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</si>
  <si>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</si>
  <si>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</si>
  <si>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</si>
  <si>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</si>
  <si>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</si>
  <si>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</si>
  <si>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</si>
  <si>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</si>
  <si>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</si>
  <si>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</si>
  <si>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</si>
  <si>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</si>
  <si>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</si>
  <si>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</si>
  <si>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</si>
  <si>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</si>
  <si>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</si>
  <si>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</si>
  <si>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</si>
  <si>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</si>
  <si>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</si>
  <si>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</si>
  <si>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</si>
  <si>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</si>
  <si>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</si>
  <si>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</si>
  <si>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</si>
  <si>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</si>
  <si>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</si>
  <si>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</si>
  <si>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</si>
  <si>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</si>
  <si>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</si>
  <si>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</si>
  <si>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</si>
  <si>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</si>
  <si>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</si>
  <si>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</si>
  <si>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</si>
  <si>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</si>
  <si>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</si>
  <si>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</si>
  <si>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</si>
  <si>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</si>
  <si>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</si>
  <si>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</si>
  <si>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</si>
  <si>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</si>
  <si>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</si>
  <si>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</si>
  <si>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</si>
  <si>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</si>
  <si>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</si>
  <si>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</si>
  <si>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</si>
  <si>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</si>
  <si>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</si>
  <si>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</si>
  <si>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</si>
  <si>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</si>
  <si>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</si>
  <si>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</si>
  <si>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</si>
  <si>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</si>
  <si>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</si>
  <si>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</si>
  <si>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</si>
  <si>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</si>
  <si>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</si>
  <si>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</si>
  <si>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</si>
  <si>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</si>
  <si>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</si>
  <si>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</si>
  <si>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</si>
  <si>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</si>
  <si>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</si>
  <si>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</si>
  <si>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</si>
  <si>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</si>
  <si>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</si>
  <si>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</si>
  <si>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</si>
  <si>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</si>
  <si>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</si>
  <si>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</si>
  <si>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</si>
  <si>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</si>
  <si>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</si>
  <si>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</si>
  <si>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</si>
  <si>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</si>
  <si>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</si>
  <si>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</si>
  <si>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</si>
  <si>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</si>
  <si>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</si>
  <si>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</si>
  <si>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</si>
  <si>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</si>
  <si>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</si>
  <si>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</si>
  <si>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</si>
  <si>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</si>
  <si>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</si>
  <si>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</si>
  <si>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</si>
  <si>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</si>
  <si>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</si>
  <si>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</si>
  <si>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</si>
  <si>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</si>
  <si>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</si>
  <si>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</si>
  <si>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</si>
  <si>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</si>
  <si>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</si>
  <si>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</si>
  <si>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</si>
  <si>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</si>
  <si>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</si>
  <si>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</si>
  <si>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</si>
  <si>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</si>
  <si>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</si>
  <si>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</si>
  <si>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</si>
  <si>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</si>
  <si>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</si>
  <si>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</si>
  <si>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</si>
  <si>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</si>
  <si>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</si>
  <si>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</si>
  <si>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</si>
  <si>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</si>
  <si>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</si>
  <si>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</si>
  <si>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</si>
  <si>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</si>
  <si>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</si>
  <si>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</si>
  <si>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</si>
  <si>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</si>
  <si>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</si>
  <si>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</si>
  <si>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</si>
  <si>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</si>
  <si>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</si>
  <si>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</si>
  <si>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</si>
  <si>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</si>
  <si>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</si>
  <si>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</si>
  <si>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</si>
  <si>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</si>
  <si>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</si>
  <si>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</si>
  <si>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</si>
  <si>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</si>
  <si>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</si>
  <si>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</si>
  <si>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</si>
  <si>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</si>
  <si>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</si>
  <si>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</si>
  <si>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</si>
  <si>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</si>
  <si>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</si>
  <si>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</si>
  <si>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</si>
  <si>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</si>
  <si>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</si>
  <si>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</si>
  <si>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</si>
  <si>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</si>
  <si>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</si>
  <si>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</si>
  <si>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</si>
  <si>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</si>
  <si>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</si>
  <si>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</si>
  <si>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</si>
  <si>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</si>
  <si>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</si>
  <si>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</si>
  <si>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</si>
  <si>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</si>
  <si>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</si>
  <si>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</si>
  <si>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</si>
  <si>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</si>
  <si>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</si>
  <si>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</si>
  <si>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</si>
  <si>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</si>
  <si>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</si>
  <si>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</si>
  <si>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</si>
  <si>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</si>
  <si>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</si>
  <si>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</si>
  <si>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</si>
  <si>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</si>
  <si>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</si>
  <si>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[0.366603]</t>
  </si>
  <si>
    <t>0 [0.764059]</t>
  </si>
  <si>
    <t>0 [1.178939]</t>
  </si>
  <si>
    <t>0 [1.593465]</t>
  </si>
  <si>
    <t>0 [2.009544]</t>
  </si>
  <si>
    <t>0 [2.393486]</t>
  </si>
  <si>
    <t>0 [2.803354]</t>
  </si>
  <si>
    <t>0 [3.222663]</t>
  </si>
  <si>
    <t>0 [3.617665]</t>
  </si>
  <si>
    <t>0 [4.016471]</t>
  </si>
  <si>
    <t>0 [4.444024]</t>
  </si>
  <si>
    <t>0 [4.842819]</t>
  </si>
  <si>
    <t>0 [5.249786]</t>
  </si>
  <si>
    <t>0 [5.646784]</t>
  </si>
  <si>
    <t>0 [6.065683]</t>
  </si>
  <si>
    <t>0 [6.464401]</t>
  </si>
  <si>
    <t>0 [6.864933]</t>
  </si>
  <si>
    <t>0 [7.293426]</t>
  </si>
  <si>
    <t>0 [7.677302]</t>
  </si>
  <si>
    <t>0 [8.094145]</t>
  </si>
  <si>
    <t>0 [8.497724]</t>
  </si>
  <si>
    <t>0 [8.893534]</t>
  </si>
  <si>
    <t>0 [9.315192]</t>
  </si>
  <si>
    <t>0 [9.732979]</t>
  </si>
  <si>
    <t>0 [10.112887]</t>
  </si>
  <si>
    <t>vision^mWOK^1^1^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</si>
</sst>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75.92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75.920199999999994</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2.15768</c:v>
                </c:pt>
                <c:pt idx="1">
                  <c:v>2.2318500000000001</c:v>
                </c:pt>
                <c:pt idx="2">
                  <c:v>2.2947199999999999</c:v>
                </c:pt>
                <c:pt idx="3">
                  <c:v>2.3462900000000002</c:v>
                </c:pt>
                <c:pt idx="4">
                  <c:v>2.3953699999999998</c:v>
                </c:pt>
                <c:pt idx="5">
                  <c:v>2.4377199999999997</c:v>
                </c:pt>
                <c:pt idx="6">
                  <c:v>2.47499</c:v>
                </c:pt>
                <c:pt idx="7">
                  <c:v>2.5109199999999996</c:v>
                </c:pt>
                <c:pt idx="8">
                  <c:v>2.5450200000000001</c:v>
                </c:pt>
                <c:pt idx="9">
                  <c:v>2.5785499999999999</c:v>
                </c:pt>
                <c:pt idx="10">
                  <c:v>2.6104899999999995</c:v>
                </c:pt>
                <c:pt idx="11">
                  <c:v>2.6399499999999998</c:v>
                </c:pt>
                <c:pt idx="12">
                  <c:v>2.6682899999999998</c:v>
                </c:pt>
                <c:pt idx="13">
                  <c:v>2.7009600000000002</c:v>
                </c:pt>
                <c:pt idx="14">
                  <c:v>2.7359499999999999</c:v>
                </c:pt>
                <c:pt idx="15">
                  <c:v>2.7706900000000001</c:v>
                </c:pt>
                <c:pt idx="16">
                  <c:v>2.8060200000000002</c:v>
                </c:pt>
                <c:pt idx="17">
                  <c:v>2.8411599999999999</c:v>
                </c:pt>
                <c:pt idx="18">
                  <c:v>2.8767300000000002</c:v>
                </c:pt>
                <c:pt idx="19">
                  <c:v>2.8969200000000002</c:v>
                </c:pt>
                <c:pt idx="20">
                  <c:v>2.9153800000000003</c:v>
                </c:pt>
                <c:pt idx="21">
                  <c:v>2.93174</c:v>
                </c:pt>
                <c:pt idx="22">
                  <c:v>2.9469400000000001</c:v>
                </c:pt>
                <c:pt idx="23">
                  <c:v>2.9615999999999998</c:v>
                </c:pt>
                <c:pt idx="24">
                  <c:v>2.9753800000000004</c:v>
                </c:pt>
                <c:pt idx="25">
                  <c:v>2.98916</c:v>
                </c:pt>
              </c:numCache>
            </c:numRef>
          </c:xVal>
          <c:yVal>
            <c:numRef>
              <c:f>[0]!FT_PH</c:f>
              <c:numCache>
                <c:formatCode>0.00</c:formatCode>
                <c:ptCount val="26"/>
                <c:pt idx="0">
                  <c:v>73.534900000000007</c:v>
                </c:pt>
                <c:pt idx="1">
                  <c:v>73.258499999999998</c:v>
                </c:pt>
                <c:pt idx="2">
                  <c:v>72.980800000000002</c:v>
                </c:pt>
                <c:pt idx="3">
                  <c:v>72.414400000000001</c:v>
                </c:pt>
                <c:pt idx="4">
                  <c:v>71.694000000000003</c:v>
                </c:pt>
                <c:pt idx="5">
                  <c:v>71.1631</c:v>
                </c:pt>
                <c:pt idx="6">
                  <c:v>70.72420000000001</c:v>
                </c:pt>
                <c:pt idx="7">
                  <c:v>70.271100000000004</c:v>
                </c:pt>
                <c:pt idx="8">
                  <c:v>69.780900000000003</c:v>
                </c:pt>
                <c:pt idx="9">
                  <c:v>69.2864</c:v>
                </c:pt>
                <c:pt idx="10">
                  <c:v>68.792500000000004</c:v>
                </c:pt>
                <c:pt idx="11">
                  <c:v>68.301699999999997</c:v>
                </c:pt>
                <c:pt idx="12">
                  <c:v>67.715000000000003</c:v>
                </c:pt>
                <c:pt idx="13">
                  <c:v>67.038200000000003</c:v>
                </c:pt>
                <c:pt idx="14">
                  <c:v>66.283999999999992</c:v>
                </c:pt>
                <c:pt idx="15">
                  <c:v>65.554500000000004</c:v>
                </c:pt>
                <c:pt idx="16">
                  <c:v>64.865099999999998</c:v>
                </c:pt>
                <c:pt idx="17">
                  <c:v>64.168099999999995</c:v>
                </c:pt>
                <c:pt idx="18">
                  <c:v>63.496099999999998</c:v>
                </c:pt>
                <c:pt idx="19">
                  <c:v>63.187899999999999</c:v>
                </c:pt>
                <c:pt idx="20">
                  <c:v>62.877799999999993</c:v>
                </c:pt>
                <c:pt idx="21">
                  <c:v>62.592800000000004</c:v>
                </c:pt>
                <c:pt idx="22">
                  <c:v>62.335099999999997</c:v>
                </c:pt>
                <c:pt idx="23">
                  <c:v>62.037600000000005</c:v>
                </c:pt>
                <c:pt idx="24">
                  <c:v>61.752899999999997</c:v>
                </c:pt>
                <c:pt idx="25">
                  <c:v>61.463999999999999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2.2318500000000001</c:v>
                </c:pt>
                <c:pt idx="1">
                  <c:v>2.9469400000000001</c:v>
                </c:pt>
              </c:numCache>
            </c:numRef>
          </c:xVal>
          <c:yVal>
            <c:numRef>
              <c:f>info!$W$2:$W$3</c:f>
              <c:numCache>
                <c:formatCode>0.00</c:formatCode>
                <c:ptCount val="2"/>
                <c:pt idx="0">
                  <c:v>73.258499999999998</c:v>
                </c:pt>
                <c:pt idx="1">
                  <c:v>62.335099999999997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2.98916</c:v>
                </c:pt>
                <c:pt idx="1">
                  <c:v>2.15768</c:v>
                </c:pt>
              </c:numCache>
            </c:numRef>
          </c:xVal>
          <c:yVal>
            <c:numRef>
              <c:f>info!$W$15:$W$16</c:f>
              <c:numCache>
                <c:formatCode>0.00_ </c:formatCode>
                <c:ptCount val="2"/>
                <c:pt idx="0">
                  <c:v>61.463999999999999</c:v>
                </c:pt>
                <c:pt idx="1">
                  <c:v>73.534900000000007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2.6630950000000002</c:v>
                </c:pt>
              </c:numCache>
            </c:numRef>
          </c:xVal>
          <c:yVal>
            <c:numRef>
              <c:f>info!$N$9</c:f>
              <c:numCache>
                <c:formatCode>0.0</c:formatCode>
                <c:ptCount val="1"/>
                <c:pt idx="0">
                  <c:v>67.214292307692304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26.3141</c:v>
                </c:pt>
                <c:pt idx="1">
                  <c:v>30.8871</c:v>
                </c:pt>
                <c:pt idx="2">
                  <c:v>32.970500000000001</c:v>
                </c:pt>
                <c:pt idx="3">
                  <c:v>28.881499999999999</c:v>
                </c:pt>
                <c:pt idx="4">
                  <c:v>73.754999999999995</c:v>
                </c:pt>
                <c:pt idx="5">
                  <c:v>64.902000000000001</c:v>
                </c:pt>
                <c:pt idx="6">
                  <c:v>19.652699999999999</c:v>
                </c:pt>
                <c:pt idx="7">
                  <c:v>69.063500000000005</c:v>
                </c:pt>
                <c:pt idx="8">
                  <c:v>16.4633</c:v>
                </c:pt>
                <c:pt idx="9">
                  <c:v>14.4407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75.92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75.920199999999994</c:v>
                </c:pt>
                <c:pt idx="1">
                  <c:v>75.920199999999994</c:v>
                </c:pt>
                <c:pt idx="2">
                  <c:v>0</c:v>
                </c:pt>
              </c:numCache>
            </c:numRef>
          </c:xVal>
          <c:yVal>
            <c:numRef>
              <c:f>'R2'!$I$5:$I$7</c:f>
              <c:numCache>
                <c:formatCode>0.0_ </c:formatCode>
                <c:ptCount val="3"/>
                <c:pt idx="0">
                  <c:v>0</c:v>
                </c:pt>
                <c:pt idx="1">
                  <c:v>87.851119848273385</c:v>
                </c:pt>
                <c:pt idx="2">
                  <c:v>87.851119848273385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44.048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44.048000000000002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1.3214399999999999</c:v>
                </c:pt>
                <c:pt idx="1">
                  <c:v>1.3214399999999999</c:v>
                </c:pt>
                <c:pt idx="2">
                  <c:v>0</c:v>
                </c:pt>
              </c:numCache>
            </c:numRef>
          </c:xVal>
          <c:yVal>
            <c:numRef>
              <c:f>'R3'!$I$6:$I$8</c:f>
              <c:numCache>
                <c:formatCode>0.0_ </c:formatCode>
                <c:ptCount val="3"/>
                <c:pt idx="0">
                  <c:v>0</c:v>
                </c:pt>
                <c:pt idx="1">
                  <c:v>20.852572024841866</c:v>
                </c:pt>
                <c:pt idx="2">
                  <c:v>20.852572024841866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0.31589399119143829</c:v>
                </c:pt>
                <c:pt idx="1">
                  <c:v>0.31589399119143829</c:v>
                </c:pt>
                <c:pt idx="2">
                  <c:v>-7</c:v>
                </c:pt>
              </c:numCache>
            </c:numRef>
          </c:xVal>
          <c:yVal>
            <c:numRef>
              <c:f>'R'!$I$5:$I$7</c:f>
              <c:numCache>
                <c:formatCode>0.0_ </c:formatCode>
                <c:ptCount val="3"/>
                <c:pt idx="0">
                  <c:v>0</c:v>
                </c:pt>
                <c:pt idx="1">
                  <c:v>67.633293045600198</c:v>
                </c:pt>
                <c:pt idx="2">
                  <c:v>67.633293045600198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0.31589399119143829</c:v>
                </c:pt>
              </c:numCache>
            </c:numRef>
          </c:xVal>
          <c:yVal>
            <c:numRef>
              <c:f>'R'!$I$4</c:f>
              <c:numCache>
                <c:formatCode>0.00_ </c:formatCode>
                <c:ptCount val="1"/>
                <c:pt idx="0">
                  <c:v>67.633293045600198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75.92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75.920199999999994</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2.15768</c:v>
                </c:pt>
                <c:pt idx="1">
                  <c:v>2.2318500000000001</c:v>
                </c:pt>
                <c:pt idx="2">
                  <c:v>2.2947199999999999</c:v>
                </c:pt>
                <c:pt idx="3">
                  <c:v>2.3462900000000002</c:v>
                </c:pt>
                <c:pt idx="4">
                  <c:v>2.3953699999999998</c:v>
                </c:pt>
                <c:pt idx="5">
                  <c:v>2.4377199999999997</c:v>
                </c:pt>
                <c:pt idx="6">
                  <c:v>2.47499</c:v>
                </c:pt>
                <c:pt idx="7">
                  <c:v>2.5109199999999996</c:v>
                </c:pt>
                <c:pt idx="8">
                  <c:v>2.5450200000000001</c:v>
                </c:pt>
                <c:pt idx="9">
                  <c:v>2.5785499999999999</c:v>
                </c:pt>
                <c:pt idx="10">
                  <c:v>2.6104899999999995</c:v>
                </c:pt>
                <c:pt idx="11">
                  <c:v>2.6399499999999998</c:v>
                </c:pt>
                <c:pt idx="12">
                  <c:v>2.6682899999999998</c:v>
                </c:pt>
                <c:pt idx="13">
                  <c:v>2.7009600000000002</c:v>
                </c:pt>
                <c:pt idx="14">
                  <c:v>2.7359499999999999</c:v>
                </c:pt>
                <c:pt idx="15">
                  <c:v>2.7706900000000001</c:v>
                </c:pt>
                <c:pt idx="16">
                  <c:v>2.8060200000000002</c:v>
                </c:pt>
                <c:pt idx="17">
                  <c:v>2.8411599999999999</c:v>
                </c:pt>
                <c:pt idx="18">
                  <c:v>2.8767300000000002</c:v>
                </c:pt>
                <c:pt idx="19">
                  <c:v>2.8969200000000002</c:v>
                </c:pt>
                <c:pt idx="20">
                  <c:v>2.9153800000000003</c:v>
                </c:pt>
                <c:pt idx="21">
                  <c:v>2.93174</c:v>
                </c:pt>
                <c:pt idx="22">
                  <c:v>2.9469400000000001</c:v>
                </c:pt>
                <c:pt idx="23">
                  <c:v>2.9615999999999998</c:v>
                </c:pt>
                <c:pt idx="24">
                  <c:v>2.9753800000000004</c:v>
                </c:pt>
                <c:pt idx="25">
                  <c:v>2.98916</c:v>
                </c:pt>
              </c:numCache>
            </c:numRef>
          </c:xVal>
          <c:yVal>
            <c:numRef>
              <c:f>[0]!FT_PH</c:f>
              <c:numCache>
                <c:formatCode>0.00</c:formatCode>
                <c:ptCount val="26"/>
                <c:pt idx="0">
                  <c:v>73.534900000000007</c:v>
                </c:pt>
                <c:pt idx="1">
                  <c:v>73.258499999999998</c:v>
                </c:pt>
                <c:pt idx="2">
                  <c:v>72.980800000000002</c:v>
                </c:pt>
                <c:pt idx="3">
                  <c:v>72.414400000000001</c:v>
                </c:pt>
                <c:pt idx="4">
                  <c:v>71.694000000000003</c:v>
                </c:pt>
                <c:pt idx="5">
                  <c:v>71.1631</c:v>
                </c:pt>
                <c:pt idx="6">
                  <c:v>70.72420000000001</c:v>
                </c:pt>
                <c:pt idx="7">
                  <c:v>70.271100000000004</c:v>
                </c:pt>
                <c:pt idx="8">
                  <c:v>69.780900000000003</c:v>
                </c:pt>
                <c:pt idx="9">
                  <c:v>69.2864</c:v>
                </c:pt>
                <c:pt idx="10">
                  <c:v>68.792500000000004</c:v>
                </c:pt>
                <c:pt idx="11">
                  <c:v>68.301699999999997</c:v>
                </c:pt>
                <c:pt idx="12">
                  <c:v>67.715000000000003</c:v>
                </c:pt>
                <c:pt idx="13">
                  <c:v>67.038200000000003</c:v>
                </c:pt>
                <c:pt idx="14">
                  <c:v>66.283999999999992</c:v>
                </c:pt>
                <c:pt idx="15">
                  <c:v>65.554500000000004</c:v>
                </c:pt>
                <c:pt idx="16">
                  <c:v>64.865099999999998</c:v>
                </c:pt>
                <c:pt idx="17">
                  <c:v>64.168099999999995</c:v>
                </c:pt>
                <c:pt idx="18">
                  <c:v>63.496099999999998</c:v>
                </c:pt>
                <c:pt idx="19">
                  <c:v>63.187899999999999</c:v>
                </c:pt>
                <c:pt idx="20">
                  <c:v>62.877799999999993</c:v>
                </c:pt>
                <c:pt idx="21">
                  <c:v>62.592800000000004</c:v>
                </c:pt>
                <c:pt idx="22">
                  <c:v>62.335099999999997</c:v>
                </c:pt>
                <c:pt idx="23">
                  <c:v>62.037600000000005</c:v>
                </c:pt>
                <c:pt idx="24">
                  <c:v>61.752899999999997</c:v>
                </c:pt>
                <c:pt idx="25">
                  <c:v>61.463999999999999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2.2318500000000001</c:v>
                </c:pt>
                <c:pt idx="1">
                  <c:v>2.9469400000000001</c:v>
                </c:pt>
              </c:numCache>
            </c:numRef>
          </c:xVal>
          <c:yVal>
            <c:numRef>
              <c:f>info!$W$2:$W$3</c:f>
              <c:numCache>
                <c:formatCode>0.00</c:formatCode>
                <c:ptCount val="2"/>
                <c:pt idx="0">
                  <c:v>73.258499999999998</c:v>
                </c:pt>
                <c:pt idx="1">
                  <c:v>62.335099999999997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2.98916</c:v>
                </c:pt>
                <c:pt idx="1">
                  <c:v>2.15768</c:v>
                </c:pt>
              </c:numCache>
            </c:numRef>
          </c:xVal>
          <c:yVal>
            <c:numRef>
              <c:f>info!$W$15:$W$16</c:f>
              <c:numCache>
                <c:formatCode>0.00_ </c:formatCode>
                <c:ptCount val="2"/>
                <c:pt idx="0">
                  <c:v>61.463999999999999</c:v>
                </c:pt>
                <c:pt idx="1">
                  <c:v>73.534900000000007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2.6630950000000002</c:v>
                </c:pt>
              </c:numCache>
            </c:numRef>
          </c:xVal>
          <c:yVal>
            <c:numRef>
              <c:f>info!$N$9</c:f>
              <c:numCache>
                <c:formatCode>0.0</c:formatCode>
                <c:ptCount val="1"/>
                <c:pt idx="0">
                  <c:v>67.214292307692304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26.3141</c:v>
                </c:pt>
                <c:pt idx="1">
                  <c:v>30.8871</c:v>
                </c:pt>
                <c:pt idx="2">
                  <c:v>32.970500000000001</c:v>
                </c:pt>
                <c:pt idx="3">
                  <c:v>28.881499999999999</c:v>
                </c:pt>
                <c:pt idx="4">
                  <c:v>73.754999999999995</c:v>
                </c:pt>
                <c:pt idx="5">
                  <c:v>64.902000000000001</c:v>
                </c:pt>
                <c:pt idx="6">
                  <c:v>19.652699999999999</c:v>
                </c:pt>
                <c:pt idx="7">
                  <c:v>69.063500000000005</c:v>
                </c:pt>
                <c:pt idx="8">
                  <c:v>16.4633</c:v>
                </c:pt>
                <c:pt idx="9">
                  <c:v>14.4407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75.92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75.920199999999994</c:v>
                </c:pt>
                <c:pt idx="1">
                  <c:v>75.920199999999994</c:v>
                </c:pt>
                <c:pt idx="2">
                  <c:v>0</c:v>
                </c:pt>
              </c:numCache>
            </c:numRef>
          </c:xVal>
          <c:yVal>
            <c:numRef>
              <c:f>'R2'!$I$5:$I$7</c:f>
              <c:numCache>
                <c:formatCode>0.0_ </c:formatCode>
                <c:ptCount val="3"/>
                <c:pt idx="0">
                  <c:v>0</c:v>
                </c:pt>
                <c:pt idx="1">
                  <c:v>87.851119848273385</c:v>
                </c:pt>
                <c:pt idx="2">
                  <c:v>87.851119848273385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44.048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44.048000000000002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1.3214399999999999</c:v>
                </c:pt>
                <c:pt idx="1">
                  <c:v>1.3214399999999999</c:v>
                </c:pt>
                <c:pt idx="2">
                  <c:v>0</c:v>
                </c:pt>
              </c:numCache>
            </c:numRef>
          </c:xVal>
          <c:yVal>
            <c:numRef>
              <c:f>'R3'!$I$6:$I$8</c:f>
              <c:numCache>
                <c:formatCode>0.0_ </c:formatCode>
                <c:ptCount val="3"/>
                <c:pt idx="0">
                  <c:v>0</c:v>
                </c:pt>
                <c:pt idx="1">
                  <c:v>20.852572024841866</c:v>
                </c:pt>
                <c:pt idx="2">
                  <c:v>20.852572024841866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0.31589399119143829</c:v>
                </c:pt>
                <c:pt idx="1">
                  <c:v>0.31589399119143829</c:v>
                </c:pt>
                <c:pt idx="2">
                  <c:v>-7</c:v>
                </c:pt>
              </c:numCache>
            </c:numRef>
          </c:xVal>
          <c:yVal>
            <c:numRef>
              <c:f>'R'!$I$5:$I$7</c:f>
              <c:numCache>
                <c:formatCode>0.0_ </c:formatCode>
                <c:ptCount val="3"/>
                <c:pt idx="0">
                  <c:v>0</c:v>
                </c:pt>
                <c:pt idx="1">
                  <c:v>67.633293045600198</c:v>
                </c:pt>
                <c:pt idx="2">
                  <c:v>67.633293045600198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0.31589399119143829</c:v>
                </c:pt>
              </c:numCache>
            </c:numRef>
          </c:xVal>
          <c:yVal>
            <c:numRef>
              <c:f>'R'!$I$4</c:f>
              <c:numCache>
                <c:formatCode>0.00_ </c:formatCode>
                <c:ptCount val="1"/>
                <c:pt idx="0">
                  <c:v>67.633293045600198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0.36660300000000001</c:v>
                </c:pt>
                <c:pt idx="2">
                  <c:v>0.76405900000000004</c:v>
                </c:pt>
                <c:pt idx="3">
                  <c:v>1.1789400000000001</c:v>
                </c:pt>
                <c:pt idx="4">
                  <c:v>1.5934600000000001</c:v>
                </c:pt>
                <c:pt idx="5">
                  <c:v>2.0095399999999999</c:v>
                </c:pt>
                <c:pt idx="6">
                  <c:v>2.3934899999999999</c:v>
                </c:pt>
                <c:pt idx="7">
                  <c:v>2.80335</c:v>
                </c:pt>
                <c:pt idx="8">
                  <c:v>3.2226599999999999</c:v>
                </c:pt>
                <c:pt idx="9">
                  <c:v>3.6176699999999999</c:v>
                </c:pt>
                <c:pt idx="10">
                  <c:v>4.01647</c:v>
                </c:pt>
                <c:pt idx="11">
                  <c:v>4.4440200000000001</c:v>
                </c:pt>
                <c:pt idx="12">
                  <c:v>4.8428199999999997</c:v>
                </c:pt>
                <c:pt idx="13">
                  <c:v>5.24979</c:v>
                </c:pt>
                <c:pt idx="14">
                  <c:v>5.6467799999999997</c:v>
                </c:pt>
                <c:pt idx="15">
                  <c:v>6.0656800000000004</c:v>
                </c:pt>
                <c:pt idx="16">
                  <c:v>6.4644000000000004</c:v>
                </c:pt>
                <c:pt idx="17">
                  <c:v>6.8649300000000002</c:v>
                </c:pt>
                <c:pt idx="18">
                  <c:v>7.2934299999999999</c:v>
                </c:pt>
                <c:pt idx="19">
                  <c:v>7.6772999999999998</c:v>
                </c:pt>
                <c:pt idx="20">
                  <c:v>8.0941399999999994</c:v>
                </c:pt>
                <c:pt idx="21">
                  <c:v>8.4977199999999993</c:v>
                </c:pt>
                <c:pt idx="22">
                  <c:v>8.8935300000000002</c:v>
                </c:pt>
                <c:pt idx="23">
                  <c:v>9.3151899999999994</c:v>
                </c:pt>
                <c:pt idx="24">
                  <c:v>9.7329799999999995</c:v>
                </c:pt>
                <c:pt idx="25">
                  <c:v>10.1129</c:v>
                </c:pt>
              </c:numCache>
            </c:numRef>
          </c:xVal>
          <c:yVal>
            <c:numRef>
              <c:f>FT!$J$2:$J$2000</c:f>
              <c:numCache>
                <c:formatCode>General</c:formatCode>
                <c:ptCount val="1999"/>
                <c:pt idx="0">
                  <c:v>2.15768</c:v>
                </c:pt>
                <c:pt idx="1">
                  <c:v>2.2318500000000001</c:v>
                </c:pt>
                <c:pt idx="2">
                  <c:v>2.2947199999999999</c:v>
                </c:pt>
                <c:pt idx="3">
                  <c:v>2.3462900000000002</c:v>
                </c:pt>
                <c:pt idx="4">
                  <c:v>2.3953699999999998</c:v>
                </c:pt>
                <c:pt idx="5">
                  <c:v>2.4377199999999997</c:v>
                </c:pt>
                <c:pt idx="6">
                  <c:v>2.47499</c:v>
                </c:pt>
                <c:pt idx="7">
                  <c:v>2.5109199999999996</c:v>
                </c:pt>
                <c:pt idx="8">
                  <c:v>2.5450200000000001</c:v>
                </c:pt>
                <c:pt idx="9">
                  <c:v>2.5785499999999999</c:v>
                </c:pt>
                <c:pt idx="10">
                  <c:v>2.6104899999999995</c:v>
                </c:pt>
                <c:pt idx="11">
                  <c:v>2.6399499999999998</c:v>
                </c:pt>
                <c:pt idx="12">
                  <c:v>2.6682899999999998</c:v>
                </c:pt>
                <c:pt idx="13">
                  <c:v>2.7009600000000002</c:v>
                </c:pt>
                <c:pt idx="14">
                  <c:v>2.7359499999999999</c:v>
                </c:pt>
                <c:pt idx="15">
                  <c:v>2.7706900000000001</c:v>
                </c:pt>
                <c:pt idx="16">
                  <c:v>2.8060200000000002</c:v>
                </c:pt>
                <c:pt idx="17">
                  <c:v>2.8411599999999999</c:v>
                </c:pt>
                <c:pt idx="18">
                  <c:v>2.8767300000000002</c:v>
                </c:pt>
                <c:pt idx="19">
                  <c:v>2.8969200000000002</c:v>
                </c:pt>
                <c:pt idx="20">
                  <c:v>2.9153800000000003</c:v>
                </c:pt>
                <c:pt idx="21">
                  <c:v>2.93174</c:v>
                </c:pt>
                <c:pt idx="22">
                  <c:v>2.9469400000000001</c:v>
                </c:pt>
                <c:pt idx="23">
                  <c:v>2.9615999999999998</c:v>
                </c:pt>
                <c:pt idx="24">
                  <c:v>2.9753800000000004</c:v>
                </c:pt>
                <c:pt idx="25">
                  <c:v>2.98916</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2.15768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2.15768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2.15768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2.15768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2.15768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2.15768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2.15768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2.15768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2.15768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2.15768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2.15768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2.15768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2.15768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2.15768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2.15768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2.15768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2.15768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2.15768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2.15768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2.15768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2.15768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2.15768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2.15768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2.15768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0.36660300000000001</c:v>
                </c:pt>
                <c:pt idx="2">
                  <c:v>0.76405900000000004</c:v>
                </c:pt>
                <c:pt idx="3">
                  <c:v>1.1789400000000001</c:v>
                </c:pt>
                <c:pt idx="4">
                  <c:v>1.5934600000000001</c:v>
                </c:pt>
                <c:pt idx="5">
                  <c:v>2.0095399999999999</c:v>
                </c:pt>
                <c:pt idx="6">
                  <c:v>2.3934899999999999</c:v>
                </c:pt>
                <c:pt idx="7">
                  <c:v>2.80335</c:v>
                </c:pt>
                <c:pt idx="8">
                  <c:v>3.2226599999999999</c:v>
                </c:pt>
                <c:pt idx="9">
                  <c:v>3.6176699999999999</c:v>
                </c:pt>
                <c:pt idx="10">
                  <c:v>4.01647</c:v>
                </c:pt>
                <c:pt idx="11">
                  <c:v>4.4440200000000001</c:v>
                </c:pt>
                <c:pt idx="12">
                  <c:v>4.8428199999999997</c:v>
                </c:pt>
                <c:pt idx="13">
                  <c:v>5.24979</c:v>
                </c:pt>
                <c:pt idx="14">
                  <c:v>5.6467799999999997</c:v>
                </c:pt>
                <c:pt idx="15">
                  <c:v>6.0656800000000004</c:v>
                </c:pt>
                <c:pt idx="16">
                  <c:v>6.4644000000000004</c:v>
                </c:pt>
                <c:pt idx="17">
                  <c:v>6.8649300000000002</c:v>
                </c:pt>
                <c:pt idx="18">
                  <c:v>7.2934299999999999</c:v>
                </c:pt>
                <c:pt idx="19">
                  <c:v>7.6772999999999998</c:v>
                </c:pt>
                <c:pt idx="20">
                  <c:v>8.0941399999999994</c:v>
                </c:pt>
                <c:pt idx="21">
                  <c:v>8.4977199999999993</c:v>
                </c:pt>
                <c:pt idx="22">
                  <c:v>8.8935300000000002</c:v>
                </c:pt>
                <c:pt idx="23">
                  <c:v>9.3151899999999994</c:v>
                </c:pt>
                <c:pt idx="24">
                  <c:v>9.7329799999999995</c:v>
                </c:pt>
                <c:pt idx="25">
                  <c:v>10.1129</c:v>
                </c:pt>
              </c:numCache>
            </c:numRef>
          </c:xVal>
          <c:yVal>
            <c:numRef>
              <c:f>FT!$K$2:$K$2000</c:f>
              <c:numCache>
                <c:formatCode>General</c:formatCode>
                <c:ptCount val="1999"/>
                <c:pt idx="0">
                  <c:v>73.534900000000007</c:v>
                </c:pt>
                <c:pt idx="1">
                  <c:v>73.258499999999998</c:v>
                </c:pt>
                <c:pt idx="2">
                  <c:v>72.980800000000002</c:v>
                </c:pt>
                <c:pt idx="3">
                  <c:v>72.414400000000001</c:v>
                </c:pt>
                <c:pt idx="4">
                  <c:v>71.694000000000003</c:v>
                </c:pt>
                <c:pt idx="5">
                  <c:v>71.1631</c:v>
                </c:pt>
                <c:pt idx="6">
                  <c:v>70.72420000000001</c:v>
                </c:pt>
                <c:pt idx="7">
                  <c:v>70.271100000000004</c:v>
                </c:pt>
                <c:pt idx="8">
                  <c:v>69.780900000000003</c:v>
                </c:pt>
                <c:pt idx="9">
                  <c:v>69.2864</c:v>
                </c:pt>
                <c:pt idx="10">
                  <c:v>68.792500000000004</c:v>
                </c:pt>
                <c:pt idx="11">
                  <c:v>68.301699999999997</c:v>
                </c:pt>
                <c:pt idx="12">
                  <c:v>67.715000000000003</c:v>
                </c:pt>
                <c:pt idx="13">
                  <c:v>67.038200000000003</c:v>
                </c:pt>
                <c:pt idx="14">
                  <c:v>66.283999999999992</c:v>
                </c:pt>
                <c:pt idx="15">
                  <c:v>65.554500000000004</c:v>
                </c:pt>
                <c:pt idx="16">
                  <c:v>64.865099999999998</c:v>
                </c:pt>
                <c:pt idx="17">
                  <c:v>64.168099999999995</c:v>
                </c:pt>
                <c:pt idx="18">
                  <c:v>63.496099999999998</c:v>
                </c:pt>
                <c:pt idx="19">
                  <c:v>63.187899999999999</c:v>
                </c:pt>
                <c:pt idx="20">
                  <c:v>62.877799999999993</c:v>
                </c:pt>
                <c:pt idx="21">
                  <c:v>62.592800000000004</c:v>
                </c:pt>
                <c:pt idx="22">
                  <c:v>62.335099999999997</c:v>
                </c:pt>
                <c:pt idx="23">
                  <c:v>62.037600000000005</c:v>
                </c:pt>
                <c:pt idx="24">
                  <c:v>61.752899999999997</c:v>
                </c:pt>
                <c:pt idx="25">
                  <c:v>61.463999999999999</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73.534900000000007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73.534900000000007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73.534900000000007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73.534900000000007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73.534900000000007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73.534900000000007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73.534900000000007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73.534900000000007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73.534900000000007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73.534900000000007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73.534900000000007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73.534900000000007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73.534900000000007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73.534900000000007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73.534900000000007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73.534900000000007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73.534900000000007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73.534900000000007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73.534900000000007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73.534900000000007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73.534900000000007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73.534900000000007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73.534900000000007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73.534900000000007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0.36660300000000001</c:v>
                </c:pt>
                <c:pt idx="2">
                  <c:v>0.76405900000000004</c:v>
                </c:pt>
                <c:pt idx="3">
                  <c:v>1.1789400000000001</c:v>
                </c:pt>
                <c:pt idx="4">
                  <c:v>1.5934600000000001</c:v>
                </c:pt>
                <c:pt idx="5">
                  <c:v>2.0095399999999999</c:v>
                </c:pt>
                <c:pt idx="6">
                  <c:v>2.3934899999999999</c:v>
                </c:pt>
                <c:pt idx="7">
                  <c:v>2.80335</c:v>
                </c:pt>
                <c:pt idx="8">
                  <c:v>3.2226599999999999</c:v>
                </c:pt>
                <c:pt idx="9">
                  <c:v>3.6176699999999999</c:v>
                </c:pt>
                <c:pt idx="10">
                  <c:v>4.01647</c:v>
                </c:pt>
                <c:pt idx="11">
                  <c:v>4.4440200000000001</c:v>
                </c:pt>
                <c:pt idx="12">
                  <c:v>4.8428199999999997</c:v>
                </c:pt>
                <c:pt idx="13">
                  <c:v>5.24979</c:v>
                </c:pt>
                <c:pt idx="14">
                  <c:v>5.6467799999999997</c:v>
                </c:pt>
                <c:pt idx="15">
                  <c:v>6.0656800000000004</c:v>
                </c:pt>
                <c:pt idx="16">
                  <c:v>6.4644000000000004</c:v>
                </c:pt>
                <c:pt idx="17">
                  <c:v>6.8649300000000002</c:v>
                </c:pt>
                <c:pt idx="18">
                  <c:v>7.2934299999999999</c:v>
                </c:pt>
                <c:pt idx="19">
                  <c:v>7.6772999999999998</c:v>
                </c:pt>
                <c:pt idx="20">
                  <c:v>8.0941399999999994</c:v>
                </c:pt>
                <c:pt idx="21">
                  <c:v>8.4977199999999993</c:v>
                </c:pt>
                <c:pt idx="22">
                  <c:v>8.8935300000000002</c:v>
                </c:pt>
                <c:pt idx="23">
                  <c:v>9.3151899999999994</c:v>
                </c:pt>
                <c:pt idx="24">
                  <c:v>9.7329799999999995</c:v>
                </c:pt>
                <c:pt idx="25">
                  <c:v>10.1129</c:v>
                </c:pt>
              </c:numCache>
            </c:numRef>
          </c:xVal>
          <c:yVal>
            <c:numRef>
              <c:f>FT!$L$2:$L$2000</c:f>
              <c:numCache>
                <c:formatCode>General</c:formatCode>
                <c:ptCount val="1999"/>
                <c:pt idx="0">
                  <c:v>34.08054020985503</c:v>
                </c:pt>
                <c:pt idx="1">
                  <c:v>32.824114523825521</c:v>
                </c:pt>
                <c:pt idx="2">
                  <c:v>31.803793055361876</c:v>
                </c:pt>
                <c:pt idx="3">
                  <c:v>30.863363011392451</c:v>
                </c:pt>
                <c:pt idx="4">
                  <c:v>29.93024042214773</c:v>
                </c:pt>
                <c:pt idx="5">
                  <c:v>29.192483139983267</c:v>
                </c:pt>
                <c:pt idx="6">
                  <c:v>28.575549800201216</c:v>
                </c:pt>
                <c:pt idx="7">
                  <c:v>27.986196294585259</c:v>
                </c:pt>
                <c:pt idx="8">
                  <c:v>27.418605747695501</c:v>
                </c:pt>
                <c:pt idx="9">
                  <c:v>26.870295321013749</c:v>
                </c:pt>
                <c:pt idx="10">
                  <c:v>26.352332320752048</c:v>
                </c:pt>
                <c:pt idx="11">
                  <c:v>25.872346067160365</c:v>
                </c:pt>
                <c:pt idx="12">
                  <c:v>25.377676339528314</c:v>
                </c:pt>
                <c:pt idx="13">
                  <c:v>24.820138024998517</c:v>
                </c:pt>
                <c:pt idx="14">
                  <c:v>24.227050932948334</c:v>
                </c:pt>
                <c:pt idx="15">
                  <c:v>23.659990832608486</c:v>
                </c:pt>
                <c:pt idx="16">
                  <c:v>23.116406868090746</c:v>
                </c:pt>
                <c:pt idx="17">
                  <c:v>22.585176477213533</c:v>
                </c:pt>
                <c:pt idx="18">
                  <c:v>22.072318222426155</c:v>
                </c:pt>
                <c:pt idx="19">
                  <c:v>21.812096985764189</c:v>
                </c:pt>
                <c:pt idx="20">
                  <c:v>21.567617257441565</c:v>
                </c:pt>
                <c:pt idx="21">
                  <c:v>21.350051505249443</c:v>
                </c:pt>
                <c:pt idx="22">
                  <c:v>21.152483593150858</c:v>
                </c:pt>
                <c:pt idx="23">
                  <c:v>20.947325769854135</c:v>
                </c:pt>
                <c:pt idx="24">
                  <c:v>20.754626299833966</c:v>
                </c:pt>
                <c:pt idx="25">
                  <c:v>20.562298438357264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3.349112781352896E-3</c:v>
                </c:pt>
                <c:pt idx="7">
                  <c:v>0</c:v>
                </c:pt>
                <c:pt idx="8">
                  <c:v>1.5698996186911398E-3</c:v>
                </c:pt>
                <c:pt idx="9">
                  <c:v>0</c:v>
                </c:pt>
                <c:pt idx="10">
                  <c:v>0</c:v>
                </c:pt>
                <c:pt idx="11">
                  <c:v>3.5322811477296609E-3</c:v>
                </c:pt>
                <c:pt idx="12">
                  <c:v>0</c:v>
                </c:pt>
                <c:pt idx="13">
                  <c:v>1.5698996186911398E-3</c:v>
                </c:pt>
                <c:pt idx="14">
                  <c:v>0</c:v>
                </c:pt>
                <c:pt idx="15">
                  <c:v>0</c:v>
                </c:pt>
                <c:pt idx="16">
                  <c:v>6.672064372141435E-3</c:v>
                </c:pt>
                <c:pt idx="17">
                  <c:v>0</c:v>
                </c:pt>
                <c:pt idx="18">
                  <c:v>0</c:v>
                </c:pt>
                <c:pt idx="19">
                  <c:v>2.4673585604339517E-2</c:v>
                </c:pt>
                <c:pt idx="20">
                  <c:v>0</c:v>
                </c:pt>
                <c:pt idx="21">
                  <c:v>5.3585804501646336E-2</c:v>
                </c:pt>
                <c:pt idx="22">
                  <c:v>0</c:v>
                </c:pt>
                <c:pt idx="23">
                  <c:v>0</c:v>
                </c:pt>
                <c:pt idx="24">
                  <c:v>7.077632882634935E-2</c:v>
                </c:pt>
                <c:pt idx="25">
                  <c:v>0</c:v>
                </c:pt>
                <c:pt idx="26">
                  <c:v>5.1309560744202808E-2</c:v>
                </c:pt>
                <c:pt idx="27">
                  <c:v>0</c:v>
                </c:pt>
                <c:pt idx="28">
                  <c:v>0</c:v>
                </c:pt>
                <c:pt idx="29">
                  <c:v>5.6202323882344703E-2</c:v>
                </c:pt>
                <c:pt idx="30">
                  <c:v>0</c:v>
                </c:pt>
                <c:pt idx="31">
                  <c:v>9.058317236961938E-2</c:v>
                </c:pt>
                <c:pt idx="32">
                  <c:v>0</c:v>
                </c:pt>
                <c:pt idx="33">
                  <c:v>0</c:v>
                </c:pt>
                <c:pt idx="34">
                  <c:v>0.134592620022218</c:v>
                </c:pt>
                <c:pt idx="35">
                  <c:v>0</c:v>
                </c:pt>
                <c:pt idx="36">
                  <c:v>0</c:v>
                </c:pt>
                <c:pt idx="37">
                  <c:v>0.1202542059067845</c:v>
                </c:pt>
                <c:pt idx="38">
                  <c:v>0</c:v>
                </c:pt>
                <c:pt idx="39">
                  <c:v>0.1093173470511114</c:v>
                </c:pt>
                <c:pt idx="40">
                  <c:v>0</c:v>
                </c:pt>
                <c:pt idx="41">
                  <c:v>0</c:v>
                </c:pt>
                <c:pt idx="42">
                  <c:v>0.13443569291125812</c:v>
                </c:pt>
                <c:pt idx="43">
                  <c:v>0</c:v>
                </c:pt>
                <c:pt idx="44">
                  <c:v>0.20811657442528447</c:v>
                </c:pt>
                <c:pt idx="45">
                  <c:v>0</c:v>
                </c:pt>
                <c:pt idx="46">
                  <c:v>0</c:v>
                </c:pt>
                <c:pt idx="47">
                  <c:v>0.38792221699576662</c:v>
                </c:pt>
                <c:pt idx="48">
                  <c:v>0</c:v>
                </c:pt>
                <c:pt idx="49">
                  <c:v>0.3598214553788569</c:v>
                </c:pt>
                <c:pt idx="50">
                  <c:v>0</c:v>
                </c:pt>
                <c:pt idx="51">
                  <c:v>0</c:v>
                </c:pt>
                <c:pt idx="52">
                  <c:v>0.29943254035768974</c:v>
                </c:pt>
                <c:pt idx="53">
                  <c:v>0</c:v>
                </c:pt>
                <c:pt idx="54">
                  <c:v>0</c:v>
                </c:pt>
                <c:pt idx="55">
                  <c:v>0.38187732062971003</c:v>
                </c:pt>
                <c:pt idx="56">
                  <c:v>0</c:v>
                </c:pt>
                <c:pt idx="57">
                  <c:v>0.37128073739729178</c:v>
                </c:pt>
                <c:pt idx="58">
                  <c:v>0</c:v>
                </c:pt>
                <c:pt idx="59">
                  <c:v>0</c:v>
                </c:pt>
                <c:pt idx="60">
                  <c:v>0.51042744623144742</c:v>
                </c:pt>
                <c:pt idx="61">
                  <c:v>0</c:v>
                </c:pt>
                <c:pt idx="62">
                  <c:v>0.60757613667070332</c:v>
                </c:pt>
                <c:pt idx="63">
                  <c:v>0</c:v>
                </c:pt>
                <c:pt idx="64">
                  <c:v>0</c:v>
                </c:pt>
                <c:pt idx="65">
                  <c:v>0.5767291506119957</c:v>
                </c:pt>
                <c:pt idx="66">
                  <c:v>0</c:v>
                </c:pt>
                <c:pt idx="67">
                  <c:v>0.68936838839459968</c:v>
                </c:pt>
                <c:pt idx="68">
                  <c:v>0</c:v>
                </c:pt>
                <c:pt idx="69">
                  <c:v>0</c:v>
                </c:pt>
                <c:pt idx="70">
                  <c:v>0.76359851479698559</c:v>
                </c:pt>
                <c:pt idx="71">
                  <c:v>0</c:v>
                </c:pt>
                <c:pt idx="72">
                  <c:v>0</c:v>
                </c:pt>
                <c:pt idx="73">
                  <c:v>0.84455408881193772</c:v>
                </c:pt>
                <c:pt idx="74">
                  <c:v>0</c:v>
                </c:pt>
                <c:pt idx="75">
                  <c:v>1</c:v>
                </c:pt>
                <c:pt idx="76">
                  <c:v>0</c:v>
                </c:pt>
                <c:pt idx="77">
                  <c:v>0</c:v>
                </c:pt>
                <c:pt idx="78">
                  <c:v>0.83686185810506508</c:v>
                </c:pt>
                <c:pt idx="79">
                  <c:v>0</c:v>
                </c:pt>
                <c:pt idx="80">
                  <c:v>0.64342317276994365</c:v>
                </c:pt>
                <c:pt idx="81">
                  <c:v>0</c:v>
                </c:pt>
                <c:pt idx="82">
                  <c:v>0</c:v>
                </c:pt>
                <c:pt idx="83">
                  <c:v>0.57848257088241484</c:v>
                </c:pt>
                <c:pt idx="84">
                  <c:v>0</c:v>
                </c:pt>
                <c:pt idx="85">
                  <c:v>0</c:v>
                </c:pt>
                <c:pt idx="86">
                  <c:v>0.42774447302314877</c:v>
                </c:pt>
                <c:pt idx="87">
                  <c:v>0</c:v>
                </c:pt>
                <c:pt idx="88">
                  <c:v>0.39271009517709343</c:v>
                </c:pt>
                <c:pt idx="89">
                  <c:v>0</c:v>
                </c:pt>
                <c:pt idx="90">
                  <c:v>0</c:v>
                </c:pt>
                <c:pt idx="91">
                  <c:v>0.34891061760025621</c:v>
                </c:pt>
                <c:pt idx="92">
                  <c:v>0</c:v>
                </c:pt>
                <c:pt idx="93">
                  <c:v>0.21217185920595683</c:v>
                </c:pt>
                <c:pt idx="94">
                  <c:v>0</c:v>
                </c:pt>
                <c:pt idx="95">
                  <c:v>0</c:v>
                </c:pt>
                <c:pt idx="96">
                  <c:v>0.12797285801499214</c:v>
                </c:pt>
                <c:pt idx="97">
                  <c:v>0</c:v>
                </c:pt>
                <c:pt idx="98">
                  <c:v>9.6941322471201671E-2</c:v>
                </c:pt>
                <c:pt idx="99">
                  <c:v>0</c:v>
                </c:pt>
                <c:pt idx="100">
                  <c:v>0</c:v>
                </c:pt>
                <c:pt idx="101">
                  <c:v>6.3319288623785275E-2</c:v>
                </c:pt>
                <c:pt idx="102">
                  <c:v>0</c:v>
                </c:pt>
                <c:pt idx="103">
                  <c:v>0</c:v>
                </c:pt>
                <c:pt idx="104">
                  <c:v>4.9425634764158968E-2</c:v>
                </c:pt>
                <c:pt idx="105">
                  <c:v>0</c:v>
                </c:pt>
                <c:pt idx="106">
                  <c:v>2.7342347301314063E-2</c:v>
                </c:pt>
                <c:pt idx="107">
                  <c:v>0</c:v>
                </c:pt>
                <c:pt idx="108">
                  <c:v>0</c:v>
                </c:pt>
                <c:pt idx="109">
                  <c:v>2.7865771274732536E-2</c:v>
                </c:pt>
                <c:pt idx="110">
                  <c:v>0</c:v>
                </c:pt>
                <c:pt idx="111">
                  <c:v>4.5265465026671607E-3</c:v>
                </c:pt>
                <c:pt idx="112">
                  <c:v>0</c:v>
                </c:pt>
                <c:pt idx="113">
                  <c:v>0</c:v>
                </c:pt>
                <c:pt idx="114">
                  <c:v>1.7268887799117287E-3</c:v>
                </c:pt>
                <c:pt idx="115">
                  <c:v>0</c:v>
                </c:pt>
                <c:pt idx="116">
                  <c:v>8.3728019695953726E-4</c:v>
                </c:pt>
                <c:pt idx="117">
                  <c:v>0</c:v>
                </c:pt>
                <c:pt idx="118">
                  <c:v>0</c:v>
                </c:pt>
                <c:pt idx="119">
                  <c:v>8.3728019695953726E-4</c:v>
                </c:pt>
                <c:pt idx="120">
                  <c:v>0</c:v>
                </c:pt>
                <c:pt idx="121">
                  <c:v>0</c:v>
                </c:pt>
                <c:pt idx="122">
                  <c:v>1.6745583922977612E-3</c:v>
                </c:pt>
                <c:pt idx="123">
                  <c:v>0</c:v>
                </c:pt>
                <c:pt idx="124">
                  <c:v>2.5641769833565187E-3</c:v>
                </c:pt>
                <c:pt idx="125">
                  <c:v>0</c:v>
                </c:pt>
                <c:pt idx="126">
                  <c:v>0</c:v>
                </c:pt>
                <c:pt idx="127">
                  <c:v>8.6344539076652093E-4</c:v>
                </c:pt>
                <c:pt idx="128">
                  <c:v>0</c:v>
                </c:pt>
                <c:pt idx="129">
                  <c:v>8.6344539076652093E-4</c:v>
                </c:pt>
                <c:pt idx="130">
                  <c:v>0</c:v>
                </c:pt>
                <c:pt idx="131">
                  <c:v>0</c:v>
                </c:pt>
                <c:pt idx="132">
                  <c:v>8.8960858295219136E-4</c:v>
                </c:pt>
                <c:pt idx="133">
                  <c:v>0</c:v>
                </c:pt>
                <c:pt idx="134">
                  <c:v>8.8960858295219136E-4</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0.85355001406035957</c:v>
                </c:pt>
                <c:pt idx="7">
                  <c:v>0</c:v>
                </c:pt>
                <c:pt idx="8">
                  <c:v>0.58426050913417049</c:v>
                </c:pt>
                <c:pt idx="9">
                  <c:v>0</c:v>
                </c:pt>
                <c:pt idx="10">
                  <c:v>0</c:v>
                </c:pt>
                <c:pt idx="11">
                  <c:v>0.53576955944578297</c:v>
                </c:pt>
                <c:pt idx="12">
                  <c:v>0</c:v>
                </c:pt>
                <c:pt idx="13">
                  <c:v>0.51238147838743808</c:v>
                </c:pt>
                <c:pt idx="14">
                  <c:v>0</c:v>
                </c:pt>
                <c:pt idx="15">
                  <c:v>0</c:v>
                </c:pt>
                <c:pt idx="16">
                  <c:v>0.51836538217813943</c:v>
                </c:pt>
                <c:pt idx="17">
                  <c:v>0</c:v>
                </c:pt>
                <c:pt idx="18">
                  <c:v>0</c:v>
                </c:pt>
                <c:pt idx="19">
                  <c:v>0.53054058063970055</c:v>
                </c:pt>
                <c:pt idx="20">
                  <c:v>0</c:v>
                </c:pt>
                <c:pt idx="21">
                  <c:v>0.55084926469817752</c:v>
                </c:pt>
                <c:pt idx="22">
                  <c:v>0</c:v>
                </c:pt>
                <c:pt idx="23">
                  <c:v>0</c:v>
                </c:pt>
                <c:pt idx="24">
                  <c:v>0.54135601503995756</c:v>
                </c:pt>
                <c:pt idx="25">
                  <c:v>0</c:v>
                </c:pt>
                <c:pt idx="26">
                  <c:v>0.51171408550978004</c:v>
                </c:pt>
                <c:pt idx="27">
                  <c:v>0</c:v>
                </c:pt>
                <c:pt idx="28">
                  <c:v>0</c:v>
                </c:pt>
                <c:pt idx="29">
                  <c:v>0.46948451239478495</c:v>
                </c:pt>
                <c:pt idx="30">
                  <c:v>0</c:v>
                </c:pt>
                <c:pt idx="31">
                  <c:v>0.42298821514995305</c:v>
                </c:pt>
                <c:pt idx="32">
                  <c:v>0</c:v>
                </c:pt>
                <c:pt idx="33">
                  <c:v>0</c:v>
                </c:pt>
                <c:pt idx="34">
                  <c:v>0.36385429667476887</c:v>
                </c:pt>
                <c:pt idx="35">
                  <c:v>0</c:v>
                </c:pt>
                <c:pt idx="36">
                  <c:v>0</c:v>
                </c:pt>
                <c:pt idx="37">
                  <c:v>0.32269700668914558</c:v>
                </c:pt>
                <c:pt idx="38">
                  <c:v>0</c:v>
                </c:pt>
                <c:pt idx="39">
                  <c:v>0.26474288724237005</c:v>
                </c:pt>
                <c:pt idx="40">
                  <c:v>0</c:v>
                </c:pt>
                <c:pt idx="41">
                  <c:v>0</c:v>
                </c:pt>
                <c:pt idx="42">
                  <c:v>0.21396739488005262</c:v>
                </c:pt>
                <c:pt idx="43">
                  <c:v>0</c:v>
                </c:pt>
                <c:pt idx="44">
                  <c:v>0.17763919943556025</c:v>
                </c:pt>
                <c:pt idx="45">
                  <c:v>0</c:v>
                </c:pt>
                <c:pt idx="46">
                  <c:v>0</c:v>
                </c:pt>
                <c:pt idx="47">
                  <c:v>0.14526527079512522</c:v>
                </c:pt>
                <c:pt idx="48">
                  <c:v>0</c:v>
                </c:pt>
                <c:pt idx="49">
                  <c:v>0.12395177352435556</c:v>
                </c:pt>
                <c:pt idx="50">
                  <c:v>0</c:v>
                </c:pt>
                <c:pt idx="51">
                  <c:v>0</c:v>
                </c:pt>
                <c:pt idx="52">
                  <c:v>0.10038118428475966</c:v>
                </c:pt>
                <c:pt idx="53">
                  <c:v>0</c:v>
                </c:pt>
                <c:pt idx="54">
                  <c:v>0</c:v>
                </c:pt>
                <c:pt idx="55">
                  <c:v>8.8080992949750275E-2</c:v>
                </c:pt>
                <c:pt idx="56">
                  <c:v>0</c:v>
                </c:pt>
                <c:pt idx="57">
                  <c:v>7.7083056104667383E-2</c:v>
                </c:pt>
                <c:pt idx="58">
                  <c:v>0</c:v>
                </c:pt>
                <c:pt idx="59">
                  <c:v>0</c:v>
                </c:pt>
                <c:pt idx="60">
                  <c:v>6.9064555231958299E-2</c:v>
                </c:pt>
                <c:pt idx="61">
                  <c:v>0</c:v>
                </c:pt>
                <c:pt idx="62">
                  <c:v>5.8421548202329115E-2</c:v>
                </c:pt>
                <c:pt idx="63">
                  <c:v>0</c:v>
                </c:pt>
                <c:pt idx="64">
                  <c:v>0</c:v>
                </c:pt>
                <c:pt idx="65">
                  <c:v>4.9030808456383593E-2</c:v>
                </c:pt>
                <c:pt idx="66">
                  <c:v>0</c:v>
                </c:pt>
                <c:pt idx="67">
                  <c:v>4.1092298204084464E-2</c:v>
                </c:pt>
                <c:pt idx="68">
                  <c:v>0</c:v>
                </c:pt>
                <c:pt idx="69">
                  <c:v>0</c:v>
                </c:pt>
                <c:pt idx="70">
                  <c:v>3.3198776819832215E-2</c:v>
                </c:pt>
                <c:pt idx="71">
                  <c:v>0</c:v>
                </c:pt>
                <c:pt idx="72">
                  <c:v>0</c:v>
                </c:pt>
                <c:pt idx="73">
                  <c:v>2.4785353689676881E-2</c:v>
                </c:pt>
                <c:pt idx="74">
                  <c:v>0</c:v>
                </c:pt>
                <c:pt idx="75">
                  <c:v>2.0091233401253111E-2</c:v>
                </c:pt>
                <c:pt idx="76">
                  <c:v>0</c:v>
                </c:pt>
                <c:pt idx="77">
                  <c:v>0</c:v>
                </c:pt>
                <c:pt idx="78">
                  <c:v>1.5172155387603572E-2</c:v>
                </c:pt>
                <c:pt idx="79">
                  <c:v>0</c:v>
                </c:pt>
                <c:pt idx="80">
                  <c:v>1.0560521064404494E-2</c:v>
                </c:pt>
                <c:pt idx="81">
                  <c:v>0</c:v>
                </c:pt>
                <c:pt idx="82">
                  <c:v>0</c:v>
                </c:pt>
                <c:pt idx="83">
                  <c:v>7.7585471315451083E-3</c:v>
                </c:pt>
                <c:pt idx="84">
                  <c:v>0</c:v>
                </c:pt>
                <c:pt idx="85">
                  <c:v>0</c:v>
                </c:pt>
                <c:pt idx="86">
                  <c:v>5.091545539251242E-3</c:v>
                </c:pt>
                <c:pt idx="87">
                  <c:v>0</c:v>
                </c:pt>
                <c:pt idx="88">
                  <c:v>3.544336147031881E-3</c:v>
                </c:pt>
                <c:pt idx="89">
                  <c:v>0</c:v>
                </c:pt>
                <c:pt idx="90">
                  <c:v>0</c:v>
                </c:pt>
                <c:pt idx="91">
                  <c:v>2.3295640483844029E-3</c:v>
                </c:pt>
                <c:pt idx="92">
                  <c:v>0</c:v>
                </c:pt>
                <c:pt idx="93">
                  <c:v>1.1697813184589722E-3</c:v>
                </c:pt>
                <c:pt idx="94">
                  <c:v>0</c:v>
                </c:pt>
                <c:pt idx="95">
                  <c:v>0</c:v>
                </c:pt>
                <c:pt idx="96">
                  <c:v>6.8987010240680947E-4</c:v>
                </c:pt>
                <c:pt idx="97">
                  <c:v>0</c:v>
                </c:pt>
                <c:pt idx="98">
                  <c:v>4.649123771810403E-4</c:v>
                </c:pt>
                <c:pt idx="99">
                  <c:v>0</c:v>
                </c:pt>
                <c:pt idx="100">
                  <c:v>0</c:v>
                </c:pt>
                <c:pt idx="101">
                  <c:v>3.2243870503834171E-4</c:v>
                </c:pt>
                <c:pt idx="102">
                  <c:v>0</c:v>
                </c:pt>
                <c:pt idx="103">
                  <c:v>0</c:v>
                </c:pt>
                <c:pt idx="104">
                  <c:v>2.6245099812033417E-4</c:v>
                </c:pt>
                <c:pt idx="105">
                  <c:v>0</c:v>
                </c:pt>
                <c:pt idx="106">
                  <c:v>1.1997732597763554E-4</c:v>
                </c:pt>
                <c:pt idx="107">
                  <c:v>0</c:v>
                </c:pt>
                <c:pt idx="108">
                  <c:v>0</c:v>
                </c:pt>
                <c:pt idx="109">
                  <c:v>8.4983222181050829E-5</c:v>
                </c:pt>
                <c:pt idx="110">
                  <c:v>0</c:v>
                </c:pt>
                <c:pt idx="111">
                  <c:v>2.749468436102353E-5</c:v>
                </c:pt>
                <c:pt idx="112">
                  <c:v>0</c:v>
                </c:pt>
                <c:pt idx="113">
                  <c:v>0</c:v>
                </c:pt>
                <c:pt idx="114">
                  <c:v>1.9997177067082837E-5</c:v>
                </c:pt>
                <c:pt idx="115">
                  <c:v>0</c:v>
                </c:pt>
                <c:pt idx="116">
                  <c:v>7.4994194355611865E-6</c:v>
                </c:pt>
                <c:pt idx="117">
                  <c:v>0</c:v>
                </c:pt>
                <c:pt idx="118">
                  <c:v>0</c:v>
                </c:pt>
                <c:pt idx="119">
                  <c:v>1.9997177067082837E-5</c:v>
                </c:pt>
                <c:pt idx="120">
                  <c:v>0</c:v>
                </c:pt>
                <c:pt idx="121">
                  <c:v>0</c:v>
                </c:pt>
                <c:pt idx="122">
                  <c:v>7.4994194355611865E-6</c:v>
                </c:pt>
                <c:pt idx="123">
                  <c:v>0</c:v>
                </c:pt>
                <c:pt idx="124">
                  <c:v>7.4994194355611865E-6</c:v>
                </c:pt>
                <c:pt idx="125">
                  <c:v>0</c:v>
                </c:pt>
                <c:pt idx="126">
                  <c:v>0</c:v>
                </c:pt>
                <c:pt idx="127">
                  <c:v>2.499169097980232E-6</c:v>
                </c:pt>
                <c:pt idx="128">
                  <c:v>0</c:v>
                </c:pt>
                <c:pt idx="129">
                  <c:v>2.499169097980232E-6</c:v>
                </c:pt>
                <c:pt idx="130">
                  <c:v>0</c:v>
                </c:pt>
                <c:pt idx="131">
                  <c:v>0</c:v>
                </c:pt>
                <c:pt idx="132">
                  <c:v>2.499169097980232E-6</c:v>
                </c:pt>
                <c:pt idx="133">
                  <c:v>0</c:v>
                </c:pt>
                <c:pt idx="134">
                  <c:v>2.499169097980232E-6</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(60.7 , 20.9)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60.668766465184433</c:v>
                </c:pt>
              </c:numCache>
            </c:numRef>
          </c:xVal>
          <c:yVal>
            <c:numRef>
              <c:f>info!$W$20:$W$21</c:f>
              <c:numCache>
                <c:formatCode>General</c:formatCode>
                <c:ptCount val="2"/>
                <c:pt idx="0">
                  <c:v>50</c:v>
                </c:pt>
                <c:pt idx="1">
                  <c:v>20.852572024841866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84.017899999999997</c:v>
                      </c:pt>
                    </c:numCache>
                  </c:numRef>
                </c:xVal>
                <c:yVal>
                  <c:numRef>
                    <c:extLst>
                      <c:ext uri="{02D57815-91ED-43cb-92C2-25804820EDAC}">
                        <c15:formulaRef>
                          <c15:sqref>info!$W$18</c15:sqref>
                        </c15:formulaRef>
                      </c:ext>
                    </c:extLst>
                    <c:numCache>
                      <c:formatCode>General</c:formatCode>
                      <c:ptCount val="1"/>
                      <c:pt idx="0">
                        <c:v>33.288700000000006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(60.7 , 20.9)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60.668766465184433</c:v>
                </c:pt>
              </c:numCache>
            </c:numRef>
          </c:xVal>
          <c:yVal>
            <c:numRef>
              <c:f>info!$W$20:$W$21</c:f>
              <c:numCache>
                <c:formatCode>General</c:formatCode>
                <c:ptCount val="2"/>
                <c:pt idx="0">
                  <c:v>50</c:v>
                </c:pt>
                <c:pt idx="1">
                  <c:v>20.852572024841866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26.3141</c:v>
                </c:pt>
                <c:pt idx="1">
                  <c:v>30.8871</c:v>
                </c:pt>
                <c:pt idx="2">
                  <c:v>32.970500000000001</c:v>
                </c:pt>
                <c:pt idx="3">
                  <c:v>28.881499999999999</c:v>
                </c:pt>
                <c:pt idx="4">
                  <c:v>73.754999999999995</c:v>
                </c:pt>
                <c:pt idx="5">
                  <c:v>64.902000000000001</c:v>
                </c:pt>
                <c:pt idx="6">
                  <c:v>19.652699999999999</c:v>
                </c:pt>
                <c:pt idx="7">
                  <c:v>69.063500000000005</c:v>
                </c:pt>
                <c:pt idx="8">
                  <c:v>16.4633</c:v>
                </c:pt>
                <c:pt idx="9">
                  <c:v>14.4407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0.5569672717438805</c:v>
                </c:pt>
                <c:pt idx="1">
                  <c:v>0.29162951480815924</c:v>
                </c:pt>
                <c:pt idx="2">
                  <c:v>0.15140321344796029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3.349112781352896E-3</c:v>
                </c:pt>
                <c:pt idx="7">
                  <c:v>0</c:v>
                </c:pt>
                <c:pt idx="8">
                  <c:v>1.5698996186911398E-3</c:v>
                </c:pt>
                <c:pt idx="9">
                  <c:v>0</c:v>
                </c:pt>
                <c:pt idx="10">
                  <c:v>0</c:v>
                </c:pt>
                <c:pt idx="11">
                  <c:v>3.5322811477296609E-3</c:v>
                </c:pt>
                <c:pt idx="12">
                  <c:v>0</c:v>
                </c:pt>
                <c:pt idx="13">
                  <c:v>1.5698996186911398E-3</c:v>
                </c:pt>
                <c:pt idx="14">
                  <c:v>0</c:v>
                </c:pt>
                <c:pt idx="15">
                  <c:v>0</c:v>
                </c:pt>
                <c:pt idx="16">
                  <c:v>6.672064372141435E-3</c:v>
                </c:pt>
                <c:pt idx="17">
                  <c:v>0</c:v>
                </c:pt>
                <c:pt idx="18">
                  <c:v>0</c:v>
                </c:pt>
                <c:pt idx="19">
                  <c:v>2.4673585604339517E-2</c:v>
                </c:pt>
                <c:pt idx="20">
                  <c:v>0</c:v>
                </c:pt>
                <c:pt idx="21">
                  <c:v>5.3585804501646336E-2</c:v>
                </c:pt>
                <c:pt idx="22">
                  <c:v>0</c:v>
                </c:pt>
                <c:pt idx="23">
                  <c:v>0</c:v>
                </c:pt>
                <c:pt idx="24">
                  <c:v>7.077632882634935E-2</c:v>
                </c:pt>
                <c:pt idx="25">
                  <c:v>0</c:v>
                </c:pt>
                <c:pt idx="26">
                  <c:v>5.1309560744202808E-2</c:v>
                </c:pt>
                <c:pt idx="27">
                  <c:v>0</c:v>
                </c:pt>
                <c:pt idx="28">
                  <c:v>0</c:v>
                </c:pt>
                <c:pt idx="29">
                  <c:v>5.6202323882344703E-2</c:v>
                </c:pt>
                <c:pt idx="30">
                  <c:v>0</c:v>
                </c:pt>
                <c:pt idx="31">
                  <c:v>9.058317236961938E-2</c:v>
                </c:pt>
                <c:pt idx="32">
                  <c:v>0</c:v>
                </c:pt>
                <c:pt idx="33">
                  <c:v>0</c:v>
                </c:pt>
                <c:pt idx="34">
                  <c:v>0.134592620022218</c:v>
                </c:pt>
                <c:pt idx="35">
                  <c:v>0</c:v>
                </c:pt>
                <c:pt idx="36">
                  <c:v>0</c:v>
                </c:pt>
                <c:pt idx="37">
                  <c:v>0.1202542059067845</c:v>
                </c:pt>
                <c:pt idx="38">
                  <c:v>0</c:v>
                </c:pt>
                <c:pt idx="39">
                  <c:v>0.1093173470511114</c:v>
                </c:pt>
                <c:pt idx="40">
                  <c:v>0</c:v>
                </c:pt>
                <c:pt idx="41">
                  <c:v>0</c:v>
                </c:pt>
                <c:pt idx="42">
                  <c:v>0.13443569291125812</c:v>
                </c:pt>
                <c:pt idx="43">
                  <c:v>0</c:v>
                </c:pt>
                <c:pt idx="44">
                  <c:v>0.20811657442528447</c:v>
                </c:pt>
                <c:pt idx="45">
                  <c:v>0</c:v>
                </c:pt>
                <c:pt idx="46">
                  <c:v>0</c:v>
                </c:pt>
                <c:pt idx="47">
                  <c:v>0.38792221699576662</c:v>
                </c:pt>
                <c:pt idx="48">
                  <c:v>0</c:v>
                </c:pt>
                <c:pt idx="49">
                  <c:v>0.3598214553788569</c:v>
                </c:pt>
                <c:pt idx="50">
                  <c:v>0</c:v>
                </c:pt>
                <c:pt idx="51">
                  <c:v>0</c:v>
                </c:pt>
                <c:pt idx="52">
                  <c:v>0.29943254035768974</c:v>
                </c:pt>
                <c:pt idx="53">
                  <c:v>0</c:v>
                </c:pt>
                <c:pt idx="54">
                  <c:v>0</c:v>
                </c:pt>
                <c:pt idx="55">
                  <c:v>0.38187732062971003</c:v>
                </c:pt>
                <c:pt idx="56">
                  <c:v>0</c:v>
                </c:pt>
                <c:pt idx="57">
                  <c:v>0.37128073739729178</c:v>
                </c:pt>
                <c:pt idx="58">
                  <c:v>0</c:v>
                </c:pt>
                <c:pt idx="59">
                  <c:v>0</c:v>
                </c:pt>
                <c:pt idx="60">
                  <c:v>0.51042744623144742</c:v>
                </c:pt>
                <c:pt idx="61">
                  <c:v>0</c:v>
                </c:pt>
                <c:pt idx="62">
                  <c:v>0.60757613667070332</c:v>
                </c:pt>
                <c:pt idx="63">
                  <c:v>0</c:v>
                </c:pt>
                <c:pt idx="64">
                  <c:v>0</c:v>
                </c:pt>
                <c:pt idx="65">
                  <c:v>0.5767291506119957</c:v>
                </c:pt>
                <c:pt idx="66">
                  <c:v>0</c:v>
                </c:pt>
                <c:pt idx="67">
                  <c:v>0.68936838839459968</c:v>
                </c:pt>
                <c:pt idx="68">
                  <c:v>0</c:v>
                </c:pt>
                <c:pt idx="69">
                  <c:v>0</c:v>
                </c:pt>
                <c:pt idx="70">
                  <c:v>0.76359851479698559</c:v>
                </c:pt>
                <c:pt idx="71">
                  <c:v>0</c:v>
                </c:pt>
                <c:pt idx="72">
                  <c:v>0</c:v>
                </c:pt>
                <c:pt idx="73">
                  <c:v>0.84455408881193772</c:v>
                </c:pt>
                <c:pt idx="74">
                  <c:v>0</c:v>
                </c:pt>
                <c:pt idx="75">
                  <c:v>1</c:v>
                </c:pt>
                <c:pt idx="76">
                  <c:v>0</c:v>
                </c:pt>
                <c:pt idx="77">
                  <c:v>0</c:v>
                </c:pt>
                <c:pt idx="78">
                  <c:v>0.83686185810506508</c:v>
                </c:pt>
                <c:pt idx="79">
                  <c:v>0</c:v>
                </c:pt>
                <c:pt idx="80">
                  <c:v>0.64342317276994365</c:v>
                </c:pt>
                <c:pt idx="81">
                  <c:v>0</c:v>
                </c:pt>
                <c:pt idx="82">
                  <c:v>0</c:v>
                </c:pt>
                <c:pt idx="83">
                  <c:v>0.57848257088241484</c:v>
                </c:pt>
                <c:pt idx="84">
                  <c:v>0</c:v>
                </c:pt>
                <c:pt idx="85">
                  <c:v>0</c:v>
                </c:pt>
                <c:pt idx="86">
                  <c:v>0.42774447302314877</c:v>
                </c:pt>
                <c:pt idx="87">
                  <c:v>0</c:v>
                </c:pt>
                <c:pt idx="88">
                  <c:v>0.39271009517709343</c:v>
                </c:pt>
                <c:pt idx="89">
                  <c:v>0</c:v>
                </c:pt>
                <c:pt idx="90">
                  <c:v>0</c:v>
                </c:pt>
                <c:pt idx="91">
                  <c:v>0.34891061760025621</c:v>
                </c:pt>
                <c:pt idx="92">
                  <c:v>0</c:v>
                </c:pt>
                <c:pt idx="93">
                  <c:v>0.21217185920595683</c:v>
                </c:pt>
                <c:pt idx="94">
                  <c:v>0</c:v>
                </c:pt>
                <c:pt idx="95">
                  <c:v>0</c:v>
                </c:pt>
                <c:pt idx="96">
                  <c:v>0.12797285801499214</c:v>
                </c:pt>
                <c:pt idx="97">
                  <c:v>0</c:v>
                </c:pt>
                <c:pt idx="98">
                  <c:v>9.6941322471201671E-2</c:v>
                </c:pt>
                <c:pt idx="99">
                  <c:v>0</c:v>
                </c:pt>
                <c:pt idx="100">
                  <c:v>0</c:v>
                </c:pt>
                <c:pt idx="101">
                  <c:v>6.3319288623785275E-2</c:v>
                </c:pt>
                <c:pt idx="102">
                  <c:v>0</c:v>
                </c:pt>
                <c:pt idx="103">
                  <c:v>0</c:v>
                </c:pt>
                <c:pt idx="104">
                  <c:v>4.9425634764158968E-2</c:v>
                </c:pt>
                <c:pt idx="105">
                  <c:v>0</c:v>
                </c:pt>
                <c:pt idx="106">
                  <c:v>2.7342347301314063E-2</c:v>
                </c:pt>
                <c:pt idx="107">
                  <c:v>0</c:v>
                </c:pt>
                <c:pt idx="108">
                  <c:v>0</c:v>
                </c:pt>
                <c:pt idx="109">
                  <c:v>2.7865771274732536E-2</c:v>
                </c:pt>
                <c:pt idx="110">
                  <c:v>0</c:v>
                </c:pt>
                <c:pt idx="111">
                  <c:v>4.5265465026671607E-3</c:v>
                </c:pt>
                <c:pt idx="112">
                  <c:v>0</c:v>
                </c:pt>
                <c:pt idx="113">
                  <c:v>0</c:v>
                </c:pt>
                <c:pt idx="114">
                  <c:v>1.7268887799117287E-3</c:v>
                </c:pt>
                <c:pt idx="115">
                  <c:v>0</c:v>
                </c:pt>
                <c:pt idx="116">
                  <c:v>8.3728019695953726E-4</c:v>
                </c:pt>
                <c:pt idx="117">
                  <c:v>0</c:v>
                </c:pt>
                <c:pt idx="118">
                  <c:v>0</c:v>
                </c:pt>
                <c:pt idx="119">
                  <c:v>8.3728019695953726E-4</c:v>
                </c:pt>
                <c:pt idx="120">
                  <c:v>0</c:v>
                </c:pt>
                <c:pt idx="121">
                  <c:v>0</c:v>
                </c:pt>
                <c:pt idx="122">
                  <c:v>1.6745583922977612E-3</c:v>
                </c:pt>
                <c:pt idx="123">
                  <c:v>0</c:v>
                </c:pt>
                <c:pt idx="124">
                  <c:v>2.5641769833565187E-3</c:v>
                </c:pt>
                <c:pt idx="125">
                  <c:v>0</c:v>
                </c:pt>
                <c:pt idx="126">
                  <c:v>0</c:v>
                </c:pt>
                <c:pt idx="127">
                  <c:v>8.6344539076652093E-4</c:v>
                </c:pt>
                <c:pt idx="128">
                  <c:v>0</c:v>
                </c:pt>
                <c:pt idx="129">
                  <c:v>8.6344539076652093E-4</c:v>
                </c:pt>
                <c:pt idx="130">
                  <c:v>0</c:v>
                </c:pt>
                <c:pt idx="131">
                  <c:v>0</c:v>
                </c:pt>
                <c:pt idx="132">
                  <c:v>8.8960858295219136E-4</c:v>
                </c:pt>
                <c:pt idx="133">
                  <c:v>0</c:v>
                </c:pt>
                <c:pt idx="134">
                  <c:v>8.8960858295219136E-4</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2.15768</c:v>
                </c:pt>
                <c:pt idx="1">
                  <c:v>2.2318500000000001</c:v>
                </c:pt>
                <c:pt idx="2">
                  <c:v>2.2947199999999999</c:v>
                </c:pt>
                <c:pt idx="3">
                  <c:v>2.3462900000000002</c:v>
                </c:pt>
                <c:pt idx="4">
                  <c:v>2.3953699999999998</c:v>
                </c:pt>
                <c:pt idx="5">
                  <c:v>2.4377199999999997</c:v>
                </c:pt>
                <c:pt idx="6">
                  <c:v>2.47499</c:v>
                </c:pt>
                <c:pt idx="7">
                  <c:v>2.5109199999999996</c:v>
                </c:pt>
                <c:pt idx="8">
                  <c:v>2.5450200000000001</c:v>
                </c:pt>
                <c:pt idx="9">
                  <c:v>2.5785499999999999</c:v>
                </c:pt>
                <c:pt idx="10">
                  <c:v>2.6104899999999995</c:v>
                </c:pt>
                <c:pt idx="11">
                  <c:v>2.6399499999999998</c:v>
                </c:pt>
                <c:pt idx="12">
                  <c:v>2.6682899999999998</c:v>
                </c:pt>
                <c:pt idx="13">
                  <c:v>2.7009600000000002</c:v>
                </c:pt>
                <c:pt idx="14">
                  <c:v>2.7359499999999999</c:v>
                </c:pt>
                <c:pt idx="15">
                  <c:v>2.7706900000000001</c:v>
                </c:pt>
                <c:pt idx="16">
                  <c:v>2.8060200000000002</c:v>
                </c:pt>
                <c:pt idx="17">
                  <c:v>2.8411599999999999</c:v>
                </c:pt>
                <c:pt idx="18">
                  <c:v>2.8767300000000002</c:v>
                </c:pt>
                <c:pt idx="19">
                  <c:v>2.8969200000000002</c:v>
                </c:pt>
                <c:pt idx="20">
                  <c:v>2.9153800000000003</c:v>
                </c:pt>
                <c:pt idx="21">
                  <c:v>2.93174</c:v>
                </c:pt>
                <c:pt idx="22">
                  <c:v>2.9469400000000001</c:v>
                </c:pt>
                <c:pt idx="23">
                  <c:v>2.9615999999999998</c:v>
                </c:pt>
                <c:pt idx="24">
                  <c:v>2.9753800000000004</c:v>
                </c:pt>
                <c:pt idx="25">
                  <c:v>2.98916</c:v>
                </c:pt>
              </c:numCache>
              <c:extLst xmlns:c15="http://schemas.microsoft.com/office/drawing/2012/chart"/>
            </c:numRef>
          </c:xVal>
          <c:yVal>
            <c:numRef>
              <c:f>[0]!FT_PH</c:f>
              <c:numCache>
                <c:formatCode>0.00</c:formatCode>
                <c:ptCount val="26"/>
                <c:pt idx="0">
                  <c:v>73.534900000000007</c:v>
                </c:pt>
                <c:pt idx="1">
                  <c:v>73.258499999999998</c:v>
                </c:pt>
                <c:pt idx="2">
                  <c:v>72.980800000000002</c:v>
                </c:pt>
                <c:pt idx="3">
                  <c:v>72.414400000000001</c:v>
                </c:pt>
                <c:pt idx="4">
                  <c:v>71.694000000000003</c:v>
                </c:pt>
                <c:pt idx="5">
                  <c:v>71.1631</c:v>
                </c:pt>
                <c:pt idx="6">
                  <c:v>70.72420000000001</c:v>
                </c:pt>
                <c:pt idx="7">
                  <c:v>70.271100000000004</c:v>
                </c:pt>
                <c:pt idx="8">
                  <c:v>69.780900000000003</c:v>
                </c:pt>
                <c:pt idx="9">
                  <c:v>69.2864</c:v>
                </c:pt>
                <c:pt idx="10">
                  <c:v>68.792500000000004</c:v>
                </c:pt>
                <c:pt idx="11">
                  <c:v>68.301699999999997</c:v>
                </c:pt>
                <c:pt idx="12">
                  <c:v>67.715000000000003</c:v>
                </c:pt>
                <c:pt idx="13">
                  <c:v>67.038200000000003</c:v>
                </c:pt>
                <c:pt idx="14">
                  <c:v>66.283999999999992</c:v>
                </c:pt>
                <c:pt idx="15">
                  <c:v>65.554500000000004</c:v>
                </c:pt>
                <c:pt idx="16">
                  <c:v>64.865099999999998</c:v>
                </c:pt>
                <c:pt idx="17">
                  <c:v>64.168099999999995</c:v>
                </c:pt>
                <c:pt idx="18">
                  <c:v>63.496099999999998</c:v>
                </c:pt>
                <c:pt idx="19">
                  <c:v>63.187899999999999</c:v>
                </c:pt>
                <c:pt idx="20">
                  <c:v>62.877799999999993</c:v>
                </c:pt>
                <c:pt idx="21">
                  <c:v>62.592800000000004</c:v>
                </c:pt>
                <c:pt idx="22">
                  <c:v>62.335099999999997</c:v>
                </c:pt>
                <c:pt idx="23">
                  <c:v>62.037600000000005</c:v>
                </c:pt>
                <c:pt idx="24">
                  <c:v>61.752899999999997</c:v>
                </c:pt>
                <c:pt idx="25">
                  <c:v>61.463999999999999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2.15768</c:v>
                </c:pt>
              </c:numCache>
            </c:numRef>
          </c:xVal>
          <c:yVal>
            <c:numRef>
              <c:f>[0]!FT_PH01</c:f>
              <c:numCache>
                <c:formatCode>0.00</c:formatCode>
                <c:ptCount val="1"/>
                <c:pt idx="0">
                  <c:v>73.534900000000007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2.15768</c:v>
                </c:pt>
              </c:numCache>
            </c:numRef>
          </c:xVal>
          <c:yVal>
            <c:numRef>
              <c:f>[0]!FT_PH02</c:f>
              <c:numCache>
                <c:formatCode>0.00</c:formatCode>
                <c:ptCount val="1"/>
                <c:pt idx="0">
                  <c:v>73.534900000000007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2.15768</c:v>
                </c:pt>
              </c:numCache>
            </c:numRef>
          </c:xVal>
          <c:yVal>
            <c:numRef>
              <c:f>[0]!FT_PH03</c:f>
              <c:numCache>
                <c:formatCode>0.00</c:formatCode>
                <c:ptCount val="1"/>
                <c:pt idx="0">
                  <c:v>73.534900000000007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2.15768</c:v>
                </c:pt>
              </c:numCache>
            </c:numRef>
          </c:xVal>
          <c:yVal>
            <c:numRef>
              <c:f>[0]!FT_PH04</c:f>
              <c:numCache>
                <c:formatCode>0.00</c:formatCode>
                <c:ptCount val="1"/>
                <c:pt idx="0">
                  <c:v>73.534900000000007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2.15768</c:v>
                </c:pt>
              </c:numCache>
            </c:numRef>
          </c:xVal>
          <c:yVal>
            <c:numRef>
              <c:f>[0]!FT_PH05</c:f>
              <c:numCache>
                <c:formatCode>0.00</c:formatCode>
                <c:ptCount val="1"/>
                <c:pt idx="0">
                  <c:v>73.534900000000007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2.15768</c:v>
                </c:pt>
              </c:numCache>
            </c:numRef>
          </c:xVal>
          <c:yVal>
            <c:numRef>
              <c:f>[0]!FT_PH06</c:f>
              <c:numCache>
                <c:formatCode>0.00</c:formatCode>
                <c:ptCount val="1"/>
                <c:pt idx="0">
                  <c:v>73.534900000000007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2.15768</c:v>
                </c:pt>
              </c:numCache>
            </c:numRef>
          </c:xVal>
          <c:yVal>
            <c:numRef>
              <c:f>[0]!FT_PH07</c:f>
              <c:numCache>
                <c:formatCode>0.00</c:formatCode>
                <c:ptCount val="1"/>
                <c:pt idx="0">
                  <c:v>73.534900000000007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2.15768</c:v>
                </c:pt>
              </c:numCache>
            </c:numRef>
          </c:xVal>
          <c:yVal>
            <c:numRef>
              <c:f>[0]!FT_PH08</c:f>
              <c:numCache>
                <c:formatCode>0.00</c:formatCode>
                <c:ptCount val="1"/>
                <c:pt idx="0">
                  <c:v>73.534900000000007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2.15768</c:v>
                </c:pt>
              </c:numCache>
            </c:numRef>
          </c:xVal>
          <c:yVal>
            <c:numRef>
              <c:f>[0]!FT_PH09</c:f>
              <c:numCache>
                <c:formatCode>0.00</c:formatCode>
                <c:ptCount val="1"/>
                <c:pt idx="0">
                  <c:v>73.534900000000007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2.15768</c:v>
                </c:pt>
              </c:numCache>
            </c:numRef>
          </c:xVal>
          <c:yVal>
            <c:numRef>
              <c:f>[0]!FT_PH10</c:f>
              <c:numCache>
                <c:formatCode>0.00</c:formatCode>
                <c:ptCount val="1"/>
                <c:pt idx="0">
                  <c:v>73.534900000000007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2.15768</c:v>
                </c:pt>
              </c:numCache>
            </c:numRef>
          </c:xVal>
          <c:yVal>
            <c:numRef>
              <c:f>[0]!FT_PH11</c:f>
              <c:numCache>
                <c:formatCode>0.00</c:formatCode>
                <c:ptCount val="1"/>
                <c:pt idx="0">
                  <c:v>73.534900000000007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2.15768</c:v>
                </c:pt>
              </c:numCache>
            </c:numRef>
          </c:xVal>
          <c:yVal>
            <c:numRef>
              <c:f>[0]!FT_PH12</c:f>
              <c:numCache>
                <c:formatCode>0.00</c:formatCode>
                <c:ptCount val="1"/>
                <c:pt idx="0">
                  <c:v>73.534900000000007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2.15768</c:v>
                </c:pt>
              </c:numCache>
            </c:numRef>
          </c:xVal>
          <c:yVal>
            <c:numRef>
              <c:f>[0]!FT_PH13</c:f>
              <c:numCache>
                <c:formatCode>0.00</c:formatCode>
                <c:ptCount val="1"/>
                <c:pt idx="0">
                  <c:v>73.534900000000007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2.15768</c:v>
                </c:pt>
              </c:numCache>
            </c:numRef>
          </c:xVal>
          <c:yVal>
            <c:numRef>
              <c:f>[0]!FT_PH14</c:f>
              <c:numCache>
                <c:formatCode>0.00</c:formatCode>
                <c:ptCount val="1"/>
                <c:pt idx="0">
                  <c:v>73.534900000000007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2.15768</c:v>
                </c:pt>
              </c:numCache>
            </c:numRef>
          </c:xVal>
          <c:yVal>
            <c:numRef>
              <c:f>[0]!FT_PH15</c:f>
              <c:numCache>
                <c:formatCode>0.00</c:formatCode>
                <c:ptCount val="1"/>
                <c:pt idx="0">
                  <c:v>73.534900000000007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2.15768</c:v>
                </c:pt>
              </c:numCache>
            </c:numRef>
          </c:xVal>
          <c:yVal>
            <c:numRef>
              <c:f>[0]!FT_PH16</c:f>
              <c:numCache>
                <c:formatCode>0.00</c:formatCode>
                <c:ptCount val="1"/>
                <c:pt idx="0">
                  <c:v>73.534900000000007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2.15768</c:v>
                </c:pt>
              </c:numCache>
            </c:numRef>
          </c:xVal>
          <c:yVal>
            <c:numRef>
              <c:f>[0]!FT_PH17</c:f>
              <c:numCache>
                <c:formatCode>0.00</c:formatCode>
                <c:ptCount val="1"/>
                <c:pt idx="0">
                  <c:v>73.534900000000007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2.15768</c:v>
                </c:pt>
              </c:numCache>
            </c:numRef>
          </c:xVal>
          <c:yVal>
            <c:numRef>
              <c:f>[0]!FT_PH18</c:f>
              <c:numCache>
                <c:formatCode>0.00</c:formatCode>
                <c:ptCount val="1"/>
                <c:pt idx="0">
                  <c:v>73.534900000000007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2.15768</c:v>
                </c:pt>
              </c:numCache>
            </c:numRef>
          </c:xVal>
          <c:yVal>
            <c:numRef>
              <c:f>[0]!FT_PH19</c:f>
              <c:numCache>
                <c:formatCode>0.00</c:formatCode>
                <c:ptCount val="1"/>
                <c:pt idx="0">
                  <c:v>73.534900000000007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2.15768</c:v>
                </c:pt>
              </c:numCache>
            </c:numRef>
          </c:xVal>
          <c:yVal>
            <c:numRef>
              <c:f>[0]!FT_PH20</c:f>
              <c:numCache>
                <c:formatCode>0.00</c:formatCode>
                <c:ptCount val="1"/>
                <c:pt idx="0">
                  <c:v>73.534900000000007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2.15768</c:v>
                </c:pt>
              </c:numCache>
            </c:numRef>
          </c:xVal>
          <c:yVal>
            <c:numRef>
              <c:f>[0]!FT_PH21</c:f>
              <c:numCache>
                <c:formatCode>0.00</c:formatCode>
                <c:ptCount val="1"/>
                <c:pt idx="0">
                  <c:v>73.534900000000007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2.15768</c:v>
                </c:pt>
              </c:numCache>
            </c:numRef>
          </c:xVal>
          <c:yVal>
            <c:numRef>
              <c:f>[0]!FT_PH22</c:f>
              <c:numCache>
                <c:formatCode>0.00</c:formatCode>
                <c:ptCount val="1"/>
                <c:pt idx="0">
                  <c:v>73.534900000000007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2.15768</c:v>
                </c:pt>
              </c:numCache>
            </c:numRef>
          </c:xVal>
          <c:yVal>
            <c:numRef>
              <c:f>[0]!FT_PH23</c:f>
              <c:numCache>
                <c:formatCode>0.00</c:formatCode>
                <c:ptCount val="1"/>
                <c:pt idx="0">
                  <c:v>73.534900000000007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2.15768</c:v>
                </c:pt>
              </c:numCache>
            </c:numRef>
          </c:xVal>
          <c:yVal>
            <c:numRef>
              <c:f>[0]!FT_PH24</c:f>
              <c:numCache>
                <c:formatCode>0.00</c:formatCode>
                <c:ptCount val="1"/>
                <c:pt idx="0">
                  <c:v>73.534900000000007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2.15768</c:v>
                </c:pt>
              </c:numCache>
            </c:numRef>
          </c:xVal>
          <c:yVal>
            <c:numRef>
              <c:f>info!$H$2</c:f>
              <c:numCache>
                <c:formatCode>0.00</c:formatCode>
                <c:ptCount val="1"/>
                <c:pt idx="0">
                  <c:v>73.534900000000007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0.16404235847782803</c:v>
                </c:pt>
                <c:pt idx="1">
                  <c:v>0.32463173820372104</c:v>
                </c:pt>
                <c:pt idx="2">
                  <c:v>0.51132590331845085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0.36660300000000001</c:v>
                </c:pt>
                <c:pt idx="2">
                  <c:v>0.76405900000000004</c:v>
                </c:pt>
                <c:pt idx="3">
                  <c:v>1.1789400000000001</c:v>
                </c:pt>
                <c:pt idx="4">
                  <c:v>1.5934600000000001</c:v>
                </c:pt>
                <c:pt idx="5">
                  <c:v>2.0095399999999999</c:v>
                </c:pt>
                <c:pt idx="6">
                  <c:v>2.3934899999999999</c:v>
                </c:pt>
                <c:pt idx="7">
                  <c:v>2.80335</c:v>
                </c:pt>
                <c:pt idx="8">
                  <c:v>3.2226599999999999</c:v>
                </c:pt>
                <c:pt idx="9">
                  <c:v>3.6176699999999999</c:v>
                </c:pt>
                <c:pt idx="10">
                  <c:v>4.01647</c:v>
                </c:pt>
                <c:pt idx="11">
                  <c:v>4.4440200000000001</c:v>
                </c:pt>
                <c:pt idx="12">
                  <c:v>4.8428199999999997</c:v>
                </c:pt>
                <c:pt idx="13">
                  <c:v>5.24979</c:v>
                </c:pt>
                <c:pt idx="14">
                  <c:v>5.6467799999999997</c:v>
                </c:pt>
                <c:pt idx="15">
                  <c:v>6.0656800000000004</c:v>
                </c:pt>
                <c:pt idx="16">
                  <c:v>6.4644000000000004</c:v>
                </c:pt>
                <c:pt idx="17">
                  <c:v>6.8649300000000002</c:v>
                </c:pt>
                <c:pt idx="18">
                  <c:v>7.2934299999999999</c:v>
                </c:pt>
                <c:pt idx="19">
                  <c:v>7.6772999999999998</c:v>
                </c:pt>
                <c:pt idx="20">
                  <c:v>8.0941399999999994</c:v>
                </c:pt>
                <c:pt idx="21">
                  <c:v>8.4977199999999993</c:v>
                </c:pt>
                <c:pt idx="22">
                  <c:v>8.8935300000000002</c:v>
                </c:pt>
                <c:pt idx="23">
                  <c:v>9.3151899999999994</c:v>
                </c:pt>
                <c:pt idx="24">
                  <c:v>9.7329799999999995</c:v>
                </c:pt>
                <c:pt idx="25">
                  <c:v>10.1129</c:v>
                </c:pt>
              </c:numCache>
            </c:numRef>
          </c:xVal>
          <c:yVal>
            <c:numRef>
              <c:f>[0]!FT_E</c:f>
              <c:numCache>
                <c:formatCode>0.00</c:formatCode>
                <c:ptCount val="26"/>
                <c:pt idx="0">
                  <c:v>2.15768</c:v>
                </c:pt>
                <c:pt idx="1">
                  <c:v>2.2318500000000001</c:v>
                </c:pt>
                <c:pt idx="2">
                  <c:v>2.2947199999999999</c:v>
                </c:pt>
                <c:pt idx="3">
                  <c:v>2.3462900000000002</c:v>
                </c:pt>
                <c:pt idx="4">
                  <c:v>2.3953699999999998</c:v>
                </c:pt>
                <c:pt idx="5">
                  <c:v>2.4377199999999997</c:v>
                </c:pt>
                <c:pt idx="6">
                  <c:v>2.47499</c:v>
                </c:pt>
                <c:pt idx="7">
                  <c:v>2.5109199999999996</c:v>
                </c:pt>
                <c:pt idx="8">
                  <c:v>2.5450200000000001</c:v>
                </c:pt>
                <c:pt idx="9">
                  <c:v>2.5785499999999999</c:v>
                </c:pt>
                <c:pt idx="10">
                  <c:v>2.6104899999999995</c:v>
                </c:pt>
                <c:pt idx="11">
                  <c:v>2.6399499999999998</c:v>
                </c:pt>
                <c:pt idx="12">
                  <c:v>2.6682899999999998</c:v>
                </c:pt>
                <c:pt idx="13">
                  <c:v>2.7009600000000002</c:v>
                </c:pt>
                <c:pt idx="14">
                  <c:v>2.7359499999999999</c:v>
                </c:pt>
                <c:pt idx="15">
                  <c:v>2.7706900000000001</c:v>
                </c:pt>
                <c:pt idx="16">
                  <c:v>2.8060200000000002</c:v>
                </c:pt>
                <c:pt idx="17">
                  <c:v>2.8411599999999999</c:v>
                </c:pt>
                <c:pt idx="18">
                  <c:v>2.8767300000000002</c:v>
                </c:pt>
                <c:pt idx="19">
                  <c:v>2.8969200000000002</c:v>
                </c:pt>
                <c:pt idx="20">
                  <c:v>2.9153800000000003</c:v>
                </c:pt>
                <c:pt idx="21">
                  <c:v>2.93174</c:v>
                </c:pt>
                <c:pt idx="22">
                  <c:v>2.9469400000000001</c:v>
                </c:pt>
                <c:pt idx="23">
                  <c:v>2.9615999999999998</c:v>
                </c:pt>
                <c:pt idx="24">
                  <c:v>2.9753800000000004</c:v>
                </c:pt>
                <c:pt idx="25">
                  <c:v>2.98916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2.15768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2.15768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2.15768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2.15768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2.15768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2.15768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2.15768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2.15768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2.15768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2.15768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2.15768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2.15768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2.15768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2.15768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2.15768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2.15768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2.15768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2.15768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2.15768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2.15768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2.15768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2.15768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2.15768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2.15768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0.36660300000000001</c:v>
                </c:pt>
                <c:pt idx="2">
                  <c:v>0.76405900000000004</c:v>
                </c:pt>
                <c:pt idx="3">
                  <c:v>1.1789400000000001</c:v>
                </c:pt>
                <c:pt idx="4">
                  <c:v>1.5934600000000001</c:v>
                </c:pt>
                <c:pt idx="5">
                  <c:v>2.0095399999999999</c:v>
                </c:pt>
                <c:pt idx="6">
                  <c:v>2.3934899999999999</c:v>
                </c:pt>
                <c:pt idx="7">
                  <c:v>2.80335</c:v>
                </c:pt>
                <c:pt idx="8">
                  <c:v>3.2226599999999999</c:v>
                </c:pt>
                <c:pt idx="9">
                  <c:v>3.6176699999999999</c:v>
                </c:pt>
                <c:pt idx="10">
                  <c:v>4.01647</c:v>
                </c:pt>
                <c:pt idx="11">
                  <c:v>4.4440200000000001</c:v>
                </c:pt>
                <c:pt idx="12">
                  <c:v>4.8428199999999997</c:v>
                </c:pt>
                <c:pt idx="13">
                  <c:v>5.24979</c:v>
                </c:pt>
                <c:pt idx="14">
                  <c:v>5.6467799999999997</c:v>
                </c:pt>
                <c:pt idx="15">
                  <c:v>6.0656800000000004</c:v>
                </c:pt>
                <c:pt idx="16">
                  <c:v>6.4644000000000004</c:v>
                </c:pt>
                <c:pt idx="17">
                  <c:v>6.8649300000000002</c:v>
                </c:pt>
                <c:pt idx="18">
                  <c:v>7.2934299999999999</c:v>
                </c:pt>
                <c:pt idx="19">
                  <c:v>7.6772999999999998</c:v>
                </c:pt>
                <c:pt idx="20">
                  <c:v>8.0941399999999994</c:v>
                </c:pt>
                <c:pt idx="21">
                  <c:v>8.4977199999999993</c:v>
                </c:pt>
                <c:pt idx="22">
                  <c:v>8.8935300000000002</c:v>
                </c:pt>
                <c:pt idx="23">
                  <c:v>9.3151899999999994</c:v>
                </c:pt>
                <c:pt idx="24">
                  <c:v>9.7329799999999995</c:v>
                </c:pt>
                <c:pt idx="25">
                  <c:v>10.1129</c:v>
                </c:pt>
              </c:numCache>
            </c:numRef>
          </c:xVal>
          <c:yVal>
            <c:numRef>
              <c:f>[0]!FT_PH</c:f>
              <c:numCache>
                <c:formatCode>0.00</c:formatCode>
                <c:ptCount val="26"/>
                <c:pt idx="0">
                  <c:v>73.534900000000007</c:v>
                </c:pt>
                <c:pt idx="1">
                  <c:v>73.258499999999998</c:v>
                </c:pt>
                <c:pt idx="2">
                  <c:v>72.980800000000002</c:v>
                </c:pt>
                <c:pt idx="3">
                  <c:v>72.414400000000001</c:v>
                </c:pt>
                <c:pt idx="4">
                  <c:v>71.694000000000003</c:v>
                </c:pt>
                <c:pt idx="5">
                  <c:v>71.1631</c:v>
                </c:pt>
                <c:pt idx="6">
                  <c:v>70.72420000000001</c:v>
                </c:pt>
                <c:pt idx="7">
                  <c:v>70.271100000000004</c:v>
                </c:pt>
                <c:pt idx="8">
                  <c:v>69.780900000000003</c:v>
                </c:pt>
                <c:pt idx="9">
                  <c:v>69.2864</c:v>
                </c:pt>
                <c:pt idx="10">
                  <c:v>68.792500000000004</c:v>
                </c:pt>
                <c:pt idx="11">
                  <c:v>68.301699999999997</c:v>
                </c:pt>
                <c:pt idx="12">
                  <c:v>67.715000000000003</c:v>
                </c:pt>
                <c:pt idx="13">
                  <c:v>67.038200000000003</c:v>
                </c:pt>
                <c:pt idx="14">
                  <c:v>66.283999999999992</c:v>
                </c:pt>
                <c:pt idx="15">
                  <c:v>65.554500000000004</c:v>
                </c:pt>
                <c:pt idx="16">
                  <c:v>64.865099999999998</c:v>
                </c:pt>
                <c:pt idx="17">
                  <c:v>64.168099999999995</c:v>
                </c:pt>
                <c:pt idx="18">
                  <c:v>63.496099999999998</c:v>
                </c:pt>
                <c:pt idx="19">
                  <c:v>63.187899999999999</c:v>
                </c:pt>
                <c:pt idx="20">
                  <c:v>62.877799999999993</c:v>
                </c:pt>
                <c:pt idx="21">
                  <c:v>62.592800000000004</c:v>
                </c:pt>
                <c:pt idx="22">
                  <c:v>62.335099999999997</c:v>
                </c:pt>
                <c:pt idx="23">
                  <c:v>62.037600000000005</c:v>
                </c:pt>
                <c:pt idx="24">
                  <c:v>61.752899999999997</c:v>
                </c:pt>
                <c:pt idx="25">
                  <c:v>61.463999999999999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73.534900000000007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73.534900000000007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73.534900000000007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73.534900000000007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73.534900000000007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73.534900000000007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73.534900000000007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73.534900000000007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73.534900000000007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73.534900000000007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73.534900000000007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73.534900000000007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73.534900000000007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73.534900000000007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73.534900000000007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73.534900000000007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73.534900000000007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73.534900000000007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73.534900000000007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73.534900000000007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73.534900000000007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73.534900000000007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73.534900000000007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73.534900000000007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67.63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0.31589399119143829</c:v>
                </c:pt>
                <c:pt idx="1">
                  <c:v>0.31589399119143829</c:v>
                </c:pt>
                <c:pt idx="2">
                  <c:v>-7</c:v>
                </c:pt>
              </c:numCache>
            </c:numRef>
          </c:xVal>
          <c:yVal>
            <c:numRef>
              <c:f>'R'!$I$5:$I$7</c:f>
              <c:numCache>
                <c:formatCode>0.0_ </c:formatCode>
                <c:ptCount val="3"/>
                <c:pt idx="0">
                  <c:v>0</c:v>
                </c:pt>
                <c:pt idx="1">
                  <c:v>67.633293045600198</c:v>
                </c:pt>
                <c:pt idx="2">
                  <c:v>67.633293045600198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0.31589399119143829</c:v>
                </c:pt>
                <c:pt idx="1">
                  <c:v>0.31589399119143829</c:v>
                </c:pt>
                <c:pt idx="2">
                  <c:v>-7</c:v>
                </c:pt>
              </c:numCache>
            </c:numRef>
          </c:xVal>
          <c:yVal>
            <c:numRef>
              <c:f>'R'!$I$5:$I$7</c:f>
              <c:numCache>
                <c:formatCode>0.0_ </c:formatCode>
                <c:ptCount val="3"/>
                <c:pt idx="0">
                  <c:v>0</c:v>
                </c:pt>
                <c:pt idx="1">
                  <c:v>67.633293045600198</c:v>
                </c:pt>
                <c:pt idx="2">
                  <c:v>67.633293045600198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0.31589399119143829</c:v>
                </c:pt>
              </c:numCache>
            </c:numRef>
          </c:xVal>
          <c:yVal>
            <c:numRef>
              <c:f>'R'!$I$4</c:f>
              <c:numCache>
                <c:formatCode>0.00_ </c:formatCode>
                <c:ptCount val="1"/>
                <c:pt idx="0">
                  <c:v>67.633293045600198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75.92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75.920199999999994</c:v>
                </c:pt>
                <c:pt idx="1">
                  <c:v>75.920199999999994</c:v>
                </c:pt>
                <c:pt idx="2">
                  <c:v>0</c:v>
                </c:pt>
              </c:numCache>
            </c:numRef>
          </c:xVal>
          <c:yVal>
            <c:numRef>
              <c:f>'R2'!$I$5:$I$7</c:f>
              <c:numCache>
                <c:formatCode>0.0_ </c:formatCode>
                <c:ptCount val="3"/>
                <c:pt idx="0">
                  <c:v>0</c:v>
                </c:pt>
                <c:pt idx="1">
                  <c:v>87.851119848273385</c:v>
                </c:pt>
                <c:pt idx="2">
                  <c:v>87.851119848273385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1.3214399999999999</c:v>
                </c:pt>
                <c:pt idx="1">
                  <c:v>1.3214399999999999</c:v>
                </c:pt>
                <c:pt idx="2">
                  <c:v>0</c:v>
                </c:pt>
              </c:numCache>
            </c:numRef>
          </c:xVal>
          <c:yVal>
            <c:numRef>
              <c:f>'R3'!$I$6:$I$8</c:f>
              <c:numCache>
                <c:formatCode>0.0_ </c:formatCode>
                <c:ptCount val="3"/>
                <c:pt idx="0">
                  <c:v>0</c:v>
                </c:pt>
                <c:pt idx="1">
                  <c:v>20.852572024841866</c:v>
                </c:pt>
                <c:pt idx="2">
                  <c:v>20.852572024841866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1.3214399999999999</c:v>
                </c:pt>
                <c:pt idx="1">
                  <c:v>1.3214399999999999</c:v>
                </c:pt>
                <c:pt idx="2">
                  <c:v>0</c:v>
                </c:pt>
              </c:numCache>
            </c:numRef>
          </c:xVal>
          <c:yVal>
            <c:numRef>
              <c:f>'R4'!$I$5:$I$7</c:f>
              <c:numCache>
                <c:formatCode>0.0_ </c:formatCode>
                <c:ptCount val="3"/>
                <c:pt idx="0">
                  <c:v>0</c:v>
                </c:pt>
                <c:pt idx="1">
                  <c:v>4.2540627446650089E-2</c:v>
                </c:pt>
                <c:pt idx="2">
                  <c:v>4.2540627446650089E-2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0.60258383634077717</c:v>
                </c:pt>
                <c:pt idx="1">
                  <c:v>0.31551446689691581</c:v>
                </c:pt>
                <c:pt idx="2">
                  <c:v>8.1901696762306991E-2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0.22038720072244164</c:v>
                </c:pt>
                <c:pt idx="1">
                  <c:v>0.43613540254024435</c:v>
                </c:pt>
                <c:pt idx="2">
                  <c:v>0.34347739673731392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(60.7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60.668766465184433</c:v>
                      </c:pt>
                    </c:numCache>
                  </c:numRef>
                </c:xVal>
                <c:yVal>
                  <c:numRef>
                    <c:extLst>
                      <c:ext uri="{02D57815-91ED-43cb-92C2-25804820EDAC}">
                        <c15:formulaRef>
                          <c15:sqref>info!$W$20:$W$21</c15:sqref>
                        </c15:formulaRef>
                      </c:ext>
                    </c:extLst>
                    <c:numCache>
                      <c:formatCode>General</c:formatCode>
                      <c:ptCount val="2"/>
                      <c:pt idx="0">
                        <c:v>50</c:v>
                      </c:pt>
                      <c:pt idx="1">
                        <c:v>20.852572024841866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84.017899999999997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33.288700000000006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mWOK%5e1%5e1%5e\2025-05-07%2013_44_2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mWOK%5e1%5e1%5e\2025-05-07%2013_44_2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AC9B93AE-B033-D23E-1184-AD97E1176D66}"/>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9D7FE3B-78F9-7867-9C71-A86C0548FE9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45784.572650462964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mWOK</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45784.572650462964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mWOK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( 68 , 21 )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0.31589399119143829</v>
      </c>
      <c r="I20" s="862"/>
      <c r="J20" s="311" t="str">
        <f>lang!B174</f>
        <v>정보량</v>
      </c>
      <c r="K20" s="236">
        <f ca="1">info!N9</f>
        <v>67.214292307692304</v>
      </c>
      <c r="L20" s="312" t="str">
        <f>lang!B175</f>
        <v>에너지</v>
      </c>
      <c r="M20" s="863">
        <f ca="1">info!M9</f>
        <v>2.6630950000000002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즐겁고 행복한 상태이지만 심리적 정보가 감소하는  정서 상태이다.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17.1249</v>
      </c>
      <c r="N32" s="816"/>
      <c r="O32" s="817">
        <f>Measurement!N7</f>
        <v>26.3141</v>
      </c>
      <c r="P32" s="818"/>
      <c r="Q32" s="819">
        <f>Measurement!T7</f>
        <v>30.9802</v>
      </c>
      <c r="R32" s="820"/>
    </row>
    <row r="33" spans="3:18" ht="12.75" customHeight="1">
      <c r="C33" s="77"/>
      <c r="I33" s="502">
        <f>Measurement!L8</f>
        <v>3</v>
      </c>
      <c r="J33" s="139" t="str">
        <f>lang!B15</f>
        <v>스트레스</v>
      </c>
      <c r="K33" s="90" t="s">
        <v>226</v>
      </c>
      <c r="L33" s="504" t="str">
        <f>Measurement!Y8</f>
        <v>보통</v>
      </c>
      <c r="M33" s="792">
        <f>Measurement!R8</f>
        <v>24.437100000000001</v>
      </c>
      <c r="N33" s="793"/>
      <c r="O33" s="806">
        <f>Measurement!N8</f>
        <v>30.8871</v>
      </c>
      <c r="P33" s="807"/>
      <c r="Q33" s="792">
        <f>Measurement!T8</f>
        <v>32.9756</v>
      </c>
      <c r="R33" s="808"/>
    </row>
    <row r="34" spans="3:18" ht="12.75" customHeight="1">
      <c r="C34" s="77"/>
      <c r="I34" s="502">
        <f>Measurement!L9</f>
        <v>3</v>
      </c>
      <c r="J34" s="139" t="str">
        <f>lang!B16</f>
        <v>불안</v>
      </c>
      <c r="K34" s="90" t="s">
        <v>227</v>
      </c>
      <c r="L34" s="504" t="str">
        <f>Measurement!Y9</f>
        <v>보통</v>
      </c>
      <c r="M34" s="792">
        <f>Measurement!R9</f>
        <v>22.858000000000001</v>
      </c>
      <c r="N34" s="793"/>
      <c r="O34" s="806">
        <f>Measurement!N9</f>
        <v>32.970500000000001</v>
      </c>
      <c r="P34" s="807"/>
      <c r="Q34" s="792">
        <f>Measurement!T9</f>
        <v>40.793100000000003</v>
      </c>
      <c r="R34" s="808"/>
    </row>
    <row r="35" spans="3:18" ht="12.75" customHeight="1">
      <c r="C35" s="77"/>
      <c r="I35" s="502">
        <f>Measurement!L10</f>
        <v>3</v>
      </c>
      <c r="J35" s="139" t="str">
        <f>lang!B17</f>
        <v>의심</v>
      </c>
      <c r="K35" s="90" t="s">
        <v>225</v>
      </c>
      <c r="L35" s="504" t="str">
        <f>Measurement!Y10</f>
        <v>보통</v>
      </c>
      <c r="M35" s="792">
        <f>Measurement!R10</f>
        <v>22.9224</v>
      </c>
      <c r="N35" s="793"/>
      <c r="O35" s="806">
        <f>Measurement!N10</f>
        <v>28.881499999999999</v>
      </c>
      <c r="P35" s="807"/>
      <c r="Q35" s="792">
        <f>Measurement!T10</f>
        <v>32.778300000000002</v>
      </c>
      <c r="R35" s="808"/>
    </row>
    <row r="36" spans="3:18" ht="12.75" customHeight="1">
      <c r="C36" s="77"/>
      <c r="I36" s="502">
        <f>Measurement!L11</f>
        <v>4</v>
      </c>
      <c r="J36" s="139" t="str">
        <f>lang!B18</f>
        <v>밸런스</v>
      </c>
      <c r="K36" s="90" t="s">
        <v>2171</v>
      </c>
      <c r="L36" s="504" t="str">
        <f>Measurement!Y11</f>
        <v>높음</v>
      </c>
      <c r="M36" s="792">
        <f>Measurement!R11</f>
        <v>67.637200000000007</v>
      </c>
      <c r="N36" s="793"/>
      <c r="O36" s="806">
        <f>Measurement!N11</f>
        <v>73.754999999999995</v>
      </c>
      <c r="P36" s="807"/>
      <c r="Q36" s="792">
        <f>Measurement!T11</f>
        <v>77.193899999999999</v>
      </c>
      <c r="R36" s="808"/>
    </row>
    <row r="37" spans="3:18" ht="12.75" customHeight="1">
      <c r="C37" s="77"/>
      <c r="I37" s="502">
        <f>Measurement!L12</f>
        <v>3</v>
      </c>
      <c r="J37" s="139" t="str">
        <f>lang!B19</f>
        <v>카리스마</v>
      </c>
      <c r="K37" s="90" t="s">
        <v>229</v>
      </c>
      <c r="L37" s="504" t="str">
        <f>Measurement!Y12</f>
        <v>보통</v>
      </c>
      <c r="M37" s="792">
        <f>Measurement!R12</f>
        <v>61.854799999999997</v>
      </c>
      <c r="N37" s="793"/>
      <c r="O37" s="806">
        <f>Measurement!N12</f>
        <v>64.902000000000001</v>
      </c>
      <c r="P37" s="807"/>
      <c r="Q37" s="792">
        <f>Measurement!T12</f>
        <v>71.318600000000004</v>
      </c>
      <c r="R37" s="808"/>
    </row>
    <row r="38" spans="3:18" ht="12.75" customHeight="1">
      <c r="C38" s="77"/>
      <c r="I38" s="502">
        <f>Measurement!L13</f>
        <v>2</v>
      </c>
      <c r="J38" s="139" t="str">
        <f>lang!B20</f>
        <v>에너지</v>
      </c>
      <c r="K38" s="90" t="s">
        <v>2170</v>
      </c>
      <c r="L38" s="504" t="str">
        <f>Measurement!Y13</f>
        <v>낮음</v>
      </c>
      <c r="M38" s="792">
        <f>Measurement!R13</f>
        <v>13.6029</v>
      </c>
      <c r="N38" s="793"/>
      <c r="O38" s="806">
        <f>Measurement!N13</f>
        <v>19.652699999999999</v>
      </c>
      <c r="P38" s="807"/>
      <c r="Q38" s="792">
        <f>Measurement!T13</f>
        <v>22.097799999999999</v>
      </c>
      <c r="R38" s="808"/>
    </row>
    <row r="39" spans="3:18" ht="12.75" customHeight="1">
      <c r="C39" s="77"/>
      <c r="I39" s="502">
        <f>Measurement!L14</f>
        <v>3</v>
      </c>
      <c r="J39" s="139" t="str">
        <f>lang!B21</f>
        <v>자기조절</v>
      </c>
      <c r="K39" s="90" t="s">
        <v>230</v>
      </c>
      <c r="L39" s="504" t="str">
        <f>Measurement!Y14</f>
        <v>보통</v>
      </c>
      <c r="M39" s="792">
        <f>Measurement!R14</f>
        <v>66.400199999999998</v>
      </c>
      <c r="N39" s="793"/>
      <c r="O39" s="806">
        <f>Measurement!N14</f>
        <v>69.063500000000005</v>
      </c>
      <c r="P39" s="807"/>
      <c r="Q39" s="792">
        <f>Measurement!T14</f>
        <v>73.847300000000004</v>
      </c>
      <c r="R39" s="808"/>
    </row>
    <row r="40" spans="3:18" ht="12.75" customHeight="1">
      <c r="C40" s="77"/>
      <c r="I40" s="502">
        <f>Measurement!L15</f>
        <v>3</v>
      </c>
      <c r="J40" s="139" t="str">
        <f>lang!B22</f>
        <v>억제</v>
      </c>
      <c r="K40" s="91" t="s">
        <v>248</v>
      </c>
      <c r="L40" s="504" t="str">
        <f>Measurement!Y15</f>
        <v>보통</v>
      </c>
      <c r="M40" s="792">
        <f>Measurement!R15</f>
        <v>12.981299999999999</v>
      </c>
      <c r="N40" s="793"/>
      <c r="O40" s="806">
        <f>Measurement!N15</f>
        <v>16.4633</v>
      </c>
      <c r="P40" s="807"/>
      <c r="Q40" s="792">
        <f>Measurement!T15</f>
        <v>17.977900000000002</v>
      </c>
      <c r="R40" s="808"/>
    </row>
    <row r="41" spans="3:18" ht="12.75" customHeight="1" thickBot="1">
      <c r="C41" s="77"/>
      <c r="I41" s="502">
        <f>Measurement!L16</f>
        <v>2</v>
      </c>
      <c r="J41" s="140" t="str">
        <f>lang!B23</f>
        <v>신경성</v>
      </c>
      <c r="K41" s="92" t="s">
        <v>231</v>
      </c>
      <c r="L41" s="504" t="str">
        <f>Measurement!Y16</f>
        <v>낮음</v>
      </c>
      <c r="M41" s="794">
        <f>Measurement!R16</f>
        <v>0.69580200000000003</v>
      </c>
      <c r="N41" s="795"/>
      <c r="O41" s="796">
        <f>Measurement!N16</f>
        <v>14.4407</v>
      </c>
      <c r="P41" s="797"/>
      <c r="Q41" s="794">
        <f>Measurement!T16</f>
        <v>14.7774</v>
      </c>
      <c r="R41" s="798"/>
    </row>
    <row r="42" spans="3:18" ht="29.25" customHeight="1" thickBot="1">
      <c r="C42" s="77"/>
      <c r="I42" s="84"/>
      <c r="J42" s="780" t="str">
        <f>lang!B215</f>
        <v>감정변이도</v>
      </c>
      <c r="K42" s="781"/>
      <c r="L42" s="319" t="str">
        <f>info!V43</f>
        <v>낮음</v>
      </c>
      <c r="M42" s="782">
        <f>info!W43</f>
        <v>9.62514</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1.3214399999999999</v>
      </c>
      <c r="E44" s="249" t="s">
        <v>1072</v>
      </c>
      <c r="G44" s="289"/>
      <c r="H44" s="289"/>
      <c r="I44" s="290"/>
      <c r="J44" s="802">
        <f>info!$W$36</f>
        <v>75.920199999999994</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45784.572650462964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mWOK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( 68 , 21 )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0.31589399119143829</v>
      </c>
      <c r="I20" s="862"/>
      <c r="J20" s="311" t="str">
        <f>lang!B174</f>
        <v>정보량</v>
      </c>
      <c r="K20" s="236">
        <f ca="1">info!N9</f>
        <v>67.214292307692304</v>
      </c>
      <c r="L20" s="312" t="str">
        <f>lang!B175</f>
        <v>에너지</v>
      </c>
      <c r="M20" s="863">
        <f ca="1">info!M9</f>
        <v>2.6630950000000002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즐겁고 행복한 상태이지만 심리적 정보가 감소하는  정서 상태이다.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17.1249</v>
      </c>
      <c r="N32" s="816"/>
      <c r="O32" s="817">
        <f>Measurement!N7</f>
        <v>26.3141</v>
      </c>
      <c r="P32" s="818"/>
      <c r="Q32" s="819">
        <f>Measurement!T7</f>
        <v>30.9802</v>
      </c>
      <c r="R32" s="820"/>
    </row>
    <row r="33" spans="3:18" ht="12.75" customHeight="1">
      <c r="C33" s="77"/>
      <c r="I33" s="502">
        <f>Measurement!L8</f>
        <v>3</v>
      </c>
      <c r="J33" s="139" t="str">
        <f>lang!B15</f>
        <v>스트레스</v>
      </c>
      <c r="K33" s="90" t="s">
        <v>226</v>
      </c>
      <c r="L33" s="504" t="str">
        <f>Measurement!Y8</f>
        <v>보통</v>
      </c>
      <c r="M33" s="792">
        <f>Measurement!R8</f>
        <v>24.437100000000001</v>
      </c>
      <c r="N33" s="793"/>
      <c r="O33" s="806">
        <f>Measurement!N8</f>
        <v>30.8871</v>
      </c>
      <c r="P33" s="807"/>
      <c r="Q33" s="792">
        <f>Measurement!T8</f>
        <v>32.9756</v>
      </c>
      <c r="R33" s="808"/>
    </row>
    <row r="34" spans="3:18" ht="12.75" customHeight="1">
      <c r="C34" s="77"/>
      <c r="I34" s="502">
        <f>Measurement!L9</f>
        <v>3</v>
      </c>
      <c r="J34" s="139" t="str">
        <f>lang!B16</f>
        <v>불안</v>
      </c>
      <c r="K34" s="90" t="s">
        <v>227</v>
      </c>
      <c r="L34" s="504" t="str">
        <f>Measurement!Y9</f>
        <v>보통</v>
      </c>
      <c r="M34" s="792">
        <f>Measurement!R9</f>
        <v>22.858000000000001</v>
      </c>
      <c r="N34" s="793"/>
      <c r="O34" s="806">
        <f>Measurement!N9</f>
        <v>32.970500000000001</v>
      </c>
      <c r="P34" s="807"/>
      <c r="Q34" s="792">
        <f>Measurement!T9</f>
        <v>40.793100000000003</v>
      </c>
      <c r="R34" s="808"/>
    </row>
    <row r="35" spans="3:18" ht="12.75" customHeight="1">
      <c r="C35" s="77"/>
      <c r="I35" s="502">
        <f>Measurement!L10</f>
        <v>3</v>
      </c>
      <c r="J35" s="139" t="str">
        <f>lang!B17</f>
        <v>의심</v>
      </c>
      <c r="K35" s="90" t="s">
        <v>225</v>
      </c>
      <c r="L35" s="504" t="str">
        <f>Measurement!Y10</f>
        <v>보통</v>
      </c>
      <c r="M35" s="792">
        <f>Measurement!R10</f>
        <v>22.9224</v>
      </c>
      <c r="N35" s="793"/>
      <c r="O35" s="806">
        <f>Measurement!N10</f>
        <v>28.881499999999999</v>
      </c>
      <c r="P35" s="807"/>
      <c r="Q35" s="792">
        <f>Measurement!T10</f>
        <v>32.778300000000002</v>
      </c>
      <c r="R35" s="808"/>
    </row>
    <row r="36" spans="3:18" ht="12.75" customHeight="1">
      <c r="C36" s="77"/>
      <c r="I36" s="502">
        <f>Measurement!L11</f>
        <v>4</v>
      </c>
      <c r="J36" s="139" t="str">
        <f>lang!B18</f>
        <v>밸런스</v>
      </c>
      <c r="K36" s="90" t="s">
        <v>2171</v>
      </c>
      <c r="L36" s="504" t="str">
        <f>Measurement!Y11</f>
        <v>높음</v>
      </c>
      <c r="M36" s="792">
        <f>Measurement!R11</f>
        <v>67.637200000000007</v>
      </c>
      <c r="N36" s="793"/>
      <c r="O36" s="806">
        <f>Measurement!N11</f>
        <v>73.754999999999995</v>
      </c>
      <c r="P36" s="807"/>
      <c r="Q36" s="792">
        <f>Measurement!T11</f>
        <v>77.193899999999999</v>
      </c>
      <c r="R36" s="808"/>
    </row>
    <row r="37" spans="3:18" ht="12.75" customHeight="1">
      <c r="C37" s="77"/>
      <c r="I37" s="502">
        <f>Measurement!L12</f>
        <v>3</v>
      </c>
      <c r="J37" s="139" t="str">
        <f>lang!B19</f>
        <v>카리스마</v>
      </c>
      <c r="K37" s="90" t="s">
        <v>229</v>
      </c>
      <c r="L37" s="504" t="str">
        <f>Measurement!Y12</f>
        <v>보통</v>
      </c>
      <c r="M37" s="792">
        <f>Measurement!R12</f>
        <v>61.854799999999997</v>
      </c>
      <c r="N37" s="793"/>
      <c r="O37" s="806">
        <f>Measurement!N12</f>
        <v>64.902000000000001</v>
      </c>
      <c r="P37" s="807"/>
      <c r="Q37" s="792">
        <f>Measurement!T12</f>
        <v>71.318600000000004</v>
      </c>
      <c r="R37" s="808"/>
    </row>
    <row r="38" spans="3:18" ht="12.75" customHeight="1">
      <c r="C38" s="77"/>
      <c r="I38" s="502">
        <f>Measurement!L13</f>
        <v>2</v>
      </c>
      <c r="J38" s="139" t="str">
        <f>lang!B20</f>
        <v>에너지</v>
      </c>
      <c r="K38" s="90" t="s">
        <v>2170</v>
      </c>
      <c r="L38" s="504" t="str">
        <f>Measurement!Y13</f>
        <v>낮음</v>
      </c>
      <c r="M38" s="792">
        <f>Measurement!R13</f>
        <v>13.6029</v>
      </c>
      <c r="N38" s="793"/>
      <c r="O38" s="806">
        <f>Measurement!N13</f>
        <v>19.652699999999999</v>
      </c>
      <c r="P38" s="807"/>
      <c r="Q38" s="792">
        <f>Measurement!T13</f>
        <v>22.097799999999999</v>
      </c>
      <c r="R38" s="808"/>
    </row>
    <row r="39" spans="3:18" ht="12.75" customHeight="1">
      <c r="C39" s="77"/>
      <c r="I39" s="502">
        <f>Measurement!L14</f>
        <v>3</v>
      </c>
      <c r="J39" s="139" t="str">
        <f>lang!B21</f>
        <v>자기조절</v>
      </c>
      <c r="K39" s="90" t="s">
        <v>230</v>
      </c>
      <c r="L39" s="504" t="str">
        <f>Measurement!Y14</f>
        <v>보통</v>
      </c>
      <c r="M39" s="792">
        <f>Measurement!R14</f>
        <v>66.400199999999998</v>
      </c>
      <c r="N39" s="793"/>
      <c r="O39" s="806">
        <f>Measurement!N14</f>
        <v>69.063500000000005</v>
      </c>
      <c r="P39" s="807"/>
      <c r="Q39" s="792">
        <f>Measurement!T14</f>
        <v>73.847300000000004</v>
      </c>
      <c r="R39" s="808"/>
    </row>
    <row r="40" spans="3:18" ht="12.75" customHeight="1">
      <c r="C40" s="77"/>
      <c r="I40" s="502">
        <f>Measurement!L15</f>
        <v>3</v>
      </c>
      <c r="J40" s="139" t="str">
        <f>lang!B22</f>
        <v>억제</v>
      </c>
      <c r="K40" s="91" t="s">
        <v>248</v>
      </c>
      <c r="L40" s="504" t="str">
        <f>Measurement!Y15</f>
        <v>보통</v>
      </c>
      <c r="M40" s="792">
        <f>Measurement!R15</f>
        <v>12.981299999999999</v>
      </c>
      <c r="N40" s="793"/>
      <c r="O40" s="806">
        <f>Measurement!N15</f>
        <v>16.4633</v>
      </c>
      <c r="P40" s="807"/>
      <c r="Q40" s="792">
        <f>Measurement!T15</f>
        <v>17.977900000000002</v>
      </c>
      <c r="R40" s="808"/>
    </row>
    <row r="41" spans="3:18" ht="12.75" customHeight="1" thickBot="1">
      <c r="C41" s="77"/>
      <c r="I41" s="502">
        <f>Measurement!L16</f>
        <v>2</v>
      </c>
      <c r="J41" s="140" t="str">
        <f>lang!B23</f>
        <v>신경성</v>
      </c>
      <c r="K41" s="92" t="s">
        <v>231</v>
      </c>
      <c r="L41" s="504" t="str">
        <f>Measurement!Y16</f>
        <v>낮음</v>
      </c>
      <c r="M41" s="794">
        <f>Measurement!R16</f>
        <v>0.69580200000000003</v>
      </c>
      <c r="N41" s="795"/>
      <c r="O41" s="796">
        <f>Measurement!N16</f>
        <v>14.4407</v>
      </c>
      <c r="P41" s="797"/>
      <c r="Q41" s="794">
        <f>Measurement!T16</f>
        <v>14.7774</v>
      </c>
      <c r="R41" s="798"/>
    </row>
    <row r="42" spans="3:18" ht="29.25" customHeight="1" thickBot="1">
      <c r="C42" s="77"/>
      <c r="I42" s="84"/>
      <c r="J42" s="780" t="str">
        <f>lang!B215</f>
        <v>감정변이도</v>
      </c>
      <c r="K42" s="781"/>
      <c r="L42" s="319" t="str">
        <f>info!V43</f>
        <v>낮음</v>
      </c>
      <c r="M42" s="782">
        <f>info!W43</f>
        <v>9.62514</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1.3214399999999999</v>
      </c>
      <c r="E44" s="249" t="s">
        <v>1195</v>
      </c>
      <c r="G44" s="289"/>
      <c r="H44" s="289"/>
      <c r="I44" s="290"/>
      <c r="J44" s="802">
        <f>info!$W$36</f>
        <v>75.920199999999994</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45784.572650462964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mWOK</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(-0.06,-0.14)</v>
      </c>
      <c r="S18" s="966"/>
      <c r="T18" s="967"/>
    </row>
    <row r="19" spans="2:22" ht="16.5" customHeight="1">
      <c r="C19" s="136" t="str">
        <f>lang!B328</f>
        <v>최소값</v>
      </c>
      <c r="D19" s="105">
        <f ca="1">info!M7</f>
        <v>61.463999999999999</v>
      </c>
      <c r="E19" s="94" t="str">
        <f>lang!B330</f>
        <v>평균값</v>
      </c>
      <c r="F19" s="971">
        <f ca="1">info!N9</f>
        <v>67.214292307692304</v>
      </c>
      <c r="G19" s="972"/>
      <c r="H19" s="912" t="str">
        <f>lang!B329</f>
        <v>최대값</v>
      </c>
      <c r="I19" s="913"/>
      <c r="J19" s="105">
        <f ca="1">info!M8</f>
        <v>73.534900000000007</v>
      </c>
      <c r="K19" s="137" t="str">
        <f>lang!B328</f>
        <v>최소값</v>
      </c>
      <c r="L19" s="105">
        <f ca="1">info!M5</f>
        <v>2.15768</v>
      </c>
      <c r="M19" s="94" t="str">
        <f>lang!B330</f>
        <v>평균값</v>
      </c>
      <c r="N19" s="971">
        <f ca="1">info!M9</f>
        <v>2.6630950000000002</v>
      </c>
      <c r="O19" s="972">
        <f>info!T9</f>
        <v>1</v>
      </c>
      <c r="P19" s="94" t="str">
        <f>lang!B329</f>
        <v>최대값</v>
      </c>
      <c r="Q19" s="105">
        <f ca="1">info!M6</f>
        <v>2.98916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25.606735286978445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1.321442</v>
      </c>
      <c r="N47" s="986"/>
      <c r="O47" s="451"/>
      <c r="P47" s="491" t="s">
        <v>1101</v>
      </c>
      <c r="Q47" s="987">
        <f>hist!M3</f>
        <v>0.439077</v>
      </c>
      <c r="R47" s="986"/>
      <c r="S47" s="451"/>
      <c r="T47" s="452"/>
    </row>
    <row r="48" spans="3:20" ht="18" customHeight="1">
      <c r="C48" s="931"/>
      <c r="D48" s="910"/>
      <c r="E48" s="910"/>
      <c r="F48" s="355"/>
      <c r="G48" s="355"/>
      <c r="H48" s="356"/>
      <c r="I48" s="356"/>
      <c r="J48" s="951"/>
      <c r="K48" s="951"/>
      <c r="L48" s="936"/>
      <c r="M48" s="988">
        <f>hist!N2</f>
        <v>0.32106400000000002</v>
      </c>
      <c r="N48" s="989"/>
      <c r="O48" s="451"/>
      <c r="P48" s="491" t="s">
        <v>1102</v>
      </c>
      <c r="Q48" s="986">
        <f>hist!N3</f>
        <v>0.31509100000000001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0.10308199999999999</v>
      </c>
      <c r="N49" s="991"/>
      <c r="O49" s="453"/>
      <c r="P49" s="454" t="s">
        <v>1588</v>
      </c>
      <c r="Q49" s="992">
        <f>hist!O3</f>
        <v>9.9282999999999996E-2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vision^mWOK^1^1^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3</v>
      </c>
      <c r="CH4" s="305">
        <f>IF(SUM($AY$7:$AY$13)&gt;0,HLOOKUP(2,$BV$6:$CE$8,3,FALSE),"")</f>
        <v>2</v>
      </c>
      <c r="CI4" t="s">
        <v>1570</v>
      </c>
      <c r="CJ4" s="426">
        <f>DK17*100</f>
        <v>60.668766465184433</v>
      </c>
      <c r="CK4" s="422">
        <f>info!W21</f>
        <v>20.852572024841866</v>
      </c>
      <c r="CL4">
        <f>100-M!B19*100</f>
        <v>33.288700000000006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45784.572650462964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9.62514</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1</v>
      </c>
      <c r="BY6" s="220">
        <f t="shared" si="0"/>
        <v>6</v>
      </c>
      <c r="BZ6" s="220">
        <f t="shared" si="0"/>
        <v>9</v>
      </c>
      <c r="CA6" s="220">
        <f t="shared" si="0"/>
        <v>8</v>
      </c>
      <c r="CB6" s="220">
        <f t="shared" si="0"/>
        <v>4</v>
      </c>
      <c r="CC6" s="220">
        <f t="shared" si="0"/>
        <v>5</v>
      </c>
      <c r="CD6" s="220">
        <f t="shared" si="0"/>
        <v>10</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26.3141</v>
      </c>
      <c r="O7" s="48">
        <f>M!C5*1</f>
        <v>3.7746200000000001</v>
      </c>
      <c r="P7" s="48">
        <f>M!D5*1</f>
        <v>14.3444</v>
      </c>
      <c r="Q7" s="48">
        <f>M!E5*1</f>
        <v>20</v>
      </c>
      <c r="R7" s="48">
        <f>IF(M!B5="","",M!F5*1)</f>
        <v>17.1249</v>
      </c>
      <c r="S7" s="48">
        <f>M!G5*1</f>
        <v>50</v>
      </c>
      <c r="T7" s="48">
        <f>IF(M!B5="","",M!H5*1)</f>
        <v>30.9802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-2.8665698519206515</v>
      </c>
      <c r="AI7" s="98">
        <v>2.5024862326905418E-2</v>
      </c>
      <c r="AJ7" s="98">
        <v>-7.7313821231156016E-2</v>
      </c>
      <c r="AK7" s="98">
        <v>0.50012525104428274</v>
      </c>
      <c r="AL7" s="98">
        <v>-8.545985269705475E-2</v>
      </c>
      <c r="AM7" s="98">
        <f>$AH7*AI7+$AH8*AI8+$AH9*AI9+$AH10*AI10+$AH11*AI11+$AH12*AI12+$AH13*AI13+$AH14*AI14+$AH15*AI15+$AH16*AI16</f>
        <v>-1.0503794974877412</v>
      </c>
      <c r="AN7" s="98">
        <f t="shared" ref="AN7:AP7" si="2">$AH7*AJ7+$AH8*AJ8+$AH9*AJ9+$AH10*AJ10+$AH11*AJ11+$AH12*AJ12+$AH13*AJ13+$AH14*AJ14+$AH15*AJ15+$AH16*AJ16</f>
        <v>2.5263894242863096</v>
      </c>
      <c r="AO7" s="98">
        <f t="shared" si="2"/>
        <v>-1.9748860682705056</v>
      </c>
      <c r="AP7" s="98">
        <f t="shared" si="2"/>
        <v>0.51741464609537413</v>
      </c>
      <c r="AQ7" s="335">
        <f>IF(SUM(N7:N16)&gt;0, 0.8608*AM7+0.333*AN7+0.104*AO7+1.129*AP7,"")</f>
        <v>0.31589399119143829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26.3141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272.25822211900015</v>
      </c>
      <c r="BL7" s="56">
        <f t="shared" ref="BL7:BT7" si="3">BB7*$AY7+BB8*$AY8+BB9*$AY9+BB10*$AY10+BB11*$AY11+BB12*$AY12+BB13*$AY13+BB14</f>
        <v>272.99974962100015</v>
      </c>
      <c r="BM7" s="56">
        <f t="shared" si="3"/>
        <v>274.18650398800014</v>
      </c>
      <c r="BN7" s="56">
        <f t="shared" si="3"/>
        <v>267.10343554599996</v>
      </c>
      <c r="BO7" s="56">
        <f t="shared" si="3"/>
        <v>259.61333034299992</v>
      </c>
      <c r="BP7" s="56">
        <f t="shared" si="3"/>
        <v>264.82337947300005</v>
      </c>
      <c r="BQ7" s="56">
        <f t="shared" si="3"/>
        <v>270.00897884199992</v>
      </c>
      <c r="BR7" s="56">
        <f t="shared" si="3"/>
        <v>267.47056080499999</v>
      </c>
      <c r="BS7" s="56">
        <f t="shared" si="3"/>
        <v>253.12005607999998</v>
      </c>
      <c r="BT7" s="56">
        <f t="shared" si="3"/>
        <v>265.39116547099997</v>
      </c>
      <c r="BU7" s="56">
        <f>EXP(BK7)+EXP(BL7)+EXP(BM7)+EXP(BN7)+EXP(BO7)+EXP(BP7)+EXP(BQ7)+EXP(BR7)+EXP(BS7)+EXP(BT7)</f>
        <v>1.755822580872737E+119</v>
      </c>
      <c r="BV7" s="56">
        <f>IF(SUM($AY$7:$AY$13)&gt;0,EXP(BK7)/$BU$7,"")</f>
        <v>9.9029112992129575E-2</v>
      </c>
      <c r="BW7" s="56">
        <f t="shared" ref="BW7:CE7" si="4">IF(SUM($AY$7:$AY$13)&gt;0,EXP(BL7)/$BU$7,"")</f>
        <v>0.20787592338670358</v>
      </c>
      <c r="BX7" s="56">
        <f t="shared" si="4"/>
        <v>0.68109087896370435</v>
      </c>
      <c r="BY7" s="56">
        <f t="shared" si="4"/>
        <v>5.715674982951233E-4</v>
      </c>
      <c r="BZ7" s="56">
        <f t="shared" si="4"/>
        <v>3.1926856958324621E-7</v>
      </c>
      <c r="CA7" s="56">
        <f t="shared" si="4"/>
        <v>5.845905008128629E-5</v>
      </c>
      <c r="CB7" s="56">
        <f t="shared" si="4"/>
        <v>1.0445493073326663E-2</v>
      </c>
      <c r="CC7" s="56">
        <f t="shared" si="4"/>
        <v>8.2510268273742885E-4</v>
      </c>
      <c r="CD7" s="56">
        <f t="shared" si="4"/>
        <v>4.8324012120953347E-10</v>
      </c>
      <c r="CE7" s="56">
        <f t="shared" si="4"/>
        <v>1.0314260121235946E-4</v>
      </c>
      <c r="CF7" s="418" t="s">
        <v>1870</v>
      </c>
      <c r="CG7" s="221">
        <f>IF(SUM($AY$7:$AY$13)&gt;0,HLOOKUP(1,$BV$6:$CE$7,2,FALSE),"")</f>
        <v>0.68109087896370435</v>
      </c>
      <c r="CH7" s="221">
        <f>IF(SUM($AY$7:$AY$13)&gt;0,HLOOKUP(2,$BV$6:$CE$7,2,FALSE),"")</f>
        <v>0.20787592338670358</v>
      </c>
      <c r="CI7" s="425" t="str">
        <f>"( "&amp;IF(CG7&lt;&gt;"",ROUND(CG7*100,0),"")&amp;" , "&amp;IF(CH7&lt;&gt;"",ROUND(CH7*100,0),"")&amp;" )"</f>
        <v>( 68 , 21 )</v>
      </c>
      <c r="CJ7" s="420">
        <f>CG7</f>
        <v>0.68109087896370435</v>
      </c>
      <c r="CK7" s="420">
        <f>CH7</f>
        <v>0.20787592338670358</v>
      </c>
      <c r="CL7" s="425" t="str">
        <f>CI7</f>
        <v>( 68 , 21 )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26.3141</v>
      </c>
      <c r="DJ7" s="265">
        <f>(DI7-$DB7)/$DC7</f>
        <v>-1.4663391470248859</v>
      </c>
      <c r="DK7" s="266">
        <f>IF(DH7=1,(DJ7-DF7)^2,0)</f>
        <v>6.8262688987470161</v>
      </c>
      <c r="DL7" s="267">
        <f>IF(DH7=1,(DJ7-DG7)^2,0)</f>
        <v>12.240708171749702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30.8871</v>
      </c>
      <c r="O8" s="48">
        <f>M!C6*1</f>
        <v>2.3598300000000001</v>
      </c>
      <c r="P8" s="48">
        <f>M!D6*1</f>
        <v>7.6402000000000001</v>
      </c>
      <c r="Q8" s="48">
        <f>M!E6*1</f>
        <v>20</v>
      </c>
      <c r="R8" s="48">
        <f>IF(M!B6="","",M!F6*1)</f>
        <v>24.437100000000001</v>
      </c>
      <c r="S8" s="48">
        <f>M!G6*1</f>
        <v>40</v>
      </c>
      <c r="T8" s="48">
        <f>IF(M!B6="","",M!H6*1)</f>
        <v>32.9756</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1.5835339769513082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30.8871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3</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30.8871</v>
      </c>
      <c r="DJ8" s="265">
        <f t="shared" ref="DJ8:DJ14" si="8">(DI8-$DB8)/$DC8</f>
        <v>-0.17540816808671025</v>
      </c>
      <c r="DK8" s="273">
        <f t="shared" ref="DK8:DK14" si="9">IF(DH8=1,(DJ8-DF8)^2,0)</f>
        <v>1.7088539955258384</v>
      </c>
      <c r="DL8" s="274">
        <f t="shared" ref="DL8:DL14" si="10">IF(DH8=1,(DJ8-DG8)^2,0)</f>
        <v>0.19972797295197769</v>
      </c>
    </row>
    <row r="9" spans="2:119" s="5" customFormat="1" ht="24.75" customHeight="1" thickBot="1">
      <c r="B9" s="62" t="str">
        <f>CONCATENATE(M7,"
(20 ~ 50)")</f>
        <v>적극/공격성
(20 ~ 50)</v>
      </c>
      <c r="C9" s="63">
        <f>R7</f>
        <v>17.1249</v>
      </c>
      <c r="D9" s="64">
        <f>N7</f>
        <v>26.3141</v>
      </c>
      <c r="E9" s="65">
        <f>T7</f>
        <v>30.9802</v>
      </c>
      <c r="F9" s="65">
        <f>P7</f>
        <v>14.3444</v>
      </c>
      <c r="G9" s="66" t="str">
        <f>CONCATENATE(M8,"
(20 ~ 40)")</f>
        <v>스트레스
(20 ~ 40)</v>
      </c>
      <c r="H9" s="63">
        <f>R8</f>
        <v>24.437100000000001</v>
      </c>
      <c r="I9" s="67">
        <f>N8</f>
        <v>30.8871</v>
      </c>
      <c r="J9" s="63">
        <f>T8</f>
        <v>32.9756</v>
      </c>
      <c r="K9" s="68">
        <f>P8</f>
        <v>7.6402000000000001</v>
      </c>
      <c r="L9" s="1">
        <f>IF(M!B7="","",IF(N9&lt;U9,1,IF(N9&lt;V9,2,IF(N9&lt;W9,3,IF(N9&lt;X9,4,5)))))</f>
        <v>3</v>
      </c>
      <c r="M9" s="162" t="str">
        <f>lang!B16</f>
        <v>불안</v>
      </c>
      <c r="N9" s="48">
        <f>IF(M!B7="","",M!B7*1)</f>
        <v>32.970500000000001</v>
      </c>
      <c r="O9" s="48">
        <f>M!C7*1</f>
        <v>3.31765</v>
      </c>
      <c r="P9" s="48">
        <f>M!D7*1</f>
        <v>10.0625</v>
      </c>
      <c r="Q9" s="48">
        <f>M!E7*1</f>
        <v>15</v>
      </c>
      <c r="R9" s="48">
        <f>IF(M!B7="","",M!F7*1)</f>
        <v>22.858000000000001</v>
      </c>
      <c r="S9" s="48">
        <f>M!G7*1</f>
        <v>40</v>
      </c>
      <c r="T9" s="48">
        <f>IF(M!B7="","",M!H7*1)</f>
        <v>40.793100000000003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1.5426538031324115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32.970500000000001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32.970500000000001</v>
      </c>
      <c r="DJ9" s="265">
        <f t="shared" si="8"/>
        <v>0.58735168706235519</v>
      </c>
      <c r="DK9" s="273">
        <f t="shared" si="9"/>
        <v>3.2599646848005248</v>
      </c>
      <c r="DL9" s="274">
        <f t="shared" si="10"/>
        <v>0.18409852287839226</v>
      </c>
      <c r="DM9"/>
      <c r="DN9"/>
    </row>
    <row r="10" spans="2:119" s="4" customFormat="1" ht="30.3" thickBot="1">
      <c r="B10" s="57" t="str">
        <f>CONCATENATE(M9,"
(15 ~ 40)")</f>
        <v>불안
(15 ~ 40)</v>
      </c>
      <c r="C10" s="17">
        <f>R9</f>
        <v>22.858000000000001</v>
      </c>
      <c r="D10" s="41">
        <f>N9</f>
        <v>32.970500000000001</v>
      </c>
      <c r="E10" s="43">
        <f>T9</f>
        <v>40.793100000000003</v>
      </c>
      <c r="F10" s="43">
        <f>P9</f>
        <v>10.0625</v>
      </c>
      <c r="G10" s="59" t="str">
        <f>CONCATENATE(M10,"
(20 ~ 50)")</f>
        <v>의심
(20 ~ 50)</v>
      </c>
      <c r="H10" s="17">
        <f>R10</f>
        <v>22.9224</v>
      </c>
      <c r="I10" s="42">
        <f>N10</f>
        <v>28.881499999999999</v>
      </c>
      <c r="J10" s="17">
        <f>T10</f>
        <v>32.778300000000002</v>
      </c>
      <c r="K10" s="18">
        <f>P10</f>
        <v>9.9315300000000004</v>
      </c>
      <c r="L10" s="1">
        <f>IF(M!B8="","",IF(N10&lt;U10,1,IF(N10&lt;V10,2,IF(N10&lt;W10,3,IF(N10&lt;X10,4,5)))))</f>
        <v>3</v>
      </c>
      <c r="M10" s="162" t="str">
        <f>lang!B17</f>
        <v>의심</v>
      </c>
      <c r="N10" s="48">
        <f>IF(M!B8="","",M!B8*1)</f>
        <v>28.881499999999999</v>
      </c>
      <c r="O10" s="48">
        <f>M!C8*1</f>
        <v>2.8683800000000002</v>
      </c>
      <c r="P10" s="48">
        <f>M!D8*1</f>
        <v>9.9315300000000004</v>
      </c>
      <c r="Q10" s="48">
        <f>M!E8*1</f>
        <v>20</v>
      </c>
      <c r="R10" s="48">
        <f>IF(M!B8="","",M!F8*1)</f>
        <v>22.9224</v>
      </c>
      <c r="S10" s="48">
        <f>M!G8*1</f>
        <v>50</v>
      </c>
      <c r="T10" s="48">
        <f>IF(M!B8="","",M!H8*1)</f>
        <v>32.778300000000002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-0.3931028119513586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73.754999999999995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차분한 상태</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73.754999999999995</v>
      </c>
      <c r="DJ10" s="265">
        <f t="shared" si="8"/>
        <v>0.8741461484244426</v>
      </c>
      <c r="DK10" s="273">
        <f t="shared" si="9"/>
        <v>1.2805634072616427</v>
      </c>
      <c r="DL10" s="274">
        <f t="shared" si="10"/>
        <v>5.9456913563166216</v>
      </c>
      <c r="DM10"/>
      <c r="DN10"/>
    </row>
    <row r="11" spans="2:119" s="4" customFormat="1" ht="24.75" customHeight="1" thickBot="1">
      <c r="B11" s="57" t="str">
        <f>CONCATENATE(M11,"
(50 ~ 100)")</f>
        <v>밸런스
(50 ~ 100)</v>
      </c>
      <c r="C11" s="17">
        <f>R11</f>
        <v>67.637200000000007</v>
      </c>
      <c r="D11" s="42">
        <f>N11</f>
        <v>73.754999999999995</v>
      </c>
      <c r="E11" s="17">
        <f>T11</f>
        <v>77.193899999999999</v>
      </c>
      <c r="F11" s="17">
        <f>P11</f>
        <v>3.50203</v>
      </c>
      <c r="G11" s="59" t="str">
        <f>CONCATENATE(M12,"
(40 ~ 100)")</f>
        <v>카리스마
(40 ~ 100)</v>
      </c>
      <c r="H11" s="17">
        <f>R12</f>
        <v>61.854799999999997</v>
      </c>
      <c r="I11" s="42">
        <f>N12</f>
        <v>64.902000000000001</v>
      </c>
      <c r="J11" s="17">
        <f>T12</f>
        <v>71.318600000000004</v>
      </c>
      <c r="K11" s="18">
        <f>P12</f>
        <v>4.2495399999999997</v>
      </c>
      <c r="L11" s="1">
        <f>IF(M!B9="","",IF(N11&lt;U11,1,IF(N11&lt;V11,2,IF(N11&lt;W11,3,IF(N11&lt;X11,4,5)))))</f>
        <v>4</v>
      </c>
      <c r="M11" s="162" t="str">
        <f>lang!B18</f>
        <v>밸런스</v>
      </c>
      <c r="N11" s="48">
        <f>IF(M!B9="","",M!B9*1)</f>
        <v>73.754999999999995</v>
      </c>
      <c r="O11" s="48">
        <f>M!C9*1</f>
        <v>2.5829200000000001</v>
      </c>
      <c r="P11" s="48">
        <f>M!D9*1</f>
        <v>3.50203</v>
      </c>
      <c r="Q11" s="48">
        <f>M!E9*1</f>
        <v>50</v>
      </c>
      <c r="R11" s="48">
        <f>IF(M!B9="","",M!F9*1)</f>
        <v>67.637200000000007</v>
      </c>
      <c r="S11" s="48">
        <f>M!G9*1</f>
        <v>100</v>
      </c>
      <c r="T11" s="48">
        <f>IF(M!B9="","",M!H9*1)</f>
        <v>77.193899999999999</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0.64110904519871081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64.902000000000001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차분한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64.902000000000001</v>
      </c>
      <c r="DJ11" s="265">
        <f t="shared" si="8"/>
        <v>-9.2788806407373095E-2</v>
      </c>
      <c r="DK11" s="273">
        <f t="shared" si="9"/>
        <v>1.2170721887414326</v>
      </c>
      <c r="DL11" s="274">
        <f t="shared" si="10"/>
        <v>8.0419178230278318E-2</v>
      </c>
      <c r="DM11"/>
      <c r="DN11"/>
    </row>
    <row r="12" spans="2:119" s="4" customFormat="1" ht="24.75" customHeight="1" thickBot="1">
      <c r="B12" s="57" t="str">
        <f>CONCATENATE(M13,"
(10 ~ 50)")</f>
        <v>에너지
(10 ~ 50)</v>
      </c>
      <c r="C12" s="17">
        <f>R13</f>
        <v>13.6029</v>
      </c>
      <c r="D12" s="41">
        <f>N13</f>
        <v>19.652699999999999</v>
      </c>
      <c r="E12" s="43">
        <f>T13</f>
        <v>22.097799999999999</v>
      </c>
      <c r="F12" s="43">
        <f>P13</f>
        <v>10.943899999999999</v>
      </c>
      <c r="G12" s="59" t="str">
        <f>CONCATENATE(M14,"
(50 ~ 100)")</f>
        <v>자기조절
(50 ~ 100)</v>
      </c>
      <c r="H12" s="17">
        <f>R14</f>
        <v>66.400199999999998</v>
      </c>
      <c r="I12" s="42">
        <f>N14</f>
        <v>69.063500000000005</v>
      </c>
      <c r="J12" s="17">
        <f>T14</f>
        <v>73.847300000000004</v>
      </c>
      <c r="K12" s="18">
        <f>P14</f>
        <v>2.5171000000000001</v>
      </c>
      <c r="L12" s="1">
        <f>IF(M!B10="","",IF(N12&lt;U12,1,IF(N12&lt;V12,2,IF(N12&lt;W12,3,IF(N12&lt;X12,4,5)))))</f>
        <v>3</v>
      </c>
      <c r="M12" s="162" t="str">
        <f>lang!B19</f>
        <v>카리스마</v>
      </c>
      <c r="N12" s="48">
        <f>IF(M!B10="","",M!B10*1)</f>
        <v>64.902000000000001</v>
      </c>
      <c r="O12" s="48">
        <f>M!C10*1</f>
        <v>2.7580300000000002</v>
      </c>
      <c r="P12" s="48">
        <f>M!D10*1</f>
        <v>4.2495399999999997</v>
      </c>
      <c r="Q12" s="48">
        <f>M!E10*1</f>
        <v>40</v>
      </c>
      <c r="R12" s="48">
        <f>IF(M!B10="","",M!F10*1)</f>
        <v>61.854799999999997</v>
      </c>
      <c r="S12" s="48">
        <f>M!G10*1</f>
        <v>100</v>
      </c>
      <c r="T12" s="48">
        <f>IF(M!B10="","",M!H10*1)</f>
        <v>71.318600000000004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-1.0577311263625353</v>
      </c>
      <c r="AI12" s="98">
        <v>0.31913434649697919</v>
      </c>
      <c r="AJ12" s="98">
        <v>3.8587997439955973E-2</v>
      </c>
      <c r="AK12" s="98">
        <v>1.0272327081707585E-2</v>
      </c>
      <c r="AL12" s="98">
        <v>1.9404033844491575E-2</v>
      </c>
      <c r="AM12" s="101"/>
      <c r="AN12" s="101"/>
      <c r="AO12" s="101"/>
      <c r="AP12" s="101"/>
      <c r="AX12" s="171"/>
      <c r="AY12" s="219">
        <f>N13</f>
        <v>19.652699999999999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에너지가 낮아 정적이고 지금 하는 일에 집중을 잘하고 있습니다. 일에 만족도를 높이기 위해선 신체적인 활력에너지를 높여주면 좋습니다.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19.652699999999999</v>
      </c>
      <c r="DJ12" s="265">
        <f t="shared" si="8"/>
        <v>0.26430407281120538</v>
      </c>
      <c r="DK12" s="273">
        <f t="shared" si="9"/>
        <v>2.635729818334192</v>
      </c>
      <c r="DL12" s="274">
        <f t="shared" si="10"/>
        <v>5.940858045435116E-3</v>
      </c>
      <c r="DM12"/>
      <c r="DN12"/>
    </row>
    <row r="13" spans="2:119" ht="24.75" customHeight="1" thickBot="1">
      <c r="B13" s="58" t="str">
        <f>CONCATENATE(M15,"
(10 ~ 25)")</f>
        <v>억제
(10 ~ 25)</v>
      </c>
      <c r="C13" s="44">
        <f>R15</f>
        <v>12.981299999999999</v>
      </c>
      <c r="D13" s="45">
        <f>N15</f>
        <v>16.4633</v>
      </c>
      <c r="E13" s="46">
        <f>T15</f>
        <v>17.977900000000002</v>
      </c>
      <c r="F13" s="46">
        <f>P15</f>
        <v>8.7714700000000008</v>
      </c>
      <c r="G13" s="60" t="str">
        <f>CONCATENATE(M16,"
(10 ~ 50)")</f>
        <v>신경성
(10 ~ 50)</v>
      </c>
      <c r="H13" s="44">
        <f>R16</f>
        <v>0.69580200000000003</v>
      </c>
      <c r="I13" s="45">
        <f>N16</f>
        <v>14.4407</v>
      </c>
      <c r="J13" s="46">
        <f>T16</f>
        <v>14.7774</v>
      </c>
      <c r="K13" s="47">
        <f>P16</f>
        <v>24.288699999999999</v>
      </c>
      <c r="L13" s="1">
        <f>IF(M!B11="","",IF(N13&lt;U13,1,IF(N13&lt;V13,2,IF(N13&lt;W13,3,IF(N13&lt;X13,4,5)))))</f>
        <v>2</v>
      </c>
      <c r="M13" s="162" t="str">
        <f>lang!B20</f>
        <v>에너지</v>
      </c>
      <c r="N13" s="48">
        <f>IF(M!B11="","",M!B11*1)</f>
        <v>19.652699999999999</v>
      </c>
      <c r="O13" s="48">
        <f>M!C11*1</f>
        <v>2.1507800000000001</v>
      </c>
      <c r="P13" s="48">
        <f>M!D11*1</f>
        <v>10.943899999999999</v>
      </c>
      <c r="Q13" s="48">
        <f>M!E11*1</f>
        <v>10</v>
      </c>
      <c r="R13" s="48">
        <f>IF(M!B11="","",M!F11*1)</f>
        <v>13.6029</v>
      </c>
      <c r="S13" s="48">
        <f>M!G11*1</f>
        <v>50</v>
      </c>
      <c r="T13" s="48">
        <f>IF(M!B11="","",M!H11*1)</f>
        <v>22.097799999999999</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-1.2892543958805993</v>
      </c>
      <c r="AI13" s="98">
        <v>0.16093442074971984</v>
      </c>
      <c r="AJ13" s="98">
        <v>-1.0988594420247608E-2</v>
      </c>
      <c r="AK13" s="98">
        <v>0.37151940745754808</v>
      </c>
      <c r="AL13" s="98">
        <v>8.9062029657998948E-2</v>
      </c>
      <c r="AM13" s="96"/>
      <c r="AN13" s="96"/>
      <c r="AO13" s="96"/>
      <c r="AP13" s="96"/>
      <c r="AX13" s="171"/>
      <c r="AY13" s="219">
        <f>info!W36</f>
        <v>75.920199999999994</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저/중강도의 신체활동과 뇌 자극/뇌 휴식 프로그램을 Mix. 문제 해결 과제도 바람직. 단 개인화 성향이 있어 집단및 협력 프로그램을 일정 수준 구성.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14.4407</v>
      </c>
      <c r="DJ13" s="265">
        <f t="shared" si="8"/>
        <v>-1.2807584856564005</v>
      </c>
      <c r="DK13" s="273">
        <f>IF(DH13=1,(DJ13-DF13)^2,0)</f>
        <v>2.9604389647552476</v>
      </c>
      <c r="DL13" s="274">
        <f t="shared" si="10"/>
        <v>0.83327554033756657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69.063500000000005</v>
      </c>
      <c r="O14" s="48">
        <f>M!C12*1</f>
        <v>1.7383999999999999</v>
      </c>
      <c r="P14" s="48">
        <f>M!D12*1</f>
        <v>2.5171000000000001</v>
      </c>
      <c r="Q14" s="48">
        <f>M!E12*1</f>
        <v>50</v>
      </c>
      <c r="R14" s="48">
        <f>IF(M!B12="","",M!F12*1)</f>
        <v>66.400199999999998</v>
      </c>
      <c r="S14" s="48">
        <f>M!G12*1</f>
        <v>100</v>
      </c>
      <c r="T14" s="48">
        <f>IF(M!B12="","",M!H12*1)</f>
        <v>73.847300000000004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-0.45071214289112849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84.017899999999997</v>
      </c>
      <c r="DJ14" s="265">
        <f t="shared" si="8"/>
        <v>2.3927475146139838</v>
      </c>
      <c r="DK14" s="279">
        <f t="shared" si="9"/>
        <v>6.0634436556453126</v>
      </c>
      <c r="DL14" s="280">
        <f t="shared" si="10"/>
        <v>20.541839596623195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16.4633</v>
      </c>
      <c r="O15" s="48">
        <f>M!C13*1</f>
        <v>1.44407</v>
      </c>
      <c r="P15" s="48">
        <f>M!D13*1</f>
        <v>8.7714700000000008</v>
      </c>
      <c r="Q15" s="48">
        <f>M!E13*1</f>
        <v>10</v>
      </c>
      <c r="R15" s="48">
        <f>IF(M!B13="","",M!F13*1)</f>
        <v>12.981299999999999</v>
      </c>
      <c r="S15" s="48">
        <f>M!G13*1</f>
        <v>25</v>
      </c>
      <c r="T15" s="48">
        <f>IF(M!B13="","",M!H13*1)</f>
        <v>17.977900000000002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-1.0760030683010062</v>
      </c>
      <c r="AI15" s="98">
        <v>-8.3250321124619289E-2</v>
      </c>
      <c r="AJ15" s="98">
        <v>-0.44690513063775733</v>
      </c>
      <c r="AK15" s="98">
        <v>0.12052818186953573</v>
      </c>
      <c r="AL15" s="98">
        <v>-2.4174505446491225E-2</v>
      </c>
      <c r="AM15" s="96"/>
      <c r="AN15" s="96"/>
      <c r="AO15" s="96"/>
      <c r="AP15" s="96"/>
      <c r="AX15" s="171"/>
      <c r="AY15" s="50">
        <f>SUM(AY7:AY14)</f>
        <v>324.40159999999997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25.952335613811204</v>
      </c>
      <c r="DL15" s="281">
        <f>IF(SUM($DI$7:$DI$14)&gt;0,SUM(DL7:DL14),0)</f>
        <v>40.031701197133174</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14.4407</v>
      </c>
      <c r="O16" s="48">
        <f>M!C14*1</f>
        <v>3.5074700000000001</v>
      </c>
      <c r="P16" s="48">
        <f>M!D14*1</f>
        <v>24.288699999999999</v>
      </c>
      <c r="Q16" s="48">
        <f>M!E14*1</f>
        <v>10</v>
      </c>
      <c r="R16" s="48">
        <f>IF(M!B14="","",M!F14*1)</f>
        <v>0.69580200000000003</v>
      </c>
      <c r="S16" s="48">
        <f>M!G14*1</f>
        <v>50</v>
      </c>
      <c r="T16" s="48">
        <f>IF(M!B14="","",M!H14*1)</f>
        <v>14.7774</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-3.4835952936282744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3.8532177407101048E-2</v>
      </c>
      <c r="DL16" s="281">
        <f>IF(DL15&gt;0,1/DL15,0)</f>
        <v>2.4980202441949029E-2</v>
      </c>
      <c r="DM16" t="s">
        <v>1207</v>
      </c>
    </row>
    <row r="17" spans="2:117" ht="21" customHeight="1" thickBot="1">
      <c r="B17" s="20"/>
      <c r="C17"/>
      <c r="D17"/>
      <c r="E17"/>
      <c r="F17"/>
      <c r="G17" s="1071"/>
      <c r="H17" s="827"/>
      <c r="I17" s="827"/>
      <c r="J17" s="827"/>
      <c r="K17" s="828"/>
      <c r="M17" s="163" t="str">
        <f>lang!B7</f>
        <v>긍정감정</v>
      </c>
      <c r="N17" s="54">
        <f>SUM(N11:N14)/4</f>
        <v>56.843299999999999</v>
      </c>
      <c r="O17" s="16">
        <f>N17/(N17+N18+N19)</f>
        <v>0.5569672717438805</v>
      </c>
      <c r="P17" s="54">
        <f>SUM(P11:P14)/4</f>
        <v>5.3031424999999999</v>
      </c>
      <c r="Q17" s="16">
        <f>P17/(P17+P18+P19)</f>
        <v>0.16404235847782803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0.60668766465184432</v>
      </c>
      <c r="DL17" s="283"/>
      <c r="DM17" s="284" t="s">
        <v>1208</v>
      </c>
    </row>
    <row r="18" spans="2:117" ht="21" customHeight="1">
      <c r="B18" s="20"/>
      <c r="C18"/>
      <c r="D18"/>
      <c r="E18"/>
      <c r="F18"/>
      <c r="G18" s="1071"/>
      <c r="H18" s="827"/>
      <c r="I18" s="827"/>
      <c r="J18" s="827"/>
      <c r="K18" s="828"/>
      <c r="M18" s="163" t="str">
        <f>lang!B8</f>
        <v>부정감정</v>
      </c>
      <c r="N18" s="14">
        <f>SUM(N7:N10)/4</f>
        <v>29.763300000000001</v>
      </c>
      <c r="O18" s="16">
        <f>N18/(N17+N18+N19)</f>
        <v>0.29162951480815924</v>
      </c>
      <c r="P18" s="14">
        <f>SUM(P7:P10)/4</f>
        <v>10.494657500000001</v>
      </c>
      <c r="Q18" s="16">
        <f>P18/(P17+P18+P19)</f>
        <v>0.32463173820372104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15.452</v>
      </c>
      <c r="O19" s="16">
        <f>N19/(N17+N18+N19)</f>
        <v>0.15140321344796029</v>
      </c>
      <c r="P19" s="14">
        <f>(P15+P16)/2</f>
        <v>16.530085</v>
      </c>
      <c r="Q19" s="16">
        <f>P19/(P17+P18+P19)</f>
        <v>0.51132590331845085</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1.3214399999999999</v>
      </c>
      <c r="D24" s="34" t="str">
        <f>lang!B11</f>
        <v>편차</v>
      </c>
      <c r="E24" s="1077">
        <f>FH_info!G2*1</f>
        <v>0.32106400000000002</v>
      </c>
      <c r="F24" s="1078"/>
      <c r="G24" s="1075" t="str">
        <f>lang!B12</f>
        <v>정보(I)변화량</v>
      </c>
      <c r="H24" s="1076"/>
      <c r="I24" s="51" t="str">
        <f ca="1">CONCATENATE(info!N7,"-",info!N8)</f>
        <v>61.5-73.5</v>
      </c>
      <c r="J24" s="32" t="str">
        <f>lang!B13</f>
        <v>Kcal/분</v>
      </c>
      <c r="K24" s="31" t="str">
        <f ca="1">CONCATENATE(info!N5,"-",info!N6)</f>
        <v>2.2-3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84.017899999999997</v>
      </c>
      <c r="F27" s="1043"/>
      <c r="G27" s="1055" t="str">
        <f>lang!B33</f>
        <v>정서안정성</v>
      </c>
      <c r="H27" s="1056"/>
      <c r="I27" s="1057"/>
      <c r="J27" s="993">
        <f>M!B19*100</f>
        <v>66.711299999999994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2.15768</v>
      </c>
      <c r="H2" s="50">
        <f>IF(FT!B2&lt;&gt;"",FT!B2*100,"")</f>
        <v>73.534900000000007</v>
      </c>
      <c r="I2" s="50">
        <f>(IF(G2&lt;&gt;"",1,""))</f>
        <v>1</v>
      </c>
      <c r="J2" t="str">
        <f>IF(FT!B2&lt;&gt;"",FT!E2,"")</f>
        <v>0 [0.000000]</v>
      </c>
      <c r="K2">
        <f>IF(FT!B2&lt;&gt;"",IF(FT!C2&lt;&gt;"",FT!C2,F2/$M$3*$M$4),"")</f>
        <v>0</v>
      </c>
      <c r="L2" t="s">
        <v>52</v>
      </c>
      <c r="M2">
        <f>FH_info!E2</f>
        <v>4.9234099999999996</v>
      </c>
      <c r="N2" s="75">
        <f>LOOKUP(O3,A2:A1000,B2:B1000)</f>
        <v>1.4480617647058822</v>
      </c>
      <c r="O2" s="50">
        <f>MAX(C2:C1000)</f>
        <v>1</v>
      </c>
      <c r="P2" t="s">
        <v>60</v>
      </c>
      <c r="Q2" t="s">
        <v>61</v>
      </c>
      <c r="R2" t="s">
        <v>62</v>
      </c>
      <c r="S2" t="s">
        <v>63</v>
      </c>
      <c r="T2" t="s">
        <v>64</v>
      </c>
      <c r="V2" s="50">
        <f>FT!G2*10</f>
        <v>2.2318500000000001</v>
      </c>
      <c r="W2" s="50">
        <f>FT!H2*100</f>
        <v>73.258499999999998</v>
      </c>
      <c r="Y2">
        <f>IF(I2=1,H2/G2,"")</f>
        <v>34.08054020985503</v>
      </c>
      <c r="Z2">
        <f>AVERAGE(Y2:Y2000)</f>
        <v>25.606735286978445</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2.2318500000000001</v>
      </c>
      <c r="H3" s="50">
        <f>IF(FT!B3&lt;&gt;"",FT!B3*100,"")</f>
        <v>73.258499999999998</v>
      </c>
      <c r="I3" s="50">
        <f t="shared" ref="I3:I66" si="2">(IF(G3&lt;&gt;"",1,""))</f>
        <v>1</v>
      </c>
      <c r="J3" t="str">
        <f>IF(FT!B3&lt;&gt;"",FT!E3,"")</f>
        <v>0 [0.366603]</v>
      </c>
      <c r="K3">
        <f>IF(FT!B3&lt;&gt;"",IF(FT!C3&lt;&gt;"",FT!C3,F3/$M$3*$M$4),"")</f>
        <v>0.36660300000000001</v>
      </c>
      <c r="L3" t="s">
        <v>53</v>
      </c>
      <c r="M3">
        <f>SUM(I2:I2005)</f>
        <v>26</v>
      </c>
      <c r="O3" s="104">
        <f>MATCH(O2,C2:C1000,0)-1</f>
        <v>75</v>
      </c>
      <c r="P3">
        <v>0</v>
      </c>
      <c r="Q3">
        <v>0</v>
      </c>
      <c r="R3">
        <f>IF(S4=0,M3,0)</f>
        <v>26</v>
      </c>
      <c r="S3">
        <f t="array" ref="S3">MAX(IF(ft_nq=0,row_n))</f>
        <v>1998</v>
      </c>
      <c r="T3">
        <f>R3-Q3</f>
        <v>26</v>
      </c>
      <c r="V3" s="50">
        <f>FT!G3*10</f>
        <v>2.9469400000000001</v>
      </c>
      <c r="W3" s="50">
        <f>FT!H3*100</f>
        <v>62.335099999999997</v>
      </c>
      <c r="Y3" s="75">
        <f t="shared" ref="Y3:Y66" si="3">IF(I3=1,H3/G3,"")</f>
        <v>32.824114523825521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2.2947199999999999</v>
      </c>
      <c r="H4" s="50">
        <f>IF(FT!B4&lt;&gt;"",FT!B4*100,"")</f>
        <v>72.980800000000002</v>
      </c>
      <c r="I4" s="50">
        <f t="shared" si="2"/>
        <v>1</v>
      </c>
      <c r="J4" t="str">
        <f>IF(FT!B4&lt;&gt;"",FT!E4,"")</f>
        <v>0 [0.764059]</v>
      </c>
      <c r="K4">
        <f>IF(FT!B4&lt;&gt;"",IF(FT!C4&lt;&gt;"",FT!C4,F4/$M$3*$M$4),"")</f>
        <v>0.76405900000000004</v>
      </c>
      <c r="L4" t="s">
        <v>246</v>
      </c>
      <c r="M4">
        <f>IF(M2&lt;&gt;0,M3/M2*2,0)</f>
        <v>10.561785429204557</v>
      </c>
      <c r="P4">
        <f>P3+1</f>
        <v>1</v>
      </c>
      <c r="Q4">
        <v>0</v>
      </c>
      <c r="R4">
        <f>IF(S4=1998,0,S4)</f>
        <v>0</v>
      </c>
      <c r="S4">
        <f t="array" ref="S4">MAX(IF(ft_nq=P4,row_n))</f>
        <v>0</v>
      </c>
      <c r="T4">
        <f>R4-Q4+1</f>
        <v>1</v>
      </c>
      <c r="V4" t="s">
        <v>209</v>
      </c>
      <c r="W4" s="23">
        <f>IF(ISERROR(V3-V2)=FALSE,(V3-V2)*10,0)</f>
        <v>7.1509</v>
      </c>
      <c r="Y4" s="75">
        <f t="shared" si="3"/>
        <v>31.803793055361876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2.3462900000000002</v>
      </c>
      <c r="H5" s="50">
        <f>IF(FT!B5&lt;&gt;"",FT!B5*100,"")</f>
        <v>72.414400000000001</v>
      </c>
      <c r="I5" s="50">
        <f t="shared" si="2"/>
        <v>1</v>
      </c>
      <c r="J5" t="str">
        <f>IF(FT!B5&lt;&gt;"",FT!E5,"")</f>
        <v>0 [1.178939]</v>
      </c>
      <c r="K5">
        <f>IF(FT!B5&lt;&gt;"",IF(FT!C5&lt;&gt;"",FT!C5,F5/$M$3*$M$4),"")</f>
        <v>1.1789400000000001</v>
      </c>
      <c r="L5" t="s">
        <v>54</v>
      </c>
      <c r="M5" s="52">
        <f ca="1">IF(M3&gt;0,MIN(FT_E),0)</f>
        <v>2.15768</v>
      </c>
      <c r="N5" s="52">
        <f ca="1">IF(M3&gt;0,ROUND(M5,1),0)</f>
        <v>2.2000000000000002</v>
      </c>
      <c r="P5">
        <f t="shared" ref="P5:P27" si="10">P4+1</f>
        <v>2</v>
      </c>
      <c r="Q5">
        <f>IF(S5=1998,0,R4)</f>
        <v>0</v>
      </c>
      <c r="R5">
        <f>IF(S5=1998,0,S5)</f>
        <v>0</v>
      </c>
      <c r="S5">
        <f t="array" ref="S5">MAX(IF(ft_nq=P5,row_n))</f>
        <v>0</v>
      </c>
      <c r="T5">
        <f t="shared" ref="T5:T27" si="11">R5-Q5+1</f>
        <v>1</v>
      </c>
      <c r="V5" t="s">
        <v>210</v>
      </c>
      <c r="W5" s="23">
        <f>IF(ISERROR(W3-W2)=FALSE,W3-W2,0)</f>
        <v>-10.923400000000001</v>
      </c>
      <c r="Y5" s="75">
        <f t="shared" si="3"/>
        <v>30.863363011392451</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2.3953699999999998</v>
      </c>
      <c r="H6" s="50">
        <f>IF(FT!B6&lt;&gt;"",FT!B6*100,"")</f>
        <v>71.694000000000003</v>
      </c>
      <c r="I6" s="50">
        <f t="shared" si="2"/>
        <v>1</v>
      </c>
      <c r="J6" t="str">
        <f>IF(FT!B6&lt;&gt;"",FT!E6,"")</f>
        <v>0 [1.593465]</v>
      </c>
      <c r="K6">
        <f>IF(FT!B6&lt;&gt;"",IF(FT!C6&lt;&gt;"",FT!C6,F6/$M$3*$M$4),"")</f>
        <v>1.5934600000000001</v>
      </c>
      <c r="L6" t="s">
        <v>55</v>
      </c>
      <c r="M6" s="52">
        <f ca="1">IF(M3&gt;0,MAX(FT_E),0)</f>
        <v>2.98916</v>
      </c>
      <c r="N6" s="52">
        <f ca="1">IF(M3&gt;0,ROUND(M6,1),0)</f>
        <v>3</v>
      </c>
      <c r="P6">
        <f t="shared" si="10"/>
        <v>3</v>
      </c>
      <c r="Q6">
        <f t="shared" ref="Q6:Q27" si="12">IF(S6=1998,0,R5)</f>
        <v>0</v>
      </c>
      <c r="R6">
        <f t="shared" ref="R6:R27" si="13">IF(S6=1998,0,S6)</f>
        <v>0</v>
      </c>
      <c r="S6">
        <f t="array" ref="S6">MAX(IF(ft_nq=P6,row_n))</f>
        <v>0</v>
      </c>
      <c r="T6">
        <f t="shared" si="11"/>
        <v>1</v>
      </c>
      <c r="V6" t="s">
        <v>211</v>
      </c>
      <c r="W6" s="23">
        <f>IF(W4&lt;&gt;0,W5/W4,0)</f>
        <v>-1.5275559719755556</v>
      </c>
      <c r="Y6" s="75">
        <f t="shared" si="3"/>
        <v>29.93024042214773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2.4377199999999997</v>
      </c>
      <c r="H7" s="50">
        <f>IF(FT!B7&lt;&gt;"",FT!B7*100,"")</f>
        <v>71.1631</v>
      </c>
      <c r="I7" s="50">
        <f t="shared" si="2"/>
        <v>1</v>
      </c>
      <c r="J7" t="str">
        <f>IF(FT!B7&lt;&gt;"",FT!E7,"")</f>
        <v>0 [2.009544]</v>
      </c>
      <c r="K7">
        <f>IF(FT!B7&lt;&gt;"",IF(FT!C7&lt;&gt;"",FT!C7,F7/$M$3*$M$4),"")</f>
        <v>2.0095399999999999</v>
      </c>
      <c r="L7" t="s">
        <v>56</v>
      </c>
      <c r="M7" s="366">
        <f ca="1">IF(M3&gt;0,MIN(FT_PH),0)</f>
        <v>61.463999999999999</v>
      </c>
      <c r="N7" s="52">
        <f ca="1">IF(M3&gt;0,ROUND(M7,1),0)</f>
        <v>61.5</v>
      </c>
      <c r="P7">
        <f t="shared" si="10"/>
        <v>4</v>
      </c>
      <c r="Q7">
        <f t="shared" si="12"/>
        <v>0</v>
      </c>
      <c r="R7">
        <f t="shared" si="13"/>
        <v>0</v>
      </c>
      <c r="S7">
        <f t="array" ref="S7">MAX(IF(ft_nq=P7,row_n))</f>
        <v>0</v>
      </c>
      <c r="T7">
        <f t="shared" si="11"/>
        <v>1</v>
      </c>
      <c r="V7" t="s">
        <v>212</v>
      </c>
      <c r="W7" s="23">
        <f>DEGREES(ATAN(W6))</f>
        <v>-56.789617618898717</v>
      </c>
      <c r="X7" s="106">
        <v>0.05</v>
      </c>
      <c r="Y7" s="75">
        <f t="shared" si="3"/>
        <v>29.192483139983267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3.349112781352896E-3</v>
      </c>
      <c r="D8" s="50">
        <f>IF(hist!$D$2&gt;0,hist!B8/hist!$D$2,0)</f>
        <v>0.85355001406035957</v>
      </c>
      <c r="E8" s="50">
        <f t="shared" si="1"/>
        <v>4.239235128206329E-5</v>
      </c>
      <c r="F8">
        <f t="shared" si="6"/>
        <v>6</v>
      </c>
      <c r="G8" s="50">
        <f>IF(FT!A8&lt;&gt;"",FT!A8*10,"")</f>
        <v>2.47499</v>
      </c>
      <c r="H8" s="50">
        <f>IF(FT!B8&lt;&gt;"",FT!B8*100,"")</f>
        <v>70.72420000000001</v>
      </c>
      <c r="I8" s="50">
        <f t="shared" si="2"/>
        <v>1</v>
      </c>
      <c r="J8" t="str">
        <f>IF(FT!B8&lt;&gt;"",FT!E8,"")</f>
        <v>0 [2.393486]</v>
      </c>
      <c r="K8">
        <f>IF(FT!B8&lt;&gt;"",IF(FT!C8&lt;&gt;"",FT!C8,F8/$M$3*$M$4),"")</f>
        <v>2.3934899999999999</v>
      </c>
      <c r="L8" t="s">
        <v>57</v>
      </c>
      <c r="M8" s="52">
        <f ca="1">IF(M3&gt;0,MAX(FT_PH),0)</f>
        <v>73.534900000000007</v>
      </c>
      <c r="N8" s="52">
        <f ca="1">IF(M3&gt;0,ROUND(M8,1),0)</f>
        <v>73.5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28.575549800201216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2.5109199999999996</v>
      </c>
      <c r="H9" s="50">
        <f>IF(FT!B9&lt;&gt;"",FT!B9*100,"")</f>
        <v>70.271100000000004</v>
      </c>
      <c r="I9" s="50">
        <f t="shared" si="2"/>
        <v>1</v>
      </c>
      <c r="J9" t="str">
        <f>IF(FT!B9&lt;&gt;"",FT!E9,"")</f>
        <v>0 [2.803354]</v>
      </c>
      <c r="K9">
        <f>IF(FT!B9&lt;&gt;"",IF(FT!C9&lt;&gt;"",FT!C9,F9/$M$3*$M$4),"")</f>
        <v>2.80335</v>
      </c>
      <c r="L9" t="s">
        <v>222</v>
      </c>
      <c r="M9" s="74">
        <f ca="1">IF(M3&gt;0,IF(COUNT(FT_E)&gt;0,AVERAGE(FT_E),0),0)</f>
        <v>2.6630950000000002</v>
      </c>
      <c r="N9" s="365">
        <f ca="1">IF(M3&gt;0,IF(COUNT(FT_PH)&gt;0,AVERAGE(FT_PH),0),0)</f>
        <v>67.214292307692304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2</v>
      </c>
      <c r="X9">
        <v>2</v>
      </c>
      <c r="Y9" s="75">
        <f t="shared" si="3"/>
        <v>27.986196294585259</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1.5698996186911398E-3</v>
      </c>
      <c r="D10" s="50">
        <f>IF(hist!$D$2&gt;0,hist!B10/hist!$D$2,0)</f>
        <v>0.58426050913417049</v>
      </c>
      <c r="E10" s="50">
        <f t="shared" si="1"/>
        <v>6.3640932711193118E-5</v>
      </c>
      <c r="F10">
        <f t="shared" si="6"/>
        <v>8</v>
      </c>
      <c r="G10" s="50">
        <f>IF(FT!A10&lt;&gt;"",FT!A10*10,"")</f>
        <v>2.5450200000000001</v>
      </c>
      <c r="H10" s="50">
        <f>IF(FT!B10&lt;&gt;"",FT!B10*100,"")</f>
        <v>69.780900000000003</v>
      </c>
      <c r="I10" s="50">
        <f t="shared" si="2"/>
        <v>1</v>
      </c>
      <c r="J10" t="str">
        <f>IF(FT!B10&lt;&gt;"",FT!E10,"")</f>
        <v>0 [3.222663]</v>
      </c>
      <c r="K10">
        <f>IF(FT!B10&lt;&gt;"",IF(FT!C10&lt;&gt;"",FT!C10,F10/$M$3*$M$4),"")</f>
        <v>3.2226599999999999</v>
      </c>
      <c r="M10">
        <v>2</v>
      </c>
      <c r="P10">
        <f t="shared" si="10"/>
        <v>7</v>
      </c>
      <c r="Q10">
        <f t="shared" si="12"/>
        <v>0</v>
      </c>
      <c r="R10">
        <f t="shared" si="13"/>
        <v>0</v>
      </c>
      <c r="S10">
        <f t="array" ref="S10">MAX(IF(ft_nq=P10,row_n))</f>
        <v>0</v>
      </c>
      <c r="T10">
        <f t="shared" si="11"/>
        <v>1</v>
      </c>
      <c r="V10" t="s">
        <v>215</v>
      </c>
      <c r="X10" s="71" t="s">
        <v>270</v>
      </c>
      <c r="Y10" s="75">
        <f t="shared" si="3"/>
        <v>27.418605747695501</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0</v>
      </c>
      <c r="AM10">
        <f t="shared" si="4"/>
        <v>1</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2.5785499999999999</v>
      </c>
      <c r="H11" s="50">
        <f>IF(FT!B11&lt;&gt;"",FT!B11*100,"")</f>
        <v>69.2864</v>
      </c>
      <c r="I11" s="50">
        <f t="shared" si="2"/>
        <v>1</v>
      </c>
      <c r="J11" t="str">
        <f>IF(FT!B11&lt;&gt;"",FT!E11,"")</f>
        <v>0 [3.617665]</v>
      </c>
      <c r="K11">
        <f>IF(FT!B11&lt;&gt;"",IF(FT!C11&lt;&gt;"",FT!C11,F11/$M$3*$M$4),"")</f>
        <v>3.6176699999999999</v>
      </c>
      <c r="M11" s="49">
        <f>MAX(IF(ft_nq=1,row_n))</f>
        <v>0</v>
      </c>
      <c r="P11">
        <f t="shared" si="10"/>
        <v>8</v>
      </c>
      <c r="Q11">
        <f t="shared" si="12"/>
        <v>0</v>
      </c>
      <c r="R11">
        <f t="shared" si="13"/>
        <v>0</v>
      </c>
      <c r="S11">
        <f t="array" ref="S11">MAX(IF(ft_nq=P11,row_n))</f>
        <v>0</v>
      </c>
      <c r="T11">
        <f t="shared" si="11"/>
        <v>1</v>
      </c>
      <c r="V11" s="71" t="s">
        <v>216</v>
      </c>
      <c r="W11" s="23">
        <f>FT!H11*100</f>
        <v>61.463999999999999</v>
      </c>
      <c r="Y11" s="75">
        <f t="shared" si="3"/>
        <v>26.870295321013749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2.6104899999999995</v>
      </c>
      <c r="H12" s="50">
        <f>IF(FT!B12&lt;&gt;"",FT!B12*100,"")</f>
        <v>68.792500000000004</v>
      </c>
      <c r="I12" s="50">
        <f t="shared" si="2"/>
        <v>1</v>
      </c>
      <c r="J12" t="str">
        <f>IF(FT!B12&lt;&gt;"",FT!E12,"")</f>
        <v>0 [4.016471]</v>
      </c>
      <c r="K12">
        <f>IF(FT!B12&lt;&gt;"",IF(FT!C12&lt;&gt;"",FT!C12,F12/$M$3*$M$4),"")</f>
        <v>4.01647</v>
      </c>
      <c r="M12">
        <f>M11+1</f>
        <v>1</v>
      </c>
      <c r="P12">
        <f t="shared" si="10"/>
        <v>9</v>
      </c>
      <c r="Q12">
        <f t="shared" si="12"/>
        <v>0</v>
      </c>
      <c r="R12">
        <f t="shared" si="13"/>
        <v>0</v>
      </c>
      <c r="S12">
        <f t="array" ref="S12">MAX(IF(ft_nq=P12,row_n))</f>
        <v>0</v>
      </c>
      <c r="T12">
        <f t="shared" si="11"/>
        <v>1</v>
      </c>
      <c r="V12" s="71" t="s">
        <v>217</v>
      </c>
      <c r="W12" s="23">
        <f>FT!H12*100</f>
        <v>73.534900000000007</v>
      </c>
      <c r="Y12" s="75">
        <f t="shared" si="3"/>
        <v>26.352332320752048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3.5322811477296609E-3</v>
      </c>
      <c r="D13" s="50">
        <f>IF(hist!$D$2&gt;0,hist!B13/hist!$D$2,0)</f>
        <v>0.53576955944578297</v>
      </c>
      <c r="E13" s="50">
        <f t="shared" si="1"/>
        <v>1.1522836836240688E-4</v>
      </c>
      <c r="F13">
        <f t="shared" si="6"/>
        <v>11</v>
      </c>
      <c r="G13" s="50">
        <f>IF(FT!A13&lt;&gt;"",FT!A13*10,"")</f>
        <v>2.6399499999999998</v>
      </c>
      <c r="H13" s="50">
        <f>IF(FT!B13&lt;&gt;"",FT!B13*100,"")</f>
        <v>68.301699999999997</v>
      </c>
      <c r="I13" s="50">
        <f t="shared" si="2"/>
        <v>1</v>
      </c>
      <c r="J13" t="str">
        <f>IF(FT!B13&lt;&gt;"",FT!E13,"")</f>
        <v>0 [4.444024]</v>
      </c>
      <c r="K13">
        <f>IF(FT!B13&lt;&gt;"",IF(FT!C13&lt;&gt;"",FT!C13,F13/$M$3*$M$4),"")</f>
        <v>4.4440200000000001</v>
      </c>
      <c r="M13" s="49">
        <f t="array" ref="M13">MAX(IF(ft_nq=2,row_n))</f>
        <v>0</v>
      </c>
      <c r="P13">
        <f t="shared" si="10"/>
        <v>10</v>
      </c>
      <c r="Q13">
        <f t="shared" si="12"/>
        <v>0</v>
      </c>
      <c r="R13">
        <f t="shared" si="13"/>
        <v>0</v>
      </c>
      <c r="S13">
        <f t="array" ref="S13">MAX(IF(ft_nq=P13,row_n))</f>
        <v>0</v>
      </c>
      <c r="T13">
        <f t="shared" si="11"/>
        <v>1</v>
      </c>
      <c r="V13" s="71" t="s">
        <v>219</v>
      </c>
      <c r="W13">
        <f>FT!H13</f>
        <v>26</v>
      </c>
      <c r="Y13" s="75">
        <f t="shared" si="3"/>
        <v>25.872346067160365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2.6682899999999998</v>
      </c>
      <c r="H14" s="50">
        <f>IF(FT!B14&lt;&gt;"",FT!B14*100,"")</f>
        <v>67.715000000000003</v>
      </c>
      <c r="I14" s="50">
        <f t="shared" si="2"/>
        <v>1</v>
      </c>
      <c r="J14" t="str">
        <f>IF(FT!B14&lt;&gt;"",FT!E14,"")</f>
        <v>0 [4.842819]</v>
      </c>
      <c r="K14">
        <f>IF(FT!B14&lt;&gt;"",IF(FT!C14&lt;&gt;"",FT!C14,F14/$M$3*$M$4),"")</f>
        <v>4.8428199999999997</v>
      </c>
      <c r="M14">
        <f>M13+1</f>
        <v>1</v>
      </c>
      <c r="P14">
        <f t="shared" si="10"/>
        <v>11</v>
      </c>
      <c r="Q14">
        <f t="shared" si="12"/>
        <v>0</v>
      </c>
      <c r="R14">
        <f t="shared" si="13"/>
        <v>0</v>
      </c>
      <c r="S14">
        <f t="array" ref="S14">MAX(IF(ft_nq=P14,row_n))</f>
        <v>0</v>
      </c>
      <c r="T14">
        <f t="shared" si="11"/>
        <v>1</v>
      </c>
      <c r="V14" s="71" t="s">
        <v>221</v>
      </c>
      <c r="W14">
        <f>FT!H14</f>
        <v>1</v>
      </c>
      <c r="Y14" s="75">
        <f t="shared" si="3"/>
        <v>25.377676339528314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1.5698996186911398E-3</v>
      </c>
      <c r="D15" s="50">
        <f>IF(hist!$D$2&gt;0,hist!B15/hist!$D$2,0)</f>
        <v>0.51238147838743808</v>
      </c>
      <c r="E15" s="50">
        <f t="shared" si="1"/>
        <v>1.6938471460455832E-4</v>
      </c>
      <c r="F15">
        <f t="shared" si="6"/>
        <v>13</v>
      </c>
      <c r="G15" s="50">
        <f>IF(FT!A15&lt;&gt;"",FT!A15*10,"")</f>
        <v>2.7009600000000002</v>
      </c>
      <c r="H15" s="50">
        <f>IF(FT!B15&lt;&gt;"",FT!B15*100,"")</f>
        <v>67.038200000000003</v>
      </c>
      <c r="I15" s="50">
        <f t="shared" si="2"/>
        <v>1</v>
      </c>
      <c r="J15" t="str">
        <f>IF(FT!B15&lt;&gt;"",FT!E15,"")</f>
        <v>0 [5.249786]</v>
      </c>
      <c r="K15">
        <f>IF(FT!B15&lt;&gt;"",IF(FT!C15&lt;&gt;"",FT!C15,F15/$M$3*$M$4),"")</f>
        <v>5.24979</v>
      </c>
      <c r="M15">
        <f t="array" ref="M15">MAX(IF(ft_nq=3,row_n))</f>
        <v>0</v>
      </c>
      <c r="P15">
        <f t="shared" si="10"/>
        <v>12</v>
      </c>
      <c r="Q15">
        <f t="shared" si="12"/>
        <v>0</v>
      </c>
      <c r="R15">
        <f t="shared" si="13"/>
        <v>0</v>
      </c>
      <c r="S15">
        <f t="array" ref="S15">MAX(IF(ft_nq=P15,row_n))</f>
        <v>0</v>
      </c>
      <c r="T15">
        <f t="shared" si="11"/>
        <v>1</v>
      </c>
      <c r="V15" s="23">
        <f>FT!G15*10</f>
        <v>2.98916</v>
      </c>
      <c r="W15" s="23">
        <f>FT!H15*100</f>
        <v>61.463999999999999</v>
      </c>
      <c r="Y15" s="75">
        <f t="shared" si="3"/>
        <v>24.820138024998517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2.7359499999999999</v>
      </c>
      <c r="H16" s="50">
        <f>IF(FT!B16&lt;&gt;"",FT!B16*100,"")</f>
        <v>66.283999999999992</v>
      </c>
      <c r="I16" s="50">
        <f t="shared" si="2"/>
        <v>1</v>
      </c>
      <c r="J16" t="str">
        <f>IF(FT!B16&lt;&gt;"",FT!E16,"")</f>
        <v>0 [5.646784]</v>
      </c>
      <c r="K16">
        <f>IF(FT!B16&lt;&gt;"",IF(FT!C16&lt;&gt;"",FT!C16,F16/$M$3*$M$4),"")</f>
        <v>5.6467799999999997</v>
      </c>
      <c r="M16">
        <f>M15+1</f>
        <v>1</v>
      </c>
      <c r="P16">
        <f t="shared" si="10"/>
        <v>13</v>
      </c>
      <c r="Q16">
        <f t="shared" si="12"/>
        <v>0</v>
      </c>
      <c r="R16">
        <f t="shared" si="13"/>
        <v>0</v>
      </c>
      <c r="S16">
        <f t="array" ref="S16">MAX(IF(ft_nq=P16,row_n))</f>
        <v>0</v>
      </c>
      <c r="T16">
        <f t="shared" si="11"/>
        <v>1</v>
      </c>
      <c r="V16" s="23">
        <f>FT!G16*10</f>
        <v>2.15768</v>
      </c>
      <c r="W16" s="23">
        <f>FT!H16*100</f>
        <v>73.534900000000007</v>
      </c>
      <c r="Y16" s="75">
        <f t="shared" si="3"/>
        <v>24.227050932948334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2.7706900000000001</v>
      </c>
      <c r="H17" s="50">
        <f>IF(FT!B17&lt;&gt;"",FT!B17*100,"")</f>
        <v>65.554500000000004</v>
      </c>
      <c r="I17" s="50">
        <f t="shared" si="2"/>
        <v>1</v>
      </c>
      <c r="J17" t="str">
        <f>IF(FT!B17&lt;&gt;"",FT!E17,"")</f>
        <v>0 [6.065683]</v>
      </c>
      <c r="K17">
        <f>IF(FT!B17&lt;&gt;"",IF(FT!C17&lt;&gt;"",FT!C17,F17/$M$3*$M$4),"")</f>
        <v>6.0656800000000004</v>
      </c>
      <c r="M17">
        <f>M3+1</f>
        <v>27</v>
      </c>
      <c r="P17">
        <f t="shared" si="10"/>
        <v>14</v>
      </c>
      <c r="Q17">
        <f t="shared" si="12"/>
        <v>0</v>
      </c>
      <c r="R17">
        <f t="shared" si="13"/>
        <v>0</v>
      </c>
      <c r="S17">
        <f t="array" ref="S17">MAX(IF(ft_nq=P17,row_n))</f>
        <v>0</v>
      </c>
      <c r="T17">
        <f t="shared" si="11"/>
        <v>1</v>
      </c>
      <c r="V17" t="s">
        <v>1522</v>
      </c>
      <c r="Y17" s="75">
        <f t="shared" si="3"/>
        <v>23.659990832608486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6.672064372141435E-3</v>
      </c>
      <c r="D18" s="50">
        <f>IF(hist!$D$2&gt;0,hist!B18/hist!$D$2,0)</f>
        <v>0.51836538217813943</v>
      </c>
      <c r="E18" s="50">
        <f t="shared" si="1"/>
        <v>2.9716369761879154E-4</v>
      </c>
      <c r="F18">
        <f t="shared" si="6"/>
        <v>16</v>
      </c>
      <c r="G18" s="50">
        <f>IF(FT!A18&lt;&gt;"",FT!A18*10,"")</f>
        <v>2.8060200000000002</v>
      </c>
      <c r="H18" s="50">
        <f>IF(FT!B18&lt;&gt;"",FT!B18*100,"")</f>
        <v>64.865099999999998</v>
      </c>
      <c r="I18" s="50">
        <f t="shared" si="2"/>
        <v>1</v>
      </c>
      <c r="J18" t="str">
        <f>IF(FT!B18&lt;&gt;"",FT!E18,"")</f>
        <v>0 [6.464401]</v>
      </c>
      <c r="K18">
        <f>IF(FT!B18&lt;&gt;"",IF(FT!C18&lt;&gt;"",FT!C18,F18/$M$3*$M$4),"")</f>
        <v>6.4644000000000004</v>
      </c>
      <c r="P18">
        <f t="shared" si="10"/>
        <v>15</v>
      </c>
      <c r="Q18">
        <f t="shared" si="12"/>
        <v>0</v>
      </c>
      <c r="R18">
        <f t="shared" si="13"/>
        <v>0</v>
      </c>
      <c r="S18">
        <f t="array" ref="S18">MAX(IF(ft_nq=P18,row_n))</f>
        <v>0</v>
      </c>
      <c r="T18">
        <f t="shared" si="11"/>
        <v>1</v>
      </c>
      <c r="V18" s="288">
        <f>M!B18*100</f>
        <v>84.017899999999997</v>
      </c>
      <c r="W18" s="287">
        <f>100-M!B19*100</f>
        <v>33.288700000000006</v>
      </c>
      <c r="X18" t="str">
        <f>"(" &amp; ROUND(V18,1) &amp; " , " &amp; ROUND(100-W18,1) &amp; ")"</f>
        <v>(84 , 66.7)</v>
      </c>
      <c r="Y18" s="75">
        <f t="shared" si="3"/>
        <v>23.116406868090746</v>
      </c>
      <c r="Z18">
        <f>M!B18*100</f>
        <v>84.017899999999997</v>
      </c>
      <c r="AA18">
        <f>100-M!B19*100</f>
        <v>33.288700000000006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2.8411599999999999</v>
      </c>
      <c r="H19" s="50">
        <f>IF(FT!B19&lt;&gt;"",FT!B19*100,"")</f>
        <v>64.168099999999995</v>
      </c>
      <c r="I19" s="50">
        <f t="shared" si="2"/>
        <v>1</v>
      </c>
      <c r="J19" t="str">
        <f>IF(FT!B19&lt;&gt;"",FT!E19,"")</f>
        <v>0 [6.864933]</v>
      </c>
      <c r="K19">
        <f>IF(FT!B19&lt;&gt;"",IF(FT!C19&lt;&gt;"",FT!C19,F19/$M$3*$M$4),"")</f>
        <v>6.8649300000000002</v>
      </c>
      <c r="P19">
        <f t="shared" si="10"/>
        <v>16</v>
      </c>
      <c r="Q19">
        <f t="shared" si="12"/>
        <v>0</v>
      </c>
      <c r="R19">
        <f t="shared" si="13"/>
        <v>0</v>
      </c>
      <c r="S19">
        <f t="array" ref="S19">MAX(IF(ft_nq=P19,row_n))</f>
        <v>0</v>
      </c>
      <c r="T19">
        <f t="shared" si="11"/>
        <v>1</v>
      </c>
      <c r="V19" t="s">
        <v>1521</v>
      </c>
      <c r="Y19" s="75">
        <f t="shared" si="3"/>
        <v>22.585176477213533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2.8767300000000002</v>
      </c>
      <c r="H20" s="50">
        <f>IF(FT!B20&lt;&gt;"",FT!B20*100,"")</f>
        <v>63.496099999999998</v>
      </c>
      <c r="I20" s="50">
        <f t="shared" si="2"/>
        <v>1</v>
      </c>
      <c r="J20" t="str">
        <f>IF(FT!B20&lt;&gt;"",FT!E20,"")</f>
        <v>0 [7.293426]</v>
      </c>
      <c r="K20">
        <f>IF(FT!B20&lt;&gt;"",IF(FT!C20&lt;&gt;"",FT!C20,F20/$M$3*$M$4),"")</f>
        <v>7.2934299999999999</v>
      </c>
      <c r="P20">
        <f t="shared" si="10"/>
        <v>17</v>
      </c>
      <c r="Q20">
        <f t="shared" si="12"/>
        <v>0</v>
      </c>
      <c r="R20">
        <f t="shared" si="13"/>
        <v>0</v>
      </c>
      <c r="S20">
        <f t="array" ref="S20">MAX(IF(ft_nq=P20,row_n))</f>
        <v>0</v>
      </c>
      <c r="T20">
        <f t="shared" si="11"/>
        <v>1</v>
      </c>
      <c r="V20" s="56">
        <v>50</v>
      </c>
      <c r="W20">
        <v>50</v>
      </c>
      <c r="Y20" s="75">
        <f t="shared" si="3"/>
        <v>22.072318222426155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2.4673585604339517E-2</v>
      </c>
      <c r="D21" s="50">
        <f>IF(hist!$D$2&gt;0,hist!B21/hist!$D$2,0)</f>
        <v>0.53054058063970055</v>
      </c>
      <c r="E21" s="50">
        <f t="shared" si="1"/>
        <v>5.1155989191839816E-4</v>
      </c>
      <c r="F21">
        <f t="shared" si="6"/>
        <v>19</v>
      </c>
      <c r="G21" s="50">
        <f>IF(FT!A21&lt;&gt;"",FT!A21*10,"")</f>
        <v>2.8969200000000002</v>
      </c>
      <c r="H21" s="50">
        <f>IF(FT!B21&lt;&gt;"",FT!B21*100,"")</f>
        <v>63.187899999999999</v>
      </c>
      <c r="I21" s="50">
        <f t="shared" si="2"/>
        <v>1</v>
      </c>
      <c r="J21" t="str">
        <f>IF(FT!B21&lt;&gt;"",FT!E21,"")</f>
        <v>0 [7.677302]</v>
      </c>
      <c r="K21">
        <f>IF(FT!B21&lt;&gt;"",IF(FT!C21&lt;&gt;"",FT!C21,F21/$M$3*$M$4),"")</f>
        <v>7.6772999999999998</v>
      </c>
      <c r="P21">
        <f t="shared" si="10"/>
        <v>18</v>
      </c>
      <c r="Q21">
        <f t="shared" si="12"/>
        <v>0</v>
      </c>
      <c r="R21">
        <f t="shared" si="13"/>
        <v>0</v>
      </c>
      <c r="S21">
        <f t="array" ref="S21">MAX(IF(ft_nq=P21,row_n))</f>
        <v>0</v>
      </c>
      <c r="T21">
        <f t="shared" si="11"/>
        <v>1</v>
      </c>
      <c r="V21" s="288">
        <f>Measurement!DK17*100</f>
        <v>60.668766465184433</v>
      </c>
      <c r="W21" s="287">
        <f>'R3'!I3</f>
        <v>20.852572024841866</v>
      </c>
      <c r="X21" t="str">
        <f>"(" &amp; ROUND(V21,1) &amp; " , " &amp; ROUND(W21,1) &amp; ")" &amp; CHAR(10) &amp; AR26</f>
        <v>(60.7 , 20.9)
차분한</v>
      </c>
      <c r="Y21" s="75">
        <f t="shared" si="3"/>
        <v>21.812096985764189</v>
      </c>
      <c r="AA21">
        <f>100-M!B19*100</f>
        <v>33.288700000000006</v>
      </c>
      <c r="AC21">
        <f>'R3'!I3</f>
        <v>20.852572024841866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2.9153800000000003</v>
      </c>
      <c r="H22" s="50">
        <f>IF(FT!B22&lt;&gt;"",FT!B22*100,"")</f>
        <v>62.877799999999993</v>
      </c>
      <c r="I22" s="50">
        <f t="shared" si="2"/>
        <v>1</v>
      </c>
      <c r="J22" t="str">
        <f>IF(FT!B22&lt;&gt;"",FT!E22,"")</f>
        <v>0 [8.094145]</v>
      </c>
      <c r="K22">
        <f>IF(FT!B22&lt;&gt;"",IF(FT!C22&lt;&gt;"",FT!C22,F22/$M$3*$M$4),"")</f>
        <v>8.0941399999999994</v>
      </c>
      <c r="P22">
        <f t="shared" si="10"/>
        <v>19</v>
      </c>
      <c r="Q22">
        <f t="shared" si="12"/>
        <v>0</v>
      </c>
      <c r="R22">
        <f t="shared" si="13"/>
        <v>0</v>
      </c>
      <c r="S22">
        <f t="array" ref="S22">MAX(IF(ft_nq=P22,row_n))</f>
        <v>0</v>
      </c>
      <c r="T22">
        <f t="shared" si="11"/>
        <v>1</v>
      </c>
      <c r="V22" s="300">
        <f>X23</f>
        <v>90</v>
      </c>
      <c r="W22" s="300">
        <f>X23</f>
        <v>90</v>
      </c>
      <c r="X22" t="s">
        <v>1188</v>
      </c>
      <c r="Y22" s="75">
        <f t="shared" si="3"/>
        <v>21.567617257441565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차분한</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5.3585804501646336E-2</v>
      </c>
      <c r="D23" s="50">
        <f>IF(hist!$D$2&gt;0,hist!B23/hist!$D$2,0)</f>
        <v>0.55084926469817752</v>
      </c>
      <c r="E23" s="50">
        <f t="shared" si="1"/>
        <v>7.2710399246906645E-4</v>
      </c>
      <c r="F23">
        <f t="shared" si="6"/>
        <v>21</v>
      </c>
      <c r="G23" s="50">
        <f>IF(FT!A23&lt;&gt;"",FT!A23*10,"")</f>
        <v>2.93174</v>
      </c>
      <c r="H23" s="50">
        <f>IF(FT!B23&lt;&gt;"",FT!B23*100,"")</f>
        <v>62.592800000000004</v>
      </c>
      <c r="I23" s="50">
        <f t="shared" si="2"/>
        <v>1</v>
      </c>
      <c r="J23" t="str">
        <f>IF(FT!B23&lt;&gt;"",FT!E23,"")</f>
        <v>0 [8.497724]</v>
      </c>
      <c r="K23">
        <f>IF(FT!B23&lt;&gt;"",IF(FT!C23&lt;&gt;"",FT!C23,F23/$M$3*$M$4),"")</f>
        <v>8.4977199999999993</v>
      </c>
      <c r="P23">
        <f t="shared" si="10"/>
        <v>20</v>
      </c>
      <c r="Q23">
        <f t="shared" si="12"/>
        <v>0</v>
      </c>
      <c r="R23">
        <f t="shared" si="13"/>
        <v>0</v>
      </c>
      <c r="S23">
        <f t="array" ref="S23">MAX(IF(ft_nq=P23,row_n))</f>
        <v>0</v>
      </c>
      <c r="T23">
        <f t="shared" si="11"/>
        <v>1</v>
      </c>
      <c r="V23" s="300">
        <f>100-X23</f>
        <v>10</v>
      </c>
      <c r="W23" s="300">
        <f>X23</f>
        <v>90</v>
      </c>
      <c r="X23">
        <v>90</v>
      </c>
      <c r="Y23" s="75">
        <f t="shared" si="3"/>
        <v>21.350051505249443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2.9469400000000001</v>
      </c>
      <c r="H24" s="50">
        <f>IF(FT!B24&lt;&gt;"",FT!B24*100,"")</f>
        <v>62.335099999999997</v>
      </c>
      <c r="I24" s="50">
        <f t="shared" si="2"/>
        <v>1</v>
      </c>
      <c r="J24" t="str">
        <f>IF(FT!B24&lt;&gt;"",FT!E24,"")</f>
        <v>0 [8.893534]</v>
      </c>
      <c r="K24">
        <f>IF(FT!B24&lt;&gt;"",IF(FT!C24&lt;&gt;"",FT!C24,F24/$M$3*$M$4),"")</f>
        <v>8.8935300000000002</v>
      </c>
      <c r="P24">
        <f t="shared" si="10"/>
        <v>21</v>
      </c>
      <c r="Q24">
        <f t="shared" si="12"/>
        <v>0</v>
      </c>
      <c r="R24">
        <f t="shared" si="13"/>
        <v>0</v>
      </c>
      <c r="S24">
        <f t="array" ref="S24">MAX(IF(ft_nq=P24,row_n))</f>
        <v>0</v>
      </c>
      <c r="T24">
        <f t="shared" si="11"/>
        <v>1</v>
      </c>
      <c r="V24" s="300">
        <f>100-X23</f>
        <v>10</v>
      </c>
      <c r="W24" s="300">
        <f>100-X23</f>
        <v>10</v>
      </c>
      <c r="Y24" s="75">
        <f t="shared" si="3"/>
        <v>21.152483593150858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2.9615999999999998</v>
      </c>
      <c r="H25" s="50">
        <f>IF(FT!B25&lt;&gt;"",FT!B25*100,"")</f>
        <v>62.037600000000005</v>
      </c>
      <c r="I25" s="50">
        <f t="shared" si="2"/>
        <v>1</v>
      </c>
      <c r="J25" t="str">
        <f>IF(FT!B25&lt;&gt;"",FT!E25,"")</f>
        <v>0 [9.315192]</v>
      </c>
      <c r="K25">
        <f>IF(FT!B25&lt;&gt;"",IF(FT!C25&lt;&gt;"",FT!C25,F25/$M$3*$M$4),"")</f>
        <v>9.3151899999999994</v>
      </c>
      <c r="P25">
        <f t="shared" si="10"/>
        <v>22</v>
      </c>
      <c r="Q25">
        <f t="shared" si="12"/>
        <v>0</v>
      </c>
      <c r="R25">
        <f t="shared" si="13"/>
        <v>0</v>
      </c>
      <c r="S25">
        <f t="array" ref="S25">MAX(IF(ft_nq=P25,row_n))</f>
        <v>0</v>
      </c>
      <c r="T25">
        <f t="shared" si="11"/>
        <v>1</v>
      </c>
      <c r="V25" s="300">
        <f>X23</f>
        <v>90</v>
      </c>
      <c r="W25" s="300">
        <f>100-X23</f>
        <v>10</v>
      </c>
      <c r="Y25" s="75">
        <f t="shared" si="3"/>
        <v>20.947325769854135</v>
      </c>
    </row>
    <row r="26" spans="1:120">
      <c r="A26" s="50">
        <f t="shared" si="5"/>
        <v>24</v>
      </c>
      <c r="B26" s="50">
        <f t="shared" si="0"/>
        <v>0.46337976470588232</v>
      </c>
      <c r="C26" s="50">
        <f>IF(FH!$C$2&gt;0,FH!A26/FH!$C$2,0)</f>
        <v>7.077632882634935E-2</v>
      </c>
      <c r="D26" s="50">
        <f>IF(hist!$D$2&gt;0,hist!B26/hist!$D$2,0)</f>
        <v>0.54135601503995756</v>
      </c>
      <c r="E26" s="50">
        <f t="shared" si="1"/>
        <v>1.2128188079122912E-3</v>
      </c>
      <c r="F26">
        <f t="shared" si="6"/>
        <v>24</v>
      </c>
      <c r="G26" s="50">
        <f>IF(FT!A26&lt;&gt;"",FT!A26*10,"")</f>
        <v>2.9753800000000004</v>
      </c>
      <c r="H26" s="50">
        <f>IF(FT!B26&lt;&gt;"",FT!B26*100,"")</f>
        <v>61.752899999999997</v>
      </c>
      <c r="I26" s="50">
        <f t="shared" si="2"/>
        <v>1</v>
      </c>
      <c r="J26" t="str">
        <f>IF(FT!B26&lt;&gt;"",FT!E26,"")</f>
        <v>0 [9.732979]</v>
      </c>
      <c r="K26">
        <f>IF(FT!B26&lt;&gt;"",IF(FT!C26&lt;&gt;"",FT!C26,F26/$M$3*$M$4),"")</f>
        <v>9.7329799999999995</v>
      </c>
      <c r="P26">
        <f t="shared" si="10"/>
        <v>23</v>
      </c>
      <c r="Q26">
        <f t="shared" si="12"/>
        <v>0</v>
      </c>
      <c r="R26">
        <f t="shared" si="13"/>
        <v>0</v>
      </c>
      <c r="S26">
        <f t="array" ref="S26">MAX(IF(ft_nq=P26,row_n))</f>
        <v>0</v>
      </c>
      <c r="T26">
        <f t="shared" si="11"/>
        <v>1</v>
      </c>
      <c r="V26" s="300">
        <f>X23</f>
        <v>90</v>
      </c>
      <c r="W26" s="300">
        <f>X23</f>
        <v>90</v>
      </c>
      <c r="Y26" s="75">
        <f t="shared" si="3"/>
        <v>20.754626299833966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2.98916</v>
      </c>
      <c r="H27" s="50">
        <f>IF(FT!B27&lt;&gt;"",FT!B27*100,"")</f>
        <v>61.463999999999999</v>
      </c>
      <c r="I27" s="50">
        <f t="shared" si="2"/>
        <v>1</v>
      </c>
      <c r="J27" t="str">
        <f>IF(FT!B27&lt;&gt;"",FT!E27,"")</f>
        <v>0 [10.112887]</v>
      </c>
      <c r="K27">
        <f>IF(FT!B27&lt;&gt;"",IF(FT!C27&lt;&gt;"",FT!C27,F27/$M$3*$M$4),"")</f>
        <v>10.1129</v>
      </c>
      <c r="P27">
        <f t="shared" si="10"/>
        <v>24</v>
      </c>
      <c r="Q27">
        <f t="shared" si="12"/>
        <v>0</v>
      </c>
      <c r="R27">
        <f t="shared" si="13"/>
        <v>0</v>
      </c>
      <c r="S27">
        <f t="array" ref="S27">MAX(IF(ft_nq=P27,row_n))</f>
        <v>0</v>
      </c>
      <c r="T27">
        <f t="shared" si="11"/>
        <v>1</v>
      </c>
      <c r="V27" s="288">
        <v>60</v>
      </c>
      <c r="W27" s="288">
        <v>60</v>
      </c>
      <c r="X27" t="s">
        <v>1189</v>
      </c>
      <c r="Y27" s="75">
        <f t="shared" si="3"/>
        <v>20.562298438357264</v>
      </c>
      <c r="AS27" t="s">
        <v>2144</v>
      </c>
    </row>
    <row r="28" spans="1:120">
      <c r="A28" s="50">
        <f t="shared" si="5"/>
        <v>26</v>
      </c>
      <c r="B28" s="50">
        <f t="shared" si="0"/>
        <v>0.50199474509803921</v>
      </c>
      <c r="C28" s="50">
        <f>IF(FH!$C$2&gt;0,FH!A28/FH!$C$2,0)</f>
        <v>5.1309560744202808E-2</v>
      </c>
      <c r="D28" s="50">
        <f>IF(hist!$D$2&gt;0,hist!B28/hist!$D$2,0)</f>
        <v>0.51171408550978004</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5.6202323882344703E-2</v>
      </c>
      <c r="D31" s="50">
        <f>IF(hist!$D$2&gt;0,hist!B31/hist!$D$2,0)</f>
        <v>0.46948451239478495</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즐겁고 행복한 상태이지만 심리적 정보가 감소하는  정서 상태이다.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9.058317236961938E-2</v>
      </c>
      <c r="D33" s="50">
        <f>IF(hist!$D$2&gt;0,hist!B33/hist!$D$2,0)</f>
        <v>0.42298821514995305</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0.32106400000000002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기쁘고 행복한 안정된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67.893599999999992</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44.048000000000002</v>
      </c>
      <c r="W35" s="23">
        <f>IF(FH_info!G2*1&lt;&gt;0,(1-NORMSDIST((FH_info!G2*1-0.5308)/0.1538))*100,0)</f>
        <v>91.366791294782374</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0.134592620022218</v>
      </c>
      <c r="D36" s="50">
        <f>IF(hist!$D$2&gt;0,hist!B36/hist!$D$2,0)</f>
        <v>0.36385429667476887</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1.3214399999999999</v>
      </c>
      <c r="W36" s="495">
        <f>IF(W34&gt;=60,30/40*(W34-60)+70,IF(W34&gt;=35,35/25*(W34-35)+35,IF(W34&gt;=0,W34,0)))</f>
        <v>75.920199999999994</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즐거움이 큰 행복하고 안정된 상태이다.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0.1202542059067845</v>
      </c>
      <c r="D39" s="50">
        <f>IF(hist!$D$2&gt;0,hist!B39/hist!$D$2,0)</f>
        <v>0.32269700668914558</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보통이며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0.1093173470511114</v>
      </c>
      <c r="D41" s="50">
        <f>IF(hist!$D$2&gt;0,hist!B41/hist!$D$2,0)</f>
        <v>0.26474288724237005</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9.62514</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0.13443569291125812</v>
      </c>
      <c r="D44" s="50">
        <f>IF(hist!$D$2&gt;0,hist!B44/hist!$D$2,0)</f>
        <v>0.21396739488005262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0.20811657442528447</v>
      </c>
      <c r="D46" s="50">
        <f>IF(hist!$D$2&gt;0,hist!B46/hist!$D$2,0)</f>
        <v>0.17763919943556025</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0.38792221699576662</v>
      </c>
      <c r="D49" s="50">
        <f>IF(hist!$D$2&gt;0,hist!B49/hist!$D$2,0)</f>
        <v>0.14526527079512522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0.3598214553788569</v>
      </c>
      <c r="D51" s="50">
        <f>IF(hist!$D$2&gt;0,hist!B51/hist!$D$2,0)</f>
        <v>0.12395177352435556</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60.668766465184433</v>
      </c>
      <c r="W52" s="303">
        <f ca="1">100-N9</f>
        <v>32.785707692307696</v>
      </c>
      <c r="X52" t="str">
        <f ca="1">"(" &amp; ROUND(V52,1) &amp; " , " &amp; ROUND(100-W52,1) &amp; ")"</f>
        <v>(60.7 , 67.2)</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0.29943254035768974</v>
      </c>
      <c r="D54" s="50">
        <f>IF(hist!$D$2&gt;0,hist!B54/hist!$D$2,0)</f>
        <v>0.10038118428475966</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0.38187732062971003</v>
      </c>
      <c r="D57" s="50">
        <f>IF(hist!$D$2&gt;0,hist!B57/hist!$D$2,0)</f>
        <v>8.8080992949750275E-2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0.37128073739729178</v>
      </c>
      <c r="D59" s="50">
        <f>IF(hist!$D$2&gt;0,hist!B59/hist!$D$2,0)</f>
        <v>7.7083056104667383E-2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0.51042744623144742</v>
      </c>
      <c r="D62" s="50">
        <f>IF(hist!$D$2&gt;0,hist!B62/hist!$D$2,0)</f>
        <v>6.9064555231958299E-2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0.60757613667070332</v>
      </c>
      <c r="D64" s="50">
        <f>IF(hist!$D$2&gt;0,hist!B64/hist!$D$2,0)</f>
        <v>5.8421548202329115E-2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0.5767291506119957</v>
      </c>
      <c r="D67" s="50">
        <f>IF(hist!$D$2&gt;0,hist!B67/hist!$D$2,0)</f>
        <v>4.9030808456383593E-2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0.68936838839459968</v>
      </c>
      <c r="D69" s="50">
        <f>IF(hist!$D$2&gt;0,hist!B69/hist!$D$2,0)</f>
        <v>4.1092298204084464E-2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0.76359851479698559</v>
      </c>
      <c r="D72" s="50">
        <f>IF(hist!$D$2&gt;0,hist!B72/hist!$D$2,0)</f>
        <v>3.3198776819832215E-2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0.84455408881193772</v>
      </c>
      <c r="D75" s="50">
        <f>IF(hist!$D$2&gt;0,hist!B75/hist!$D$2,0)</f>
        <v>2.4785353689676881E-2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1</v>
      </c>
      <c r="D77" s="50">
        <f>IF(hist!$D$2&gt;0,hist!B77/hist!$D$2,0)</f>
        <v>2.0091233401253111E-2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0.83686185810506508</v>
      </c>
      <c r="D80" s="50">
        <f>IF(hist!$D$2&gt;0,hist!B80/hist!$D$2,0)</f>
        <v>1.5172155387603572E-2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0.64342317276994365</v>
      </c>
      <c r="D82" s="50">
        <f>IF(hist!$D$2&gt;0,hist!B82/hist!$D$2,0)</f>
        <v>1.0560521064404494E-2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0.57848257088241484</v>
      </c>
      <c r="D85" s="50">
        <f>IF(hist!$D$2&gt;0,hist!B85/hist!$D$2,0)</f>
        <v>7.7585471315451083E-3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0.42774447302314877</v>
      </c>
      <c r="D88" s="50">
        <f>IF(hist!$D$2&gt;0,hist!B88/hist!$D$2,0)</f>
        <v>5.091545539251242E-3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0.39271009517709343</v>
      </c>
      <c r="D90" s="50">
        <f>IF(hist!$D$2&gt;0,hist!B90/hist!$D$2,0)</f>
        <v>3.544336147031881E-3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0.34891061760025621</v>
      </c>
      <c r="D93" s="50">
        <f>IF(hist!$D$2&gt;0,hist!B93/hist!$D$2,0)</f>
        <v>2.3295640483844029E-3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0.21217185920595683</v>
      </c>
      <c r="D95" s="50">
        <f>IF(hist!$D$2&gt;0,hist!B95/hist!$D$2,0)</f>
        <v>1.1697813184589722E-3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0.12797285801499214</v>
      </c>
      <c r="D98" s="50">
        <f>IF(hist!$D$2&gt;0,hist!B98/hist!$D$2,0)</f>
        <v>6.8987010240680947E-4</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9.6941322471201671E-2</v>
      </c>
      <c r="D100" s="50">
        <f>IF(hist!$D$2&gt;0,hist!B100/hist!$D$2,0)</f>
        <v>4.649123771810403E-4</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6.3319288623785275E-2</v>
      </c>
      <c r="D103" s="50">
        <f>IF(hist!$D$2&gt;0,hist!B103/hist!$D$2,0)</f>
        <v>3.2243870503834171E-4</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4.9425634764158968E-2</v>
      </c>
      <c r="D106" s="50">
        <f>IF(hist!$D$2&gt;0,hist!B106/hist!$D$2,0)</f>
        <v>2.6245099812033417E-4</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2.7342347301314063E-2</v>
      </c>
      <c r="D108" s="50">
        <f>IF(hist!$D$2&gt;0,hist!B108/hist!$D$2,0)</f>
        <v>1.1997732597763554E-4</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2.7865771274732536E-2</v>
      </c>
      <c r="D111" s="50">
        <f>IF(hist!$D$2&gt;0,hist!B111/hist!$D$2,0)</f>
        <v>8.4983222181050829E-5</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4.5265465026671607E-3</v>
      </c>
      <c r="D113" s="50">
        <f>IF(hist!$D$2&gt;0,hist!B113/hist!$D$2,0)</f>
        <v>2.749468436102353E-5</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1.7268887799117287E-3</v>
      </c>
      <c r="D116" s="50">
        <f>IF(hist!$D$2&gt;0,hist!B116/hist!$D$2,0)</f>
        <v>1.9997177067082837E-5</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8.3728019695953726E-4</v>
      </c>
      <c r="D118" s="50">
        <f>IF(hist!$D$2&gt;0,hist!B118/hist!$D$2,0)</f>
        <v>7.4994194355611865E-6</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8.3728019695953726E-4</v>
      </c>
      <c r="D121" s="50">
        <f>IF(hist!$D$2&gt;0,hist!B121/hist!$D$2,0)</f>
        <v>1.9997177067082837E-5</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1.6745583922977612E-3</v>
      </c>
      <c r="D124" s="50">
        <f>IF(hist!$D$2&gt;0,hist!B124/hist!$D$2,0)</f>
        <v>7.4994194355611865E-6</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2.5641769833565187E-3</v>
      </c>
      <c r="D126" s="50">
        <f>IF(hist!$D$2&gt;0,hist!B126/hist!$D$2,0)</f>
        <v>7.4994194355611865E-6</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8.6344539076652093E-4</v>
      </c>
      <c r="D129" s="50">
        <f>IF(hist!$D$2&gt;0,hist!B129/hist!$D$2,0)</f>
        <v>2.499169097980232E-6</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8.6344539076652093E-4</v>
      </c>
      <c r="D131" s="50">
        <f>IF(hist!$D$2&gt;0,hist!B131/hist!$D$2,0)</f>
        <v>2.499169097980232E-6</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8.8960858295219136E-4</v>
      </c>
      <c r="D134" s="50">
        <f>IF(hist!$D$2&gt;0,hist!B134/hist!$D$2,0)</f>
        <v>2.499169097980232E-6</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8.8960858295219136E-4</v>
      </c>
      <c r="D136" s="50">
        <f>IF(hist!$D$2&gt;0,hist!B136/hist!$D$2,0)</f>
        <v>2.499169097980232E-6</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26.3141</v>
      </c>
      <c r="C5" s="49">
        <v>3.7746200000000001</v>
      </c>
      <c r="D5" s="49">
        <v>14.3444</v>
      </c>
      <c r="E5" s="49">
        <v>20</v>
      </c>
      <c r="F5" s="49">
        <v>17.1249</v>
      </c>
      <c r="G5" s="49">
        <v>50</v>
      </c>
      <c r="H5" s="49">
        <v>30.9802</v>
      </c>
    </row>
    <row r="6" spans="1:10">
      <c r="A6" t="s">
        <v>1111</v>
      </c>
      <c r="B6" s="49">
        <v>30.8871</v>
      </c>
      <c r="C6" s="49">
        <v>2.3598300000000001</v>
      </c>
      <c r="D6" s="49">
        <v>7.6402000000000001</v>
      </c>
      <c r="E6" s="49">
        <v>20</v>
      </c>
      <c r="F6" s="49">
        <v>24.437100000000001</v>
      </c>
      <c r="G6" s="49">
        <v>40</v>
      </c>
      <c r="H6" s="49">
        <v>32.9756</v>
      </c>
    </row>
    <row r="7" spans="1:10">
      <c r="A7" t="s">
        <v>1112</v>
      </c>
      <c r="B7" s="49">
        <v>32.970500000000001</v>
      </c>
      <c r="C7" s="49">
        <v>3.31765</v>
      </c>
      <c r="D7" s="49">
        <v>10.0625</v>
      </c>
      <c r="E7" s="49">
        <v>15</v>
      </c>
      <c r="F7" s="49">
        <v>22.858000000000001</v>
      </c>
      <c r="G7" s="49">
        <v>40</v>
      </c>
      <c r="H7" s="49">
        <v>40.793100000000003</v>
      </c>
    </row>
    <row r="8" spans="1:10">
      <c r="A8" t="s">
        <v>1113</v>
      </c>
      <c r="B8" s="49">
        <v>28.881499999999999</v>
      </c>
      <c r="C8" s="49">
        <v>2.8683800000000002</v>
      </c>
      <c r="D8" s="49">
        <v>9.9315300000000004</v>
      </c>
      <c r="E8" s="49">
        <v>20</v>
      </c>
      <c r="F8" s="49">
        <v>22.9224</v>
      </c>
      <c r="G8" s="49">
        <v>50</v>
      </c>
      <c r="H8" s="49">
        <v>32.778300000000002</v>
      </c>
    </row>
    <row r="9" spans="1:10">
      <c r="A9" t="s">
        <v>1114</v>
      </c>
      <c r="B9" s="49">
        <v>73.754999999999995</v>
      </c>
      <c r="C9" s="49">
        <v>2.5829200000000001</v>
      </c>
      <c r="D9" s="49">
        <v>3.50203</v>
      </c>
      <c r="E9" s="49">
        <v>50</v>
      </c>
      <c r="F9" s="49">
        <v>67.637200000000007</v>
      </c>
      <c r="G9" s="49">
        <v>100</v>
      </c>
      <c r="H9" s="49">
        <v>77.193899999999999</v>
      </c>
    </row>
    <row r="10" spans="1:10">
      <c r="A10" t="s">
        <v>1115</v>
      </c>
      <c r="B10" s="49">
        <v>64.902000000000001</v>
      </c>
      <c r="C10" s="49">
        <v>2.7580300000000002</v>
      </c>
      <c r="D10" s="49">
        <v>4.2495399999999997</v>
      </c>
      <c r="E10" s="49">
        <v>40</v>
      </c>
      <c r="F10" s="49">
        <v>61.854799999999997</v>
      </c>
      <c r="G10" s="49">
        <v>100</v>
      </c>
      <c r="H10" s="49">
        <v>71.318600000000004</v>
      </c>
    </row>
    <row r="11" spans="1:10">
      <c r="A11" t="s">
        <v>1116</v>
      </c>
      <c r="B11" s="49">
        <v>19.652699999999999</v>
      </c>
      <c r="C11" s="49">
        <v>2.1507800000000001</v>
      </c>
      <c r="D11" s="49">
        <v>10.943899999999999</v>
      </c>
      <c r="E11" s="49">
        <v>10</v>
      </c>
      <c r="F11" s="49">
        <v>13.6029</v>
      </c>
      <c r="G11" s="49">
        <v>50</v>
      </c>
      <c r="H11" s="49">
        <v>22.097799999999999</v>
      </c>
    </row>
    <row r="12" spans="1:10">
      <c r="A12" t="s">
        <v>1117</v>
      </c>
      <c r="B12" s="49">
        <v>69.063500000000005</v>
      </c>
      <c r="C12" s="49">
        <v>1.7383999999999999</v>
      </c>
      <c r="D12" s="49">
        <v>2.5171000000000001</v>
      </c>
      <c r="E12" s="49">
        <v>50</v>
      </c>
      <c r="F12" s="49">
        <v>66.400199999999998</v>
      </c>
      <c r="G12" s="49">
        <v>100</v>
      </c>
      <c r="H12" s="49">
        <v>73.847300000000004</v>
      </c>
    </row>
    <row r="13" spans="1:10">
      <c r="A13" t="s">
        <v>1118</v>
      </c>
      <c r="B13" s="49">
        <v>16.4633</v>
      </c>
      <c r="C13" s="49">
        <v>1.44407</v>
      </c>
      <c r="D13" s="49">
        <v>8.7714700000000008</v>
      </c>
      <c r="E13" s="49">
        <v>10</v>
      </c>
      <c r="F13" s="49">
        <v>12.981299999999999</v>
      </c>
      <c r="G13" s="49">
        <v>25</v>
      </c>
      <c r="H13" s="49">
        <v>17.977900000000002</v>
      </c>
      <c r="J13" s="49"/>
    </row>
    <row r="14" spans="1:10">
      <c r="A14" t="s">
        <v>1119</v>
      </c>
      <c r="B14" s="49">
        <v>14.4407</v>
      </c>
      <c r="C14" s="49">
        <v>3.5074700000000001</v>
      </c>
      <c r="D14" s="49">
        <v>24.288699999999999</v>
      </c>
      <c r="E14" s="49">
        <v>10</v>
      </c>
      <c r="F14" s="49">
        <v>0.69580200000000003</v>
      </c>
      <c r="G14" s="49">
        <v>50</v>
      </c>
      <c r="H14" s="49">
        <v>14.7774</v>
      </c>
    </row>
    <row r="15" spans="1:10">
      <c r="A15" t="s">
        <v>1120</v>
      </c>
      <c r="B15" s="49">
        <v>-6.1993699999999999E-2</v>
      </c>
      <c r="C15" s="49">
        <v>0</v>
      </c>
      <c r="D15" s="49">
        <v>0</v>
      </c>
      <c r="E15" s="49">
        <v>0</v>
      </c>
      <c r="F15" s="49">
        <v>0</v>
      </c>
      <c r="G15" s="49">
        <v>0</v>
      </c>
      <c r="H15" s="49">
        <v>0</v>
      </c>
    </row>
    <row r="16" spans="1:10">
      <c r="A16" t="s">
        <v>1121</v>
      </c>
      <c r="B16" s="49">
        <v>-0.137937</v>
      </c>
      <c r="C16" s="49">
        <v>0</v>
      </c>
      <c r="D16" s="49">
        <v>0</v>
      </c>
      <c r="E16" s="49">
        <v>0</v>
      </c>
      <c r="F16" s="49">
        <v>0</v>
      </c>
      <c r="G16" s="49">
        <v>0</v>
      </c>
      <c r="H16" s="49">
        <v>0</v>
      </c>
    </row>
    <row r="17" spans="1:8">
      <c r="A17" t="s">
        <v>1122</v>
      </c>
      <c r="B17" s="49">
        <v>9.62514</v>
      </c>
      <c r="C17" s="49">
        <v>0</v>
      </c>
      <c r="D17" s="49">
        <v>0</v>
      </c>
      <c r="E17" s="49">
        <v>0</v>
      </c>
      <c r="F17" s="49">
        <v>0</v>
      </c>
      <c r="G17" s="49">
        <v>0</v>
      </c>
      <c r="H17" s="49">
        <v>0</v>
      </c>
    </row>
    <row r="18" spans="1:8">
      <c r="A18" t="s">
        <v>1123</v>
      </c>
      <c r="B18" s="49">
        <v>0.84017900000000001</v>
      </c>
      <c r="C18" s="49">
        <v>0</v>
      </c>
      <c r="D18" s="49">
        <v>0</v>
      </c>
      <c r="E18" s="49">
        <v>0</v>
      </c>
      <c r="F18" s="49">
        <v>0</v>
      </c>
      <c r="G18" s="49">
        <v>0</v>
      </c>
      <c r="H18" s="49">
        <v>0</v>
      </c>
    </row>
    <row r="19" spans="1:8">
      <c r="A19" t="s">
        <v>1124</v>
      </c>
      <c r="B19" s="49">
        <v>0.66711299999999996</v>
      </c>
      <c r="C19" s="49">
        <v>0</v>
      </c>
      <c r="D19" s="49">
        <v>0</v>
      </c>
      <c r="E19" s="49">
        <v>0</v>
      </c>
      <c r="F19" s="49">
        <v>0</v>
      </c>
      <c r="G19" s="49">
        <v>0</v>
      </c>
      <c r="H19" s="49">
        <v>0</v>
      </c>
    </row>
    <row r="20" spans="1:8">
      <c r="A20" t="s">
        <v>1125</v>
      </c>
      <c r="B20" s="49">
        <v>3.8321800000000003E-2</v>
      </c>
      <c r="C20" s="49">
        <v>0.228187</v>
      </c>
      <c r="D20" s="49">
        <v>5.9545000000000003</v>
      </c>
      <c r="E20" s="49">
        <v>0</v>
      </c>
      <c r="F20" s="49">
        <v>1.2352500000000001E-2</v>
      </c>
      <c r="G20" s="49">
        <v>0</v>
      </c>
      <c r="H20" s="49">
        <v>1.6225700000000001</v>
      </c>
    </row>
    <row r="21" spans="1:8">
      <c r="A21" t="s">
        <v>1126</v>
      </c>
      <c r="B21" s="49">
        <v>0.20374</v>
      </c>
      <c r="C21" s="49">
        <v>0.78954800000000003</v>
      </c>
      <c r="D21" s="49">
        <v>3.87527</v>
      </c>
      <c r="E21" s="49">
        <v>0</v>
      </c>
      <c r="F21" s="49">
        <v>3.7109700000000002E-2</v>
      </c>
      <c r="G21" s="49">
        <v>0</v>
      </c>
      <c r="H21" s="49">
        <v>3.68974</v>
      </c>
    </row>
    <row r="22" spans="1:8">
      <c r="A22" t="s">
        <v>1127</v>
      </c>
      <c r="B22" s="49">
        <v>60.652799999999999</v>
      </c>
      <c r="C22" s="49">
        <v>31.566299999999998</v>
      </c>
      <c r="D22" s="49">
        <v>0.52044199999999996</v>
      </c>
      <c r="E22" s="49">
        <v>0</v>
      </c>
      <c r="F22" s="49">
        <v>31.473400000000002</v>
      </c>
      <c r="G22" s="49">
        <v>0</v>
      </c>
      <c r="H22" s="49">
        <v>135.68100000000001</v>
      </c>
    </row>
    <row r="23" spans="1:8">
      <c r="A23" t="s">
        <v>1128</v>
      </c>
      <c r="B23" s="49">
        <v>27.415800000000001</v>
      </c>
      <c r="C23" s="49">
        <v>2.92245</v>
      </c>
      <c r="D23" s="49">
        <v>0.106597</v>
      </c>
      <c r="E23" s="49">
        <v>0</v>
      </c>
      <c r="F23" s="49">
        <v>18.745899999999999</v>
      </c>
      <c r="G23" s="49">
        <v>0</v>
      </c>
      <c r="H23" s="49">
        <v>28.8368</v>
      </c>
    </row>
    <row r="24" spans="1:8">
      <c r="A24" t="s">
        <v>1129</v>
      </c>
      <c r="B24" s="49">
        <v>5.1509899999999997E-2</v>
      </c>
      <c r="C24" s="49">
        <v>0.19986999999999999</v>
      </c>
      <c r="D24" s="49">
        <v>3.88022</v>
      </c>
      <c r="E24" s="49">
        <v>0</v>
      </c>
      <c r="F24" s="49">
        <v>1.61397E-2</v>
      </c>
      <c r="G24" s="49">
        <v>0</v>
      </c>
      <c r="H24" s="49">
        <v>0.98001099999999997</v>
      </c>
    </row>
    <row r="25" spans="1:8">
      <c r="A25" t="s">
        <v>1130</v>
      </c>
      <c r="B25" s="49">
        <v>0.27341399999999999</v>
      </c>
      <c r="C25" s="49">
        <v>0.58883300000000005</v>
      </c>
      <c r="D25" s="49">
        <v>2.1536300000000002</v>
      </c>
      <c r="E25" s="49">
        <v>0</v>
      </c>
      <c r="F25" s="49">
        <v>6.6050999999999999E-2</v>
      </c>
      <c r="G25" s="49">
        <v>0</v>
      </c>
      <c r="H25" s="49">
        <v>1.81735</v>
      </c>
    </row>
    <row r="26" spans="1:8">
      <c r="A26" t="s">
        <v>1131</v>
      </c>
      <c r="B26" s="49">
        <v>6.1119700000000004E-3</v>
      </c>
      <c r="C26" s="49">
        <v>1.3831299999999999E-2</v>
      </c>
      <c r="D26" s="49">
        <v>2.2629800000000002</v>
      </c>
      <c r="E26" s="49">
        <v>0</v>
      </c>
      <c r="F26" s="173">
        <v>2.4724999999999999E-3</v>
      </c>
      <c r="G26" s="49">
        <v>0</v>
      </c>
      <c r="H26" s="49">
        <v>7.78031E-2</v>
      </c>
    </row>
    <row r="27" spans="1:8">
      <c r="A27" t="s">
        <v>1132</v>
      </c>
      <c r="B27" s="173">
        <v>-2.2913800000000001E-5</v>
      </c>
      <c r="C27" s="49">
        <v>7.9278200000000004E-3</v>
      </c>
      <c r="D27" s="49">
        <v>-345.98500000000001</v>
      </c>
      <c r="E27" s="49">
        <v>0</v>
      </c>
      <c r="F27" s="49">
        <v>-4.0219100000000001E-2</v>
      </c>
      <c r="G27" s="49">
        <v>0</v>
      </c>
      <c r="H27" s="49">
        <v>4.9494799999999999E-2</v>
      </c>
    </row>
    <row r="28" spans="1:8">
      <c r="A28" t="s">
        <v>1133</v>
      </c>
      <c r="B28" s="49">
        <v>1.61274E-2</v>
      </c>
      <c r="C28" s="49">
        <v>3.09929E-2</v>
      </c>
      <c r="D28" s="49">
        <v>1.9217500000000001</v>
      </c>
      <c r="E28" s="49">
        <v>0</v>
      </c>
      <c r="F28" s="49">
        <v>6.3259600000000003E-3</v>
      </c>
      <c r="G28" s="49">
        <v>0</v>
      </c>
      <c r="H28" s="49">
        <v>0.124111</v>
      </c>
    </row>
    <row r="29" spans="1:8">
      <c r="A29" t="s">
        <v>1134</v>
      </c>
      <c r="B29" s="49">
        <v>73.09</v>
      </c>
      <c r="C29" s="49">
        <v>9.7844300000000004</v>
      </c>
      <c r="D29" s="49">
        <v>0.13386799999999999</v>
      </c>
      <c r="E29" s="49">
        <v>0</v>
      </c>
      <c r="F29" s="49">
        <v>52.769399999999997</v>
      </c>
      <c r="G29" s="49">
        <v>0</v>
      </c>
      <c r="H29" s="49">
        <v>90.208100000000002</v>
      </c>
    </row>
    <row r="30" spans="1:8">
      <c r="A30" t="s">
        <v>1135</v>
      </c>
      <c r="B30" s="49">
        <v>21.833300000000001</v>
      </c>
      <c r="C30" s="49">
        <v>2.0509499999999998</v>
      </c>
      <c r="D30" s="49">
        <v>9.3937000000000007E-2</v>
      </c>
      <c r="E30" s="49">
        <v>0</v>
      </c>
      <c r="F30" s="49">
        <v>17.077200000000001</v>
      </c>
      <c r="G30" s="49">
        <v>0</v>
      </c>
      <c r="H30" s="49">
        <v>23.847200000000001</v>
      </c>
    </row>
    <row r="31" spans="1:8">
      <c r="A31" t="s">
        <v>1136</v>
      </c>
      <c r="B31" s="49">
        <v>141.779</v>
      </c>
      <c r="C31" s="49">
        <v>15.9376</v>
      </c>
      <c r="D31" s="49">
        <v>0.112412</v>
      </c>
      <c r="E31" s="49">
        <v>0</v>
      </c>
      <c r="F31" s="49">
        <v>91.290899999999993</v>
      </c>
      <c r="G31" s="49">
        <v>0</v>
      </c>
      <c r="H31" s="49">
        <v>149.66900000000001</v>
      </c>
    </row>
    <row r="32" spans="1:8">
      <c r="A32" t="s">
        <v>1137</v>
      </c>
      <c r="B32" s="49">
        <v>0.32970500000000003</v>
      </c>
      <c r="C32" s="49">
        <v>3.3176499999999998E-2</v>
      </c>
      <c r="D32" s="49">
        <v>0.10062500000000001</v>
      </c>
      <c r="E32" s="49">
        <v>0.15</v>
      </c>
      <c r="F32" s="49">
        <v>0.22858000000000001</v>
      </c>
      <c r="G32" s="49">
        <v>0.4</v>
      </c>
      <c r="H32" s="49">
        <v>0.40793099999999999</v>
      </c>
    </row>
    <row r="33" spans="1:8">
      <c r="A33" t="s">
        <v>1138</v>
      </c>
      <c r="B33" s="49">
        <v>0.252834</v>
      </c>
      <c r="C33" s="49">
        <v>9.40912E-3</v>
      </c>
      <c r="D33" s="49">
        <v>3.7214499999999998E-2</v>
      </c>
      <c r="E33" s="49">
        <v>0</v>
      </c>
      <c r="F33" s="49">
        <v>0.2233</v>
      </c>
      <c r="G33" s="49">
        <v>0</v>
      </c>
      <c r="H33" s="49">
        <v>0.292514</v>
      </c>
    </row>
    <row r="34" spans="1:8">
      <c r="A34" t="s">
        <v>1139</v>
      </c>
      <c r="B34" s="49">
        <v>0.164633</v>
      </c>
      <c r="C34" s="49">
        <v>1.4440700000000001E-2</v>
      </c>
      <c r="D34" s="49">
        <v>8.7714600000000004E-2</v>
      </c>
      <c r="E34" s="49">
        <v>0.1</v>
      </c>
      <c r="F34" s="49">
        <v>0.12981300000000001</v>
      </c>
      <c r="G34" s="49">
        <v>0.25</v>
      </c>
      <c r="H34" s="49">
        <v>0.17977899999999999</v>
      </c>
    </row>
    <row r="35" spans="1:8">
      <c r="A35" t="s">
        <v>1140</v>
      </c>
      <c r="B35" s="49">
        <v>7.0728700000000005E-2</v>
      </c>
      <c r="C35" s="49">
        <v>1.2648100000000001E-2</v>
      </c>
      <c r="D35" s="49">
        <v>0.17882500000000001</v>
      </c>
      <c r="E35" s="49">
        <v>0</v>
      </c>
      <c r="F35" s="49">
        <v>4.6025099999999999E-2</v>
      </c>
      <c r="G35" s="49">
        <v>0</v>
      </c>
      <c r="H35" s="49">
        <v>9.3657299999999999E-2</v>
      </c>
    </row>
    <row r="36" spans="1:8">
      <c r="A36" t="s">
        <v>1141</v>
      </c>
      <c r="B36" s="49">
        <v>0.145372</v>
      </c>
      <c r="C36" s="49">
        <v>7.3778700000000003E-2</v>
      </c>
      <c r="D36" s="49">
        <v>0.50751599999999997</v>
      </c>
      <c r="E36" s="49">
        <v>0</v>
      </c>
      <c r="F36" s="49">
        <v>4.1279400000000001E-2</v>
      </c>
      <c r="G36" s="49">
        <v>0</v>
      </c>
      <c r="H36" s="49">
        <v>0.380079</v>
      </c>
    </row>
    <row r="37" spans="1:8">
      <c r="A37" t="s">
        <v>1142</v>
      </c>
      <c r="B37" s="49">
        <v>0.14440700000000001</v>
      </c>
      <c r="C37" s="49">
        <v>3.50747E-2</v>
      </c>
      <c r="D37" s="49">
        <v>0.24288699999999999</v>
      </c>
      <c r="E37" s="49">
        <v>0.1</v>
      </c>
      <c r="F37" s="49">
        <v>6.9580199999999997E-3</v>
      </c>
      <c r="G37" s="49">
        <v>0.5</v>
      </c>
      <c r="H37" s="49">
        <v>0.14777399999999999</v>
      </c>
    </row>
    <row r="38" spans="1:8">
      <c r="A38" t="s">
        <v>1143</v>
      </c>
      <c r="B38" s="49">
        <v>-102.6</v>
      </c>
      <c r="C38" s="49">
        <v>124.113</v>
      </c>
      <c r="D38" s="49">
        <v>-1.2096800000000001</v>
      </c>
      <c r="E38" s="49">
        <v>0</v>
      </c>
      <c r="F38" s="49">
        <v>-412.726</v>
      </c>
      <c r="G38" s="49">
        <v>0</v>
      </c>
      <c r="H38" s="49">
        <v>77.042299999999997</v>
      </c>
    </row>
    <row r="39" spans="1:8">
      <c r="A39" t="s">
        <v>1144</v>
      </c>
      <c r="B39" s="49">
        <v>-39.374099999999999</v>
      </c>
      <c r="C39" s="49">
        <v>24.008800000000001</v>
      </c>
      <c r="D39" s="49">
        <v>-0.609761</v>
      </c>
      <c r="E39" s="49">
        <v>0</v>
      </c>
      <c r="F39" s="49">
        <v>-77.556799999999996</v>
      </c>
      <c r="G39" s="49">
        <v>0</v>
      </c>
      <c r="H39" s="49">
        <v>4.2129700000000003</v>
      </c>
    </row>
    <row r="40" spans="1:8">
      <c r="A40" t="s">
        <v>1145</v>
      </c>
      <c r="B40" s="49">
        <v>-7.8446999999999996</v>
      </c>
      <c r="C40" s="49">
        <v>3.4991400000000001</v>
      </c>
      <c r="D40" s="49">
        <v>-0.44605099999999998</v>
      </c>
      <c r="E40" s="49">
        <v>0</v>
      </c>
      <c r="F40" s="49">
        <v>-9.2124100000000002</v>
      </c>
      <c r="G40" s="49">
        <v>0</v>
      </c>
      <c r="H40" s="49">
        <v>1.7991200000000001</v>
      </c>
    </row>
    <row r="41" spans="1:8">
      <c r="A41" t="s">
        <v>1146</v>
      </c>
      <c r="B41" s="49">
        <v>-0.40250999999999998</v>
      </c>
      <c r="C41" s="49">
        <v>0.34547600000000001</v>
      </c>
      <c r="D41" s="49">
        <v>-0.85830300000000004</v>
      </c>
      <c r="E41" s="49">
        <v>0</v>
      </c>
      <c r="F41" s="49">
        <v>-0.963893</v>
      </c>
      <c r="G41" s="49">
        <v>0</v>
      </c>
      <c r="H41" s="49">
        <v>0.44278600000000001</v>
      </c>
    </row>
    <row r="42" spans="1:8">
      <c r="A42" t="s">
        <v>1147</v>
      </c>
      <c r="B42" s="49">
        <v>-0.34165099999999998</v>
      </c>
      <c r="C42" s="49">
        <v>0.20724600000000001</v>
      </c>
      <c r="D42" s="49">
        <v>-0.60660000000000003</v>
      </c>
      <c r="E42" s="49">
        <v>0</v>
      </c>
      <c r="F42" s="49">
        <v>-0.69057999999999997</v>
      </c>
      <c r="G42" s="49">
        <v>0</v>
      </c>
      <c r="H42" s="49">
        <v>8.2633100000000001E-2</v>
      </c>
    </row>
    <row r="43" spans="1:8">
      <c r="A43" t="s">
        <v>1148</v>
      </c>
      <c r="B43" s="49">
        <v>-0.14535400000000001</v>
      </c>
      <c r="C43" s="49">
        <v>8.4366700000000003E-2</v>
      </c>
      <c r="D43" s="49">
        <v>-0.58042300000000002</v>
      </c>
      <c r="E43" s="49">
        <v>0</v>
      </c>
      <c r="F43" s="49">
        <v>-0.153835</v>
      </c>
      <c r="G43" s="49">
        <v>0</v>
      </c>
      <c r="H43" s="49">
        <v>0.13276299999999999</v>
      </c>
    </row>
    <row r="44" spans="1:8">
      <c r="A44" t="s">
        <v>1149</v>
      </c>
      <c r="B44" s="49">
        <v>2.8564699999999998</v>
      </c>
      <c r="C44" s="49">
        <v>5.8381400000000001</v>
      </c>
      <c r="D44" s="49">
        <v>2.0438299999999998</v>
      </c>
      <c r="E44" s="49">
        <v>0</v>
      </c>
      <c r="F44" s="49">
        <v>-18.492100000000001</v>
      </c>
      <c r="G44" s="49">
        <v>0</v>
      </c>
      <c r="H44" s="49">
        <v>7.2721</v>
      </c>
    </row>
    <row r="45" spans="1:8">
      <c r="A45" t="s">
        <v>1150</v>
      </c>
      <c r="B45" s="49">
        <v>53.559100000000001</v>
      </c>
      <c r="C45" s="49">
        <v>4.8228400000000002</v>
      </c>
      <c r="D45" s="49">
        <v>9.0047100000000005E-2</v>
      </c>
      <c r="E45" s="49">
        <v>0</v>
      </c>
      <c r="F45" s="49">
        <v>44.984400000000001</v>
      </c>
      <c r="G45" s="49">
        <v>0</v>
      </c>
      <c r="H45" s="49">
        <v>63.8005</v>
      </c>
    </row>
    <row r="46" spans="1:8">
      <c r="A46" t="s">
        <v>1151</v>
      </c>
      <c r="B46" s="49">
        <v>19.177499999999998</v>
      </c>
      <c r="C46" s="49">
        <v>2.5560700000000001</v>
      </c>
      <c r="D46" s="49">
        <v>0.13328499999999999</v>
      </c>
      <c r="E46" s="49">
        <v>0</v>
      </c>
      <c r="F46" s="49">
        <v>13.9976</v>
      </c>
      <c r="G46" s="49">
        <v>0</v>
      </c>
      <c r="H46" s="49">
        <v>23.354299999999999</v>
      </c>
    </row>
    <row r="47" spans="1:8">
      <c r="A47" t="s">
        <v>1152</v>
      </c>
      <c r="B47" s="49">
        <v>1.29989</v>
      </c>
      <c r="C47" s="49">
        <v>0.81222499999999997</v>
      </c>
      <c r="D47" s="49">
        <v>0.62483900000000003</v>
      </c>
      <c r="E47" s="49">
        <v>0</v>
      </c>
      <c r="F47" s="49">
        <v>0.68294500000000002</v>
      </c>
      <c r="G47" s="49">
        <v>0</v>
      </c>
      <c r="H47" s="49">
        <v>3.3189700000000002</v>
      </c>
    </row>
    <row r="48" spans="1:8">
      <c r="A48" t="s">
        <v>1153</v>
      </c>
      <c r="B48" s="49">
        <v>1.27441</v>
      </c>
      <c r="C48" s="49">
        <v>0.253247</v>
      </c>
      <c r="D48" s="49">
        <v>0.19871800000000001</v>
      </c>
      <c r="E48" s="49">
        <v>0</v>
      </c>
      <c r="F48" s="49">
        <v>0.89575300000000002</v>
      </c>
      <c r="G48" s="49">
        <v>0</v>
      </c>
      <c r="H48" s="49">
        <v>1.69146</v>
      </c>
    </row>
    <row r="50" spans="1:4">
      <c r="A50" t="str">
        <f>lang!B7</f>
        <v>긍정감정</v>
      </c>
      <c r="B50" s="134">
        <f>SUM(B9:B12)</f>
        <v>227.3732</v>
      </c>
      <c r="C50" s="134"/>
      <c r="D50" s="134">
        <f t="shared" ref="D50" si="0">SUM(D9:D12)</f>
        <v>21.212569999999999</v>
      </c>
    </row>
    <row r="51" spans="1:4">
      <c r="A51" t="str">
        <f>lang!B8</f>
        <v>부정감정</v>
      </c>
      <c r="B51" s="134">
        <f>SUM(B5:B8)</f>
        <v>119.0532</v>
      </c>
      <c r="C51" s="134"/>
      <c r="D51" s="134">
        <f t="shared" ref="D51" si="1">SUM(D5:D8)</f>
        <v>41.978630000000003</v>
      </c>
    </row>
    <row r="52" spans="1:4">
      <c r="A52" t="str">
        <f>lang!B9</f>
        <v>생리감정</v>
      </c>
      <c r="B52" s="134">
        <f>SUM(B13:B14)</f>
        <v>30.904</v>
      </c>
      <c r="C52" s="134"/>
      <c r="D52" s="134">
        <f t="shared" ref="D52" si="2">SUM(D13:D14)</f>
        <v>33.060169999999999</v>
      </c>
    </row>
    <row r="53" spans="1:4">
      <c r="B53" s="50">
        <f>SUM(B50:B52)</f>
        <v>377.3304</v>
      </c>
      <c r="D53" s="50">
        <f>SUM(D50:D52)</f>
        <v>96.251370000000009</v>
      </c>
    </row>
    <row r="54" spans="1:4">
      <c r="A54" t="str">
        <f>lang!B7</f>
        <v>긍정감정</v>
      </c>
      <c r="B54" s="135">
        <f>IF(B$53&lt;&gt;0,B50/B$53,0)</f>
        <v>0.60258383634077717</v>
      </c>
      <c r="C54" s="135"/>
      <c r="D54" s="135">
        <f>IF(D$53&lt;&gt;0,D50/D$53,0)</f>
        <v>0.22038720072244164</v>
      </c>
    </row>
    <row r="55" spans="1:4">
      <c r="A55" t="str">
        <f>lang!B8</f>
        <v>부정감정</v>
      </c>
      <c r="B55" s="135">
        <f>IF(B$53&lt;&gt;0,B51/B$53,0)</f>
        <v>0.31551446689691581</v>
      </c>
      <c r="C55" s="135"/>
      <c r="D55" s="135">
        <f>IF(D$53&lt;&gt;0,D51/D$53,0)</f>
        <v>0.43613540254024435</v>
      </c>
    </row>
    <row r="56" spans="1:4">
      <c r="A56" t="str">
        <f>lang!B9</f>
        <v>생리감정</v>
      </c>
      <c r="B56" s="135">
        <f>IF(B$53&lt;&gt;0,B52/B$53,0)</f>
        <v>8.1901696762306991E-2</v>
      </c>
      <c r="C56" s="135"/>
      <c r="D56" s="135">
        <f>IF(D$53&lt;&gt;0,D52/D$53,0)</f>
        <v>0.34347739673731392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49.959499999999998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0.16732</v>
      </c>
      <c r="B8" s="49">
        <v>0.16732</v>
      </c>
    </row>
    <row r="9" spans="1:3">
      <c r="A9" s="49">
        <v>0</v>
      </c>
      <c r="B9" s="49">
        <v>0</v>
      </c>
    </row>
    <row r="10" spans="1:3">
      <c r="A10" s="49">
        <v>7.8431399999999998E-2</v>
      </c>
      <c r="B10" s="49">
        <v>7.8431399999999998E-2</v>
      </c>
    </row>
    <row r="11" spans="1:3">
      <c r="A11" s="49">
        <v>0</v>
      </c>
      <c r="B11" s="49">
        <v>0</v>
      </c>
    </row>
    <row r="12" spans="1:3">
      <c r="A12" s="49">
        <v>0</v>
      </c>
      <c r="B12" s="49">
        <v>0</v>
      </c>
    </row>
    <row r="13" spans="1:3">
      <c r="A13" s="49">
        <v>0.17647099999999999</v>
      </c>
      <c r="B13" s="49">
        <v>0.17647099999999999</v>
      </c>
    </row>
    <row r="14" spans="1:3">
      <c r="A14" s="49">
        <v>0</v>
      </c>
      <c r="B14" s="49">
        <v>0</v>
      </c>
    </row>
    <row r="15" spans="1:3">
      <c r="A15" s="49">
        <v>7.8431399999999998E-2</v>
      </c>
      <c r="B15" s="49">
        <v>7.8431399999999998E-2</v>
      </c>
    </row>
    <row r="16" spans="1:3">
      <c r="A16" s="49">
        <v>0</v>
      </c>
      <c r="B16" s="49">
        <v>0</v>
      </c>
    </row>
    <row r="17" spans="1:2">
      <c r="A17" s="49">
        <v>0</v>
      </c>
      <c r="B17" s="49">
        <v>0</v>
      </c>
    </row>
    <row r="18" spans="1:2">
      <c r="A18" s="49">
        <v>0.33333299999999999</v>
      </c>
      <c r="B18" s="49">
        <v>0.33333299999999999</v>
      </c>
    </row>
    <row r="19" spans="1:2">
      <c r="A19" s="49">
        <v>0</v>
      </c>
      <c r="B19" s="49">
        <v>0</v>
      </c>
    </row>
    <row r="20" spans="1:2">
      <c r="A20" s="49">
        <v>0</v>
      </c>
      <c r="B20" s="49">
        <v>0</v>
      </c>
    </row>
    <row r="21" spans="1:2">
      <c r="A21" s="49">
        <v>1.23268</v>
      </c>
      <c r="B21" s="49">
        <v>1.23268</v>
      </c>
    </row>
    <row r="22" spans="1:2">
      <c r="A22" s="49">
        <v>0</v>
      </c>
      <c r="B22" s="49">
        <v>0</v>
      </c>
    </row>
    <row r="23" spans="1:2">
      <c r="A23" s="49">
        <v>2.6771199999999999</v>
      </c>
      <c r="B23" s="49">
        <v>2.6771199999999999</v>
      </c>
    </row>
    <row r="24" spans="1:2">
      <c r="A24" s="49">
        <v>0</v>
      </c>
      <c r="B24" s="49">
        <v>0</v>
      </c>
    </row>
    <row r="25" spans="1:2">
      <c r="A25" s="49">
        <v>0</v>
      </c>
      <c r="B25" s="49">
        <v>0</v>
      </c>
    </row>
    <row r="26" spans="1:2">
      <c r="A26" s="49">
        <v>3.5359500000000001</v>
      </c>
      <c r="B26" s="49">
        <v>3.5359500000000001</v>
      </c>
    </row>
    <row r="27" spans="1:2">
      <c r="A27" s="49">
        <v>0</v>
      </c>
      <c r="B27" s="49">
        <v>0</v>
      </c>
    </row>
    <row r="28" spans="1:2">
      <c r="A28" s="49">
        <v>2.5634000000000001</v>
      </c>
      <c r="B28" s="49">
        <v>2.5634000000000001</v>
      </c>
    </row>
    <row r="29" spans="1:2">
      <c r="A29" s="49">
        <v>0</v>
      </c>
      <c r="B29" s="49">
        <v>0</v>
      </c>
    </row>
    <row r="30" spans="1:2">
      <c r="A30" s="49">
        <v>0</v>
      </c>
      <c r="B30" s="49">
        <v>0</v>
      </c>
    </row>
    <row r="31" spans="1:2">
      <c r="A31" s="49">
        <v>2.8078400000000001</v>
      </c>
      <c r="B31" s="49">
        <v>2.8078400000000001</v>
      </c>
    </row>
    <row r="32" spans="1:2">
      <c r="A32" s="49">
        <v>0</v>
      </c>
      <c r="B32" s="49">
        <v>0</v>
      </c>
    </row>
    <row r="33" spans="1:2">
      <c r="A33" s="49">
        <v>4.5254899999999996</v>
      </c>
      <c r="B33" s="49">
        <v>4.5254899999999996</v>
      </c>
    </row>
    <row r="34" spans="1:2">
      <c r="A34" s="49">
        <v>0</v>
      </c>
      <c r="B34" s="49">
        <v>0</v>
      </c>
    </row>
    <row r="35" spans="1:2">
      <c r="A35" s="49">
        <v>0</v>
      </c>
      <c r="B35" s="49">
        <v>0</v>
      </c>
    </row>
    <row r="36" spans="1:2">
      <c r="A36" s="49">
        <v>6.7241799999999996</v>
      </c>
      <c r="B36" s="49">
        <v>6.7241799999999996</v>
      </c>
    </row>
    <row r="37" spans="1:2">
      <c r="A37" s="49">
        <v>0</v>
      </c>
      <c r="B37" s="49">
        <v>0</v>
      </c>
    </row>
    <row r="38" spans="1:2">
      <c r="A38" s="49">
        <v>0</v>
      </c>
      <c r="B38" s="49">
        <v>0</v>
      </c>
    </row>
    <row r="39" spans="1:2">
      <c r="A39" s="49">
        <v>6.0078399999999998</v>
      </c>
      <c r="B39" s="49">
        <v>6.0078399999999998</v>
      </c>
    </row>
    <row r="40" spans="1:2">
      <c r="A40" s="49">
        <v>0</v>
      </c>
      <c r="B40" s="49">
        <v>0</v>
      </c>
    </row>
    <row r="41" spans="1:2">
      <c r="A41" s="49">
        <v>5.4614399999999996</v>
      </c>
      <c r="B41" s="49">
        <v>5.4614399999999996</v>
      </c>
    </row>
    <row r="42" spans="1:2">
      <c r="A42" s="49">
        <v>0</v>
      </c>
      <c r="B42" s="49">
        <v>0</v>
      </c>
    </row>
    <row r="43" spans="1:2">
      <c r="A43" s="49">
        <v>0</v>
      </c>
      <c r="B43" s="49">
        <v>0</v>
      </c>
    </row>
    <row r="44" spans="1:2">
      <c r="A44" s="49">
        <v>6.7163399999999998</v>
      </c>
      <c r="B44" s="49">
        <v>6.7163399999999998</v>
      </c>
    </row>
    <row r="45" spans="1:2">
      <c r="A45" s="49">
        <v>0</v>
      </c>
      <c r="B45" s="49">
        <v>0</v>
      </c>
    </row>
    <row r="46" spans="1:2">
      <c r="A46" s="49">
        <v>10.397399999999999</v>
      </c>
      <c r="B46" s="49">
        <v>10.397399999999999</v>
      </c>
    </row>
    <row r="47" spans="1:2">
      <c r="A47" s="49">
        <v>0</v>
      </c>
      <c r="B47" s="49">
        <v>0</v>
      </c>
    </row>
    <row r="48" spans="1:2">
      <c r="A48" s="49">
        <v>0</v>
      </c>
      <c r="B48" s="49">
        <v>0</v>
      </c>
    </row>
    <row r="49" spans="1:2">
      <c r="A49" s="49">
        <v>19.380400000000002</v>
      </c>
      <c r="B49" s="49">
        <v>19.380400000000002</v>
      </c>
    </row>
    <row r="50" spans="1:2">
      <c r="A50" s="49">
        <v>0</v>
      </c>
      <c r="B50" s="49">
        <v>0</v>
      </c>
    </row>
    <row r="51" spans="1:2">
      <c r="A51" s="49">
        <v>17.976500000000001</v>
      </c>
      <c r="B51" s="49">
        <v>17.976500000000001</v>
      </c>
    </row>
    <row r="52" spans="1:2">
      <c r="A52" s="49">
        <v>0</v>
      </c>
      <c r="B52" s="49">
        <v>0</v>
      </c>
    </row>
    <row r="53" spans="1:2">
      <c r="A53" s="49">
        <v>0</v>
      </c>
      <c r="B53" s="49">
        <v>0</v>
      </c>
    </row>
    <row r="54" spans="1:2">
      <c r="A54" s="49">
        <v>14.9595</v>
      </c>
      <c r="B54" s="49">
        <v>14.9595</v>
      </c>
    </row>
    <row r="55" spans="1:2">
      <c r="A55" s="49">
        <v>0</v>
      </c>
      <c r="B55" s="49">
        <v>0</v>
      </c>
    </row>
    <row r="56" spans="1:2">
      <c r="A56" s="49">
        <v>0</v>
      </c>
      <c r="B56" s="49">
        <v>0</v>
      </c>
    </row>
    <row r="57" spans="1:2">
      <c r="A57" s="49">
        <v>19.078399999999998</v>
      </c>
      <c r="B57" s="49">
        <v>19.078399999999998</v>
      </c>
    </row>
    <row r="58" spans="1:2">
      <c r="A58" s="49">
        <v>0</v>
      </c>
      <c r="B58" s="49">
        <v>0</v>
      </c>
    </row>
    <row r="59" spans="1:2">
      <c r="A59" s="49">
        <v>18.548999999999999</v>
      </c>
      <c r="B59" s="49">
        <v>18.548999999999999</v>
      </c>
    </row>
    <row r="60" spans="1:2">
      <c r="A60" s="49">
        <v>0</v>
      </c>
      <c r="B60" s="49">
        <v>0</v>
      </c>
    </row>
    <row r="61" spans="1:2">
      <c r="A61" s="49">
        <v>0</v>
      </c>
      <c r="B61" s="49">
        <v>0</v>
      </c>
    </row>
    <row r="62" spans="1:2">
      <c r="A62" s="49">
        <v>25.500699999999998</v>
      </c>
      <c r="B62" s="49">
        <v>25.500699999999998</v>
      </c>
    </row>
    <row r="63" spans="1:2">
      <c r="A63" s="49">
        <v>0</v>
      </c>
      <c r="B63" s="49">
        <v>0</v>
      </c>
    </row>
    <row r="64" spans="1:2">
      <c r="A64" s="49">
        <v>30.354199999999999</v>
      </c>
      <c r="B64" s="49">
        <v>30.354199999999999</v>
      </c>
    </row>
    <row r="65" spans="1:2">
      <c r="A65" s="49">
        <v>0</v>
      </c>
      <c r="B65" s="49">
        <v>0</v>
      </c>
    </row>
    <row r="66" spans="1:2">
      <c r="A66" s="49">
        <v>0</v>
      </c>
      <c r="B66" s="49">
        <v>0</v>
      </c>
    </row>
    <row r="67" spans="1:2">
      <c r="A67" s="49">
        <v>28.813099999999999</v>
      </c>
      <c r="B67" s="49">
        <v>28.813099999999999</v>
      </c>
    </row>
    <row r="68" spans="1:2">
      <c r="A68" s="49">
        <v>0</v>
      </c>
      <c r="B68" s="49">
        <v>0</v>
      </c>
    </row>
    <row r="69" spans="1:2">
      <c r="A69" s="49">
        <v>34.4405</v>
      </c>
      <c r="B69" s="49">
        <v>34.4405</v>
      </c>
    </row>
    <row r="70" spans="1:2">
      <c r="A70" s="49">
        <v>0</v>
      </c>
      <c r="B70" s="49">
        <v>0</v>
      </c>
    </row>
    <row r="71" spans="1:2">
      <c r="A71" s="49">
        <v>0</v>
      </c>
      <c r="B71" s="49">
        <v>0</v>
      </c>
    </row>
    <row r="72" spans="1:2">
      <c r="A72" s="49">
        <v>38.149000000000001</v>
      </c>
      <c r="B72" s="49">
        <v>38.149000000000001</v>
      </c>
    </row>
    <row r="73" spans="1:2">
      <c r="A73" s="49">
        <v>0</v>
      </c>
      <c r="B73" s="49">
        <v>0</v>
      </c>
    </row>
    <row r="74" spans="1:2">
      <c r="A74" s="49">
        <v>0</v>
      </c>
      <c r="B74" s="49">
        <v>0</v>
      </c>
    </row>
    <row r="75" spans="1:2">
      <c r="A75" s="49">
        <v>42.1935</v>
      </c>
      <c r="B75" s="49">
        <v>42.1935</v>
      </c>
    </row>
    <row r="76" spans="1:2">
      <c r="A76" s="49">
        <v>0</v>
      </c>
      <c r="B76" s="49">
        <v>0</v>
      </c>
    </row>
    <row r="77" spans="1:2">
      <c r="A77" s="49">
        <v>49.959499999999998</v>
      </c>
      <c r="B77" s="49">
        <v>49.959499999999998</v>
      </c>
    </row>
    <row r="78" spans="1:2">
      <c r="A78" s="49">
        <v>0</v>
      </c>
      <c r="B78" s="49">
        <v>0</v>
      </c>
    </row>
    <row r="79" spans="1:2">
      <c r="A79" s="49">
        <v>0</v>
      </c>
      <c r="B79" s="49">
        <v>0</v>
      </c>
    </row>
    <row r="80" spans="1:2">
      <c r="A80" s="49">
        <v>41.809199999999997</v>
      </c>
      <c r="B80" s="49">
        <v>41.809199999999997</v>
      </c>
    </row>
    <row r="81" spans="1:2">
      <c r="A81" s="49">
        <v>0</v>
      </c>
      <c r="B81" s="49">
        <v>0</v>
      </c>
    </row>
    <row r="82" spans="1:2">
      <c r="A82" s="49">
        <v>32.145099999999999</v>
      </c>
      <c r="B82" s="49">
        <v>32.145099999999999</v>
      </c>
    </row>
    <row r="83" spans="1:2">
      <c r="A83" s="49">
        <v>0</v>
      </c>
      <c r="B83" s="49">
        <v>0</v>
      </c>
    </row>
    <row r="84" spans="1:2">
      <c r="A84" s="49">
        <v>0</v>
      </c>
      <c r="B84" s="49">
        <v>0</v>
      </c>
    </row>
    <row r="85" spans="1:2">
      <c r="A85" s="49">
        <v>28.900700000000001</v>
      </c>
      <c r="B85" s="49">
        <v>28.900700000000001</v>
      </c>
    </row>
    <row r="86" spans="1:2">
      <c r="A86" s="49">
        <v>0</v>
      </c>
      <c r="B86" s="49">
        <v>0</v>
      </c>
    </row>
    <row r="87" spans="1:2">
      <c r="A87" s="49">
        <v>0</v>
      </c>
      <c r="B87" s="49">
        <v>0</v>
      </c>
    </row>
    <row r="88" spans="1:2">
      <c r="A88" s="49">
        <v>21.369900000000001</v>
      </c>
      <c r="B88" s="49">
        <v>21.369900000000001</v>
      </c>
    </row>
    <row r="89" spans="1:2">
      <c r="A89" s="49">
        <v>0</v>
      </c>
      <c r="B89" s="49">
        <v>0</v>
      </c>
    </row>
    <row r="90" spans="1:2">
      <c r="A90" s="49">
        <v>19.619599999999998</v>
      </c>
      <c r="B90" s="49">
        <v>19.619599999999998</v>
      </c>
    </row>
    <row r="91" spans="1:2">
      <c r="A91" s="49">
        <v>0</v>
      </c>
      <c r="B91" s="49">
        <v>0</v>
      </c>
    </row>
    <row r="92" spans="1:2">
      <c r="A92" s="49">
        <v>0</v>
      </c>
      <c r="B92" s="49">
        <v>0</v>
      </c>
    </row>
    <row r="93" spans="1:2">
      <c r="A93" s="49">
        <v>17.4314</v>
      </c>
      <c r="B93" s="49">
        <v>17.4314</v>
      </c>
    </row>
    <row r="94" spans="1:2">
      <c r="A94" s="49">
        <v>0</v>
      </c>
      <c r="B94" s="49">
        <v>0</v>
      </c>
    </row>
    <row r="95" spans="1:2">
      <c r="A95" s="49">
        <v>10.6</v>
      </c>
      <c r="B95" s="49">
        <v>10.6</v>
      </c>
    </row>
    <row r="96" spans="1:2">
      <c r="A96" s="49">
        <v>0</v>
      </c>
      <c r="B96" s="49">
        <v>0</v>
      </c>
    </row>
    <row r="97" spans="1:2">
      <c r="A97" s="49">
        <v>0</v>
      </c>
      <c r="B97" s="49">
        <v>0</v>
      </c>
    </row>
    <row r="98" spans="1:2">
      <c r="A98" s="49">
        <v>6.3934600000000001</v>
      </c>
      <c r="B98" s="49">
        <v>6.3934600000000001</v>
      </c>
    </row>
    <row r="99" spans="1:2">
      <c r="A99" s="49">
        <v>0</v>
      </c>
      <c r="B99" s="49">
        <v>0</v>
      </c>
    </row>
    <row r="100" spans="1:2">
      <c r="A100" s="49">
        <v>4.84314</v>
      </c>
      <c r="B100" s="49">
        <v>4.84314</v>
      </c>
    </row>
    <row r="101" spans="1:2">
      <c r="A101" s="49">
        <v>0</v>
      </c>
      <c r="B101" s="49">
        <v>0</v>
      </c>
    </row>
    <row r="102" spans="1:2">
      <c r="A102" s="49">
        <v>0</v>
      </c>
      <c r="B102" s="49">
        <v>0</v>
      </c>
    </row>
    <row r="103" spans="1:2">
      <c r="A103" s="49">
        <v>3.1634000000000002</v>
      </c>
      <c r="B103" s="49">
        <v>3.1634000000000002</v>
      </c>
    </row>
    <row r="104" spans="1:2">
      <c r="A104" s="49">
        <v>0</v>
      </c>
      <c r="B104" s="49">
        <v>0</v>
      </c>
    </row>
    <row r="105" spans="1:2">
      <c r="A105" s="49">
        <v>0</v>
      </c>
      <c r="B105" s="49">
        <v>0</v>
      </c>
    </row>
    <row r="106" spans="1:2">
      <c r="A106" s="49">
        <v>2.4692799999999999</v>
      </c>
      <c r="B106" s="49">
        <v>2.4692799999999999</v>
      </c>
    </row>
    <row r="107" spans="1:2">
      <c r="A107" s="49">
        <v>0</v>
      </c>
      <c r="B107" s="49">
        <v>0</v>
      </c>
    </row>
    <row r="108" spans="1:2">
      <c r="A108" s="49">
        <v>1.3660099999999999</v>
      </c>
      <c r="B108" s="49">
        <v>1.3660099999999999</v>
      </c>
    </row>
    <row r="109" spans="1:2">
      <c r="A109" s="49">
        <v>0</v>
      </c>
      <c r="B109" s="49">
        <v>0</v>
      </c>
    </row>
    <row r="110" spans="1:2">
      <c r="A110" s="49">
        <v>0</v>
      </c>
      <c r="B110" s="49">
        <v>0</v>
      </c>
    </row>
    <row r="111" spans="1:2">
      <c r="A111" s="49">
        <v>1.3921600000000001</v>
      </c>
      <c r="B111" s="49">
        <v>1.3921600000000001</v>
      </c>
    </row>
    <row r="112" spans="1:2">
      <c r="A112" s="49">
        <v>0</v>
      </c>
      <c r="B112" s="49">
        <v>0</v>
      </c>
    </row>
    <row r="113" spans="1:2">
      <c r="A113" s="49">
        <v>0.22614400000000001</v>
      </c>
      <c r="B113" s="49">
        <v>0.22614400000000001</v>
      </c>
    </row>
    <row r="114" spans="1:2">
      <c r="A114" s="49">
        <v>0</v>
      </c>
      <c r="B114" s="49">
        <v>0</v>
      </c>
    </row>
    <row r="115" spans="1:2">
      <c r="A115" s="49">
        <v>0</v>
      </c>
      <c r="B115" s="49">
        <v>0</v>
      </c>
    </row>
    <row r="116" spans="1:2">
      <c r="A116" s="49">
        <v>8.6274500000000004E-2</v>
      </c>
      <c r="B116" s="49">
        <v>8.6274500000000004E-2</v>
      </c>
    </row>
    <row r="117" spans="1:2">
      <c r="A117" s="49">
        <v>0</v>
      </c>
      <c r="B117" s="49">
        <v>0</v>
      </c>
    </row>
    <row r="118" spans="1:2">
      <c r="A118" s="49">
        <v>4.1830100000000002E-2</v>
      </c>
      <c r="B118" s="49">
        <v>4.1830100000000002E-2</v>
      </c>
    </row>
    <row r="119" spans="1:2">
      <c r="A119" s="49">
        <v>0</v>
      </c>
      <c r="B119" s="49">
        <v>0</v>
      </c>
    </row>
    <row r="120" spans="1:2">
      <c r="A120" s="49">
        <v>0</v>
      </c>
      <c r="B120" s="49">
        <v>0</v>
      </c>
    </row>
    <row r="121" spans="1:2">
      <c r="A121" s="49">
        <v>4.1830100000000002E-2</v>
      </c>
      <c r="B121" s="49">
        <v>4.1830100000000002E-2</v>
      </c>
    </row>
    <row r="122" spans="1:2">
      <c r="A122" s="49">
        <v>0</v>
      </c>
      <c r="B122" s="49">
        <v>0</v>
      </c>
    </row>
    <row r="123" spans="1:2">
      <c r="A123" s="49">
        <v>0</v>
      </c>
      <c r="B123" s="49">
        <v>0</v>
      </c>
    </row>
    <row r="124" spans="1:2">
      <c r="A124" s="49">
        <v>8.3660100000000001E-2</v>
      </c>
      <c r="B124" s="49">
        <v>8.3660100000000001E-2</v>
      </c>
    </row>
    <row r="125" spans="1:2">
      <c r="A125" s="49">
        <v>0</v>
      </c>
      <c r="B125" s="49">
        <v>0</v>
      </c>
    </row>
    <row r="126" spans="1:2">
      <c r="A126" s="49">
        <v>0.128105</v>
      </c>
      <c r="B126" s="49">
        <v>0.128105</v>
      </c>
    </row>
    <row r="127" spans="1:2">
      <c r="A127" s="49">
        <v>0</v>
      </c>
      <c r="B127" s="49">
        <v>0</v>
      </c>
    </row>
    <row r="128" spans="1:2">
      <c r="A128" s="49">
        <v>0</v>
      </c>
      <c r="B128" s="49">
        <v>0</v>
      </c>
    </row>
    <row r="129" spans="1:2">
      <c r="A129" s="49">
        <v>4.3137300000000003E-2</v>
      </c>
      <c r="B129" s="49">
        <v>4.3137300000000003E-2</v>
      </c>
    </row>
    <row r="130" spans="1:2">
      <c r="A130" s="49">
        <v>0</v>
      </c>
      <c r="B130" s="49">
        <v>0</v>
      </c>
    </row>
    <row r="131" spans="1:2">
      <c r="A131" s="49">
        <v>4.3137300000000003E-2</v>
      </c>
      <c r="B131" s="49">
        <v>4.3137300000000003E-2</v>
      </c>
    </row>
    <row r="132" spans="1:2">
      <c r="A132" s="49">
        <v>0</v>
      </c>
      <c r="B132" s="49">
        <v>0</v>
      </c>
    </row>
    <row r="133" spans="1:2">
      <c r="A133" s="49">
        <v>0</v>
      </c>
      <c r="B133" s="49">
        <v>0</v>
      </c>
    </row>
    <row r="134" spans="1:2">
      <c r="A134" s="49">
        <v>4.4444400000000002E-2</v>
      </c>
      <c r="B134" s="49">
        <v>4.4444400000000002E-2</v>
      </c>
    </row>
    <row r="135" spans="1:2">
      <c r="A135" s="49">
        <v>0</v>
      </c>
      <c r="B135" s="49">
        <v>0</v>
      </c>
    </row>
    <row r="136" spans="1:2">
      <c r="A136" s="49">
        <v>4.4444400000000002E-2</v>
      </c>
      <c r="B136" s="49">
        <v>4.4444400000000002E-2</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0.21576799999999999</v>
      </c>
      <c r="B2" s="49">
        <v>0.73534900000000003</v>
      </c>
      <c r="C2">
        <v>0</v>
      </c>
      <c r="D2">
        <v>0</v>
      </c>
      <c r="E2" t="s">
        <v>1161</v>
      </c>
      <c r="F2" s="49">
        <f>IF(A2&lt;&gt;"",1,"")</f>
        <v>1</v>
      </c>
      <c r="G2">
        <f>IF($H8&gt;0,LOOKUP(COUNT(A2:A1000)*$H8,F2:F1000,A2:A1000),LOOKUP(1,F2:F1000,A2:A1000))</f>
        <v>0.22318499999999999</v>
      </c>
      <c r="H2">
        <f>IF($H8&gt;0,LOOKUP(COUNT(B2:B1000)*$H8,F2:F1000,B2:B1000),LOOKUP(1,F2:F1000,B2:B1000))</f>
        <v>0.73258500000000004</v>
      </c>
      <c r="J2" s="49">
        <f>IF(A2&lt;&gt;"",A2*10,"")</f>
        <v>2.15768</v>
      </c>
      <c r="K2" s="49">
        <f>IF(B2&lt;&gt;"",B2*100,"")</f>
        <v>73.534900000000007</v>
      </c>
      <c r="L2" s="49">
        <f>IF(F2&lt;&gt;"",IF(K2&lt;&gt;0,K2/J2,0),"")</f>
        <v>34.08054020985503</v>
      </c>
    </row>
    <row r="3" spans="1:12">
      <c r="A3" s="49">
        <v>0.22318499999999999</v>
      </c>
      <c r="B3" s="49">
        <v>0.73258500000000004</v>
      </c>
      <c r="C3">
        <v>0.36660300000000001</v>
      </c>
      <c r="D3">
        <v>0</v>
      </c>
      <c r="E3" t="s">
        <v>2560</v>
      </c>
      <c r="F3" s="49">
        <f>IF(A3&lt;&gt;"",F2+1,"")</f>
        <v>2</v>
      </c>
      <c r="G3">
        <f>IF($H9&gt;0,LOOKUP(COUNT(A2:A1000)*$H9,F2:F1000,A2:A1000),LOOKUP(1,F2:F1000,A2:A1000))</f>
        <v>0.29469400000000001</v>
      </c>
      <c r="H3">
        <f>IF($H9&gt;0,LOOKUP(COUNT(B2:B1000)*$H9,F2:F1000,B2:B1000),LOOKUP(1,F2:F1000,B2:B1000))</f>
        <v>0.62335099999999999</v>
      </c>
      <c r="J3" s="49">
        <f t="shared" ref="J3:J66" si="0">IF(A3&lt;&gt;"",A3*10,"")</f>
        <v>2.2318500000000001</v>
      </c>
      <c r="K3" s="49">
        <f t="shared" ref="K3:K66" si="1">IF(B3&lt;&gt;"",B3*100,"")</f>
        <v>73.258499999999998</v>
      </c>
      <c r="L3" s="49">
        <f t="shared" ref="L3:L66" si="2">IF(F3&lt;&gt;"",IF(K3&lt;&gt;0,K3/J3,0),"")</f>
        <v>32.824114523825521</v>
      </c>
    </row>
    <row r="4" spans="1:12">
      <c r="A4" s="49">
        <v>0.22947200000000001</v>
      </c>
      <c r="B4" s="49">
        <v>0.72980800000000001</v>
      </c>
      <c r="C4">
        <v>0.76405900000000004</v>
      </c>
      <c r="D4">
        <v>0</v>
      </c>
      <c r="E4" t="s">
        <v>2561</v>
      </c>
      <c r="F4" s="49">
        <f t="shared" ref="F4:F67" si="3">IF(A4&lt;&gt;"",F3+1,"")</f>
        <v>3</v>
      </c>
      <c r="G4" s="71" t="s">
        <v>209</v>
      </c>
      <c r="H4" s="23">
        <f>IF(ISERROR(G3-G2)=FALSE,(G3-G2)*10,0)</f>
        <v>0.71509000000000023</v>
      </c>
      <c r="J4" s="49">
        <f t="shared" si="0"/>
        <v>2.2947199999999999</v>
      </c>
      <c r="K4" s="49">
        <f t="shared" si="1"/>
        <v>72.980800000000002</v>
      </c>
      <c r="L4" s="49">
        <f t="shared" si="2"/>
        <v>31.803793055361876</v>
      </c>
    </row>
    <row r="5" spans="1:12">
      <c r="A5" s="49">
        <v>0.234629</v>
      </c>
      <c r="B5" s="49">
        <v>0.72414400000000001</v>
      </c>
      <c r="C5">
        <v>1.1789400000000001</v>
      </c>
      <c r="D5">
        <v>0</v>
      </c>
      <c r="E5" t="s">
        <v>2562</v>
      </c>
      <c r="F5" s="49">
        <f t="shared" si="3"/>
        <v>4</v>
      </c>
      <c r="G5" s="71" t="s">
        <v>210</v>
      </c>
      <c r="H5" s="23">
        <f>IF(ISERROR(H3-H2)=FALSE,H3-H2,0)</f>
        <v>-0.10923400000000005</v>
      </c>
      <c r="J5" s="49">
        <f t="shared" si="0"/>
        <v>2.3462900000000002</v>
      </c>
      <c r="K5" s="49">
        <f t="shared" si="1"/>
        <v>72.414400000000001</v>
      </c>
      <c r="L5" s="49">
        <f t="shared" si="2"/>
        <v>30.863363011392451</v>
      </c>
    </row>
    <row r="6" spans="1:12">
      <c r="A6" s="49">
        <v>0.239537</v>
      </c>
      <c r="B6" s="49">
        <v>0.71694000000000002</v>
      </c>
      <c r="C6">
        <v>1.5934600000000001</v>
      </c>
      <c r="D6">
        <v>0</v>
      </c>
      <c r="E6" t="s">
        <v>2563</v>
      </c>
      <c r="F6" s="49">
        <f t="shared" si="3"/>
        <v>5</v>
      </c>
      <c r="G6" s="71" t="s">
        <v>211</v>
      </c>
      <c r="H6" s="23">
        <f>IF(H4&lt;&gt;0,H5/H4,0)</f>
        <v>-0.15275559719755558</v>
      </c>
      <c r="J6" s="49">
        <f t="shared" si="0"/>
        <v>2.3953699999999998</v>
      </c>
      <c r="K6" s="49">
        <f t="shared" si="1"/>
        <v>71.694000000000003</v>
      </c>
      <c r="L6" s="49">
        <f t="shared" si="2"/>
        <v>29.93024042214773</v>
      </c>
    </row>
    <row r="7" spans="1:12">
      <c r="A7" s="49">
        <v>0.24377199999999999</v>
      </c>
      <c r="B7" s="49">
        <v>0.71163100000000001</v>
      </c>
      <c r="C7">
        <v>2.0095399999999999</v>
      </c>
      <c r="D7">
        <v>0</v>
      </c>
      <c r="E7" t="s">
        <v>2564</v>
      </c>
      <c r="F7" s="49">
        <f t="shared" si="3"/>
        <v>6</v>
      </c>
      <c r="G7" s="71" t="s">
        <v>212</v>
      </c>
      <c r="H7" s="23">
        <f>DEGREES(ATAN(H6))</f>
        <v>-8.6851127099731276</v>
      </c>
      <c r="J7" s="49">
        <f t="shared" si="0"/>
        <v>2.4377199999999997</v>
      </c>
      <c r="K7" s="49">
        <f t="shared" si="1"/>
        <v>71.1631</v>
      </c>
      <c r="L7" s="49">
        <f t="shared" si="2"/>
        <v>29.192483139983267</v>
      </c>
    </row>
    <row r="8" spans="1:12">
      <c r="A8" s="49">
        <v>0.247499</v>
      </c>
      <c r="B8" s="49">
        <v>0.70724200000000004</v>
      </c>
      <c r="C8">
        <v>2.3934899999999999</v>
      </c>
      <c r="D8">
        <v>0</v>
      </c>
      <c r="E8" t="s">
        <v>2565</v>
      </c>
      <c r="F8" s="49">
        <f t="shared" si="3"/>
        <v>7</v>
      </c>
      <c r="G8" s="71" t="s">
        <v>213</v>
      </c>
      <c r="H8" s="72">
        <v>0.1</v>
      </c>
      <c r="J8" s="49">
        <f t="shared" si="0"/>
        <v>2.47499</v>
      </c>
      <c r="K8" s="49">
        <f t="shared" si="1"/>
        <v>70.72420000000001</v>
      </c>
      <c r="L8" s="49">
        <f t="shared" si="2"/>
        <v>28.575549800201216</v>
      </c>
    </row>
    <row r="9" spans="1:12">
      <c r="A9" s="49">
        <v>0.25109199999999998</v>
      </c>
      <c r="B9" s="49">
        <v>0.70271099999999997</v>
      </c>
      <c r="C9">
        <v>2.80335</v>
      </c>
      <c r="D9">
        <v>0</v>
      </c>
      <c r="E9" t="s">
        <v>2566</v>
      </c>
      <c r="F9" s="49">
        <f t="shared" si="3"/>
        <v>8</v>
      </c>
      <c r="G9" s="71" t="s">
        <v>214</v>
      </c>
      <c r="H9" s="72">
        <v>0.9</v>
      </c>
      <c r="J9" s="49">
        <f t="shared" si="0"/>
        <v>2.5109199999999996</v>
      </c>
      <c r="K9" s="49">
        <f t="shared" si="1"/>
        <v>70.271100000000004</v>
      </c>
      <c r="L9" s="49">
        <f t="shared" si="2"/>
        <v>27.986196294585259</v>
      </c>
    </row>
    <row r="10" spans="1:12">
      <c r="A10" s="49">
        <v>0.25450200000000001</v>
      </c>
      <c r="B10" s="49">
        <v>0.69780900000000001</v>
      </c>
      <c r="C10">
        <v>3.2226599999999999</v>
      </c>
      <c r="D10">
        <v>0</v>
      </c>
      <c r="E10" t="s">
        <v>2567</v>
      </c>
      <c r="F10" s="49">
        <f t="shared" si="3"/>
        <v>9</v>
      </c>
      <c r="G10" t="s">
        <v>215</v>
      </c>
      <c r="J10" s="49">
        <f t="shared" si="0"/>
        <v>2.5450200000000001</v>
      </c>
      <c r="K10" s="49">
        <f t="shared" si="1"/>
        <v>69.780900000000003</v>
      </c>
      <c r="L10" s="49">
        <f t="shared" si="2"/>
        <v>27.418605747695501</v>
      </c>
    </row>
    <row r="11" spans="1:12">
      <c r="A11" s="49">
        <v>0.257855</v>
      </c>
      <c r="B11" s="49">
        <v>0.69286400000000004</v>
      </c>
      <c r="C11">
        <v>3.6176699999999999</v>
      </c>
      <c r="D11">
        <v>0</v>
      </c>
      <c r="E11" t="s">
        <v>2568</v>
      </c>
      <c r="F11" s="49">
        <f t="shared" si="3"/>
        <v>10</v>
      </c>
      <c r="G11" s="71" t="s">
        <v>216</v>
      </c>
      <c r="H11" s="73">
        <f>MIN(B2:B1000)</f>
        <v>0.61463999999999996</v>
      </c>
      <c r="J11" s="49">
        <f t="shared" si="0"/>
        <v>2.5785499999999999</v>
      </c>
      <c r="K11" s="49">
        <f t="shared" si="1"/>
        <v>69.2864</v>
      </c>
      <c r="L11" s="49">
        <f t="shared" si="2"/>
        <v>26.870295321013749</v>
      </c>
    </row>
    <row r="12" spans="1:12">
      <c r="A12" s="49">
        <v>0.26104899999999998</v>
      </c>
      <c r="B12" s="49">
        <v>0.68792500000000001</v>
      </c>
      <c r="C12">
        <v>4.01647</v>
      </c>
      <c r="D12">
        <v>0</v>
      </c>
      <c r="E12" t="s">
        <v>2569</v>
      </c>
      <c r="F12" s="49">
        <f t="shared" si="3"/>
        <v>11</v>
      </c>
      <c r="G12" s="71" t="s">
        <v>218</v>
      </c>
      <c r="H12" s="73">
        <f>MAX(B2:B1000)</f>
        <v>0.73534900000000003</v>
      </c>
      <c r="J12" s="49">
        <f t="shared" si="0"/>
        <v>2.6104899999999995</v>
      </c>
      <c r="K12" s="49">
        <f t="shared" si="1"/>
        <v>68.792500000000004</v>
      </c>
      <c r="L12" s="49">
        <f t="shared" si="2"/>
        <v>26.352332320752048</v>
      </c>
    </row>
    <row r="13" spans="1:12">
      <c r="A13" s="49">
        <v>0.26399499999999998</v>
      </c>
      <c r="B13" s="49">
        <v>0.68301699999999999</v>
      </c>
      <c r="C13">
        <v>4.4440200000000001</v>
      </c>
      <c r="D13">
        <v>0</v>
      </c>
      <c r="E13" t="s">
        <v>2570</v>
      </c>
      <c r="F13" s="49">
        <f t="shared" si="3"/>
        <v>12</v>
      </c>
      <c r="G13" s="71" t="s">
        <v>220</v>
      </c>
      <c r="H13">
        <f>MATCH($H$11,B2:B1000,0)</f>
        <v>26</v>
      </c>
      <c r="J13" s="49">
        <f t="shared" si="0"/>
        <v>2.6399499999999998</v>
      </c>
      <c r="K13" s="49">
        <f t="shared" si="1"/>
        <v>68.301699999999997</v>
      </c>
      <c r="L13" s="49">
        <f t="shared" si="2"/>
        <v>25.872346067160365</v>
      </c>
    </row>
    <row r="14" spans="1:12">
      <c r="A14" s="49">
        <v>0.26682899999999998</v>
      </c>
      <c r="B14" s="49">
        <v>0.67715000000000003</v>
      </c>
      <c r="C14">
        <v>4.8428199999999997</v>
      </c>
      <c r="D14">
        <v>0</v>
      </c>
      <c r="E14" t="s">
        <v>2571</v>
      </c>
      <c r="F14" s="49">
        <f t="shared" si="3"/>
        <v>13</v>
      </c>
      <c r="G14" s="71" t="s">
        <v>221</v>
      </c>
      <c r="H14">
        <f>MATCH($H$12,B2:B1000,0)</f>
        <v>1</v>
      </c>
      <c r="J14" s="49">
        <f t="shared" si="0"/>
        <v>2.6682899999999998</v>
      </c>
      <c r="K14" s="49">
        <f t="shared" si="1"/>
        <v>67.715000000000003</v>
      </c>
      <c r="L14" s="49">
        <f t="shared" si="2"/>
        <v>25.377676339528314</v>
      </c>
    </row>
    <row r="15" spans="1:12">
      <c r="A15" s="49">
        <v>0.270096</v>
      </c>
      <c r="B15" s="49">
        <v>0.67038200000000003</v>
      </c>
      <c r="C15">
        <v>5.24979</v>
      </c>
      <c r="D15">
        <v>0</v>
      </c>
      <c r="E15" t="s">
        <v>2572</v>
      </c>
      <c r="F15" s="49">
        <f t="shared" si="3"/>
        <v>14</v>
      </c>
      <c r="G15">
        <f>LOOKUP($H13,F2:F1000,A2:A1000)</f>
        <v>0.29891600000000002</v>
      </c>
      <c r="H15">
        <f>LOOKUP($H13,F2:F1000,B2:B1000)</f>
        <v>0.61463999999999996</v>
      </c>
      <c r="J15" s="49">
        <f t="shared" si="0"/>
        <v>2.7009600000000002</v>
      </c>
      <c r="K15" s="49">
        <f t="shared" si="1"/>
        <v>67.038200000000003</v>
      </c>
      <c r="L15" s="49">
        <f t="shared" si="2"/>
        <v>24.820138024998517</v>
      </c>
    </row>
    <row r="16" spans="1:12">
      <c r="A16" s="49">
        <v>0.27359499999999998</v>
      </c>
      <c r="B16" s="49">
        <v>0.66283999999999998</v>
      </c>
      <c r="C16">
        <v>5.6467799999999997</v>
      </c>
      <c r="D16">
        <v>0</v>
      </c>
      <c r="E16" t="s">
        <v>2573</v>
      </c>
      <c r="F16" s="49">
        <f t="shared" si="3"/>
        <v>15</v>
      </c>
      <c r="G16">
        <f>LOOKUP($H14,F2:F1000,A2:A1000)</f>
        <v>0.21576799999999999</v>
      </c>
      <c r="H16">
        <f>LOOKUP($H14,F2:F1000,B2:B1000)</f>
        <v>0.73534900000000003</v>
      </c>
      <c r="J16" s="49">
        <f t="shared" si="0"/>
        <v>2.7359499999999999</v>
      </c>
      <c r="K16" s="49">
        <f t="shared" si="1"/>
        <v>66.283999999999992</v>
      </c>
      <c r="L16" s="49">
        <f t="shared" si="2"/>
        <v>24.227050932948334</v>
      </c>
    </row>
    <row r="17" spans="1:12">
      <c r="A17" s="49">
        <v>0.27706900000000001</v>
      </c>
      <c r="B17" s="49">
        <v>0.65554500000000004</v>
      </c>
      <c r="C17">
        <v>6.0656800000000004</v>
      </c>
      <c r="D17">
        <v>0</v>
      </c>
      <c r="E17" t="s">
        <v>2574</v>
      </c>
      <c r="F17" s="49">
        <f t="shared" si="3"/>
        <v>16</v>
      </c>
      <c r="J17" s="49">
        <f t="shared" si="0"/>
        <v>2.7706900000000001</v>
      </c>
      <c r="K17" s="49">
        <f t="shared" si="1"/>
        <v>65.554500000000004</v>
      </c>
      <c r="L17" s="49">
        <f t="shared" si="2"/>
        <v>23.659990832608486</v>
      </c>
    </row>
    <row r="18" spans="1:12">
      <c r="A18" s="49">
        <v>0.28060200000000002</v>
      </c>
      <c r="B18" s="49">
        <v>0.64865099999999998</v>
      </c>
      <c r="C18">
        <v>6.4644000000000004</v>
      </c>
      <c r="D18">
        <v>0</v>
      </c>
      <c r="E18" t="s">
        <v>2575</v>
      </c>
      <c r="F18" s="49">
        <f t="shared" si="3"/>
        <v>17</v>
      </c>
      <c r="J18" s="49">
        <f t="shared" si="0"/>
        <v>2.8060200000000002</v>
      </c>
      <c r="K18" s="49">
        <f t="shared" si="1"/>
        <v>64.865099999999998</v>
      </c>
      <c r="L18" s="49">
        <f t="shared" si="2"/>
        <v>23.116406868090746</v>
      </c>
    </row>
    <row r="19" spans="1:12">
      <c r="A19" s="49">
        <v>0.28411599999999998</v>
      </c>
      <c r="B19" s="49">
        <v>0.64168099999999995</v>
      </c>
      <c r="C19">
        <v>6.8649300000000002</v>
      </c>
      <c r="D19">
        <v>0</v>
      </c>
      <c r="E19" t="s">
        <v>2576</v>
      </c>
      <c r="F19" s="49">
        <f t="shared" si="3"/>
        <v>18</v>
      </c>
      <c r="J19" s="49">
        <f t="shared" si="0"/>
        <v>2.8411599999999999</v>
      </c>
      <c r="K19" s="49">
        <f t="shared" si="1"/>
        <v>64.168099999999995</v>
      </c>
      <c r="L19" s="49">
        <f t="shared" si="2"/>
        <v>22.585176477213533</v>
      </c>
    </row>
    <row r="20" spans="1:12">
      <c r="A20" s="49">
        <v>0.28767300000000001</v>
      </c>
      <c r="B20" s="49">
        <v>0.634961</v>
      </c>
      <c r="C20">
        <v>7.2934299999999999</v>
      </c>
      <c r="D20">
        <v>0</v>
      </c>
      <c r="E20" t="s">
        <v>2577</v>
      </c>
      <c r="F20" s="49">
        <f t="shared" si="3"/>
        <v>19</v>
      </c>
      <c r="J20" s="49">
        <f t="shared" si="0"/>
        <v>2.8767300000000002</v>
      </c>
      <c r="K20" s="49">
        <f t="shared" si="1"/>
        <v>63.496099999999998</v>
      </c>
      <c r="L20" s="49">
        <f t="shared" si="2"/>
        <v>22.072318222426155</v>
      </c>
    </row>
    <row r="21" spans="1:12">
      <c r="A21" s="49">
        <v>0.28969200000000001</v>
      </c>
      <c r="B21" s="49">
        <v>0.63187899999999997</v>
      </c>
      <c r="C21">
        <v>7.6772999999999998</v>
      </c>
      <c r="D21">
        <v>0</v>
      </c>
      <c r="E21" t="s">
        <v>2578</v>
      </c>
      <c r="F21" s="49">
        <f t="shared" si="3"/>
        <v>20</v>
      </c>
      <c r="J21" s="49">
        <f t="shared" si="0"/>
        <v>2.8969200000000002</v>
      </c>
      <c r="K21" s="49">
        <f t="shared" si="1"/>
        <v>63.187899999999999</v>
      </c>
      <c r="L21" s="49">
        <f t="shared" si="2"/>
        <v>21.812096985764189</v>
      </c>
    </row>
    <row r="22" spans="1:12">
      <c r="A22" s="49">
        <v>0.29153800000000002</v>
      </c>
      <c r="B22" s="49">
        <v>0.62877799999999995</v>
      </c>
      <c r="C22">
        <v>8.0941399999999994</v>
      </c>
      <c r="D22">
        <v>0</v>
      </c>
      <c r="E22" t="s">
        <v>2579</v>
      </c>
      <c r="F22" s="49">
        <f t="shared" si="3"/>
        <v>21</v>
      </c>
      <c r="J22" s="49">
        <f t="shared" si="0"/>
        <v>2.9153800000000003</v>
      </c>
      <c r="K22" s="49">
        <f t="shared" si="1"/>
        <v>62.877799999999993</v>
      </c>
      <c r="L22" s="49">
        <f t="shared" si="2"/>
        <v>21.567617257441565</v>
      </c>
    </row>
    <row r="23" spans="1:12">
      <c r="A23" s="49">
        <v>0.29317399999999999</v>
      </c>
      <c r="B23" s="49">
        <v>0.62592800000000004</v>
      </c>
      <c r="C23">
        <v>8.4977199999999993</v>
      </c>
      <c r="D23">
        <v>0</v>
      </c>
      <c r="E23" t="s">
        <v>2580</v>
      </c>
      <c r="F23" s="49">
        <f t="shared" si="3"/>
        <v>22</v>
      </c>
      <c r="J23" s="49">
        <f t="shared" si="0"/>
        <v>2.93174</v>
      </c>
      <c r="K23" s="49">
        <f t="shared" si="1"/>
        <v>62.592800000000004</v>
      </c>
      <c r="L23" s="49">
        <f t="shared" si="2"/>
        <v>21.350051505249443</v>
      </c>
    </row>
    <row r="24" spans="1:12">
      <c r="A24" s="49">
        <v>0.29469400000000001</v>
      </c>
      <c r="B24" s="49">
        <v>0.62335099999999999</v>
      </c>
      <c r="C24">
        <v>8.8935300000000002</v>
      </c>
      <c r="D24">
        <v>0</v>
      </c>
      <c r="E24" t="s">
        <v>2581</v>
      </c>
      <c r="F24" s="49">
        <f t="shared" si="3"/>
        <v>23</v>
      </c>
      <c r="G24" t="s">
        <v>245</v>
      </c>
      <c r="H24">
        <f>COUNT(A2:A2000)</f>
        <v>26</v>
      </c>
      <c r="J24" s="49">
        <f t="shared" si="0"/>
        <v>2.9469400000000001</v>
      </c>
      <c r="K24" s="49">
        <f t="shared" si="1"/>
        <v>62.335099999999997</v>
      </c>
      <c r="L24" s="49">
        <f t="shared" si="2"/>
        <v>21.152483593150858</v>
      </c>
    </row>
    <row r="25" spans="1:12">
      <c r="A25" s="49">
        <v>0.29615999999999998</v>
      </c>
      <c r="B25" s="49">
        <v>0.62037600000000004</v>
      </c>
      <c r="C25">
        <v>9.3151899999999994</v>
      </c>
      <c r="D25">
        <v>0</v>
      </c>
      <c r="E25" t="s">
        <v>2582</v>
      </c>
      <c r="F25" s="49">
        <f t="shared" si="3"/>
        <v>24</v>
      </c>
      <c r="J25" s="49">
        <f t="shared" si="0"/>
        <v>2.9615999999999998</v>
      </c>
      <c r="K25" s="49">
        <f t="shared" si="1"/>
        <v>62.037600000000005</v>
      </c>
      <c r="L25" s="49">
        <f t="shared" si="2"/>
        <v>20.947325769854135</v>
      </c>
    </row>
    <row r="26" spans="1:12">
      <c r="A26" s="49">
        <v>0.29753800000000002</v>
      </c>
      <c r="B26" s="49">
        <v>0.61752899999999999</v>
      </c>
      <c r="C26">
        <v>9.7329799999999995</v>
      </c>
      <c r="D26">
        <v>0</v>
      </c>
      <c r="E26" t="s">
        <v>2583</v>
      </c>
      <c r="F26" s="49">
        <f t="shared" si="3"/>
        <v>25</v>
      </c>
      <c r="J26" s="49">
        <f t="shared" si="0"/>
        <v>2.9753800000000004</v>
      </c>
      <c r="K26" s="49">
        <f t="shared" si="1"/>
        <v>61.752899999999997</v>
      </c>
      <c r="L26" s="49">
        <f t="shared" si="2"/>
        <v>20.754626299833966</v>
      </c>
    </row>
    <row r="27" spans="1:12">
      <c r="A27" s="49">
        <v>0.29891600000000002</v>
      </c>
      <c r="B27" s="49">
        <v>0.61463999999999996</v>
      </c>
      <c r="C27">
        <v>10.1129</v>
      </c>
      <c r="D27">
        <v>0</v>
      </c>
      <c r="E27" t="s">
        <v>2584</v>
      </c>
      <c r="F27" s="49">
        <f t="shared" si="3"/>
        <v>26</v>
      </c>
      <c r="J27" s="49">
        <f t="shared" si="0"/>
        <v>2.98916</v>
      </c>
      <c r="K27" s="49">
        <f t="shared" si="1"/>
        <v>61.463999999999999</v>
      </c>
      <c r="L27" s="49">
        <f t="shared" si="2"/>
        <v>20.562298438357264</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45784.572650462964</v>
      </c>
      <c r="B2" t="s">
        <v>2585</v>
      </c>
      <c r="C2" s="49"/>
      <c r="D2" s="49"/>
      <c r="E2" s="49">
        <v>4.9234099999999996</v>
      </c>
      <c r="F2" s="49">
        <v>1.3214399999999999</v>
      </c>
      <c r="G2" s="49">
        <v>0.32106400000000002</v>
      </c>
      <c r="H2" s="49">
        <v>0</v>
      </c>
      <c r="I2" s="49">
        <v>49.959499999999998</v>
      </c>
      <c r="J2" s="49">
        <v>75</v>
      </c>
      <c r="K2" s="49">
        <v>75</v>
      </c>
      <c r="L2" s="49">
        <v>100</v>
      </c>
      <c r="M2" s="521" t="s">
        <v>1549</v>
      </c>
      <c r="O2" s="565" t="str">
        <f>IF(FH_info!B2="","",TRIM(MID(SUBSTITUTE(FH_info!B2,"^",REPT(" ",LEN(FH_info!B2))),LEN(FH_info!B2)*2-LEN(FH_info!B2)+1,LEN(FH_info!B2))))</f>
        <v>mWOK</v>
      </c>
      <c r="P2" s="565" t="str">
        <f>IF(FH_info!O2="","",TRIM(MID(SUBSTITUTE(FH_info!O2," ",REPT(" ",LEN(FH_info!O2))),LEN(FH_info!O2)*1-LEN(FH_info!O2)+1,LEN(FH_info!O2))))</f>
        <v>mWOK</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49.959476000000002</v>
      </c>
      <c r="D2">
        <f>MAX(B2:B257)</f>
        <v>522.97381600000006</v>
      </c>
      <c r="G2" t="s">
        <v>1590</v>
      </c>
      <c r="H2">
        <v>4.9234140000000002</v>
      </c>
      <c r="I2">
        <v>49.959476000000002</v>
      </c>
      <c r="J2">
        <v>0</v>
      </c>
      <c r="K2">
        <v>75</v>
      </c>
      <c r="L2">
        <v>75</v>
      </c>
      <c r="M2">
        <v>1.321442</v>
      </c>
      <c r="N2">
        <v>0.32106400000000002</v>
      </c>
      <c r="O2">
        <v>0.10308199999999999</v>
      </c>
    </row>
    <row r="3" spans="1:15">
      <c r="A3">
        <v>0</v>
      </c>
      <c r="B3">
        <v>0</v>
      </c>
      <c r="G3" t="s">
        <v>1591</v>
      </c>
      <c r="H3">
        <v>4.9234140000000002</v>
      </c>
      <c r="I3">
        <v>522.97381600000006</v>
      </c>
      <c r="J3">
        <v>0</v>
      </c>
      <c r="K3">
        <v>3</v>
      </c>
      <c r="L3">
        <v>3</v>
      </c>
      <c r="M3">
        <v>0.439077</v>
      </c>
      <c r="N3">
        <v>0.31509100000000001</v>
      </c>
      <c r="O3">
        <v>9.9282999999999996E-2</v>
      </c>
    </row>
    <row r="4" spans="1:15">
      <c r="A4">
        <v>0</v>
      </c>
      <c r="B4">
        <v>0</v>
      </c>
    </row>
    <row r="5" spans="1:15">
      <c r="A5">
        <v>0.12548999999999999</v>
      </c>
      <c r="B5">
        <v>522.97381600000006</v>
      </c>
    </row>
    <row r="6" spans="1:15">
      <c r="A6">
        <v>0</v>
      </c>
      <c r="B6">
        <v>0</v>
      </c>
    </row>
    <row r="7" spans="1:15">
      <c r="A7">
        <v>0</v>
      </c>
      <c r="B7">
        <v>0</v>
      </c>
    </row>
    <row r="8" spans="1:15">
      <c r="A8">
        <v>0.16732</v>
      </c>
      <c r="B8">
        <v>446.38430799999998</v>
      </c>
    </row>
    <row r="9" spans="1:15">
      <c r="A9">
        <v>0</v>
      </c>
      <c r="B9">
        <v>0</v>
      </c>
    </row>
    <row r="10" spans="1:15">
      <c r="A10">
        <v>7.8431000000000001E-2</v>
      </c>
      <c r="B10">
        <v>305.55294800000001</v>
      </c>
    </row>
    <row r="11" spans="1:15">
      <c r="A11">
        <v>0</v>
      </c>
      <c r="B11">
        <v>0</v>
      </c>
    </row>
    <row r="12" spans="1:15">
      <c r="A12">
        <v>0</v>
      </c>
      <c r="B12">
        <v>0</v>
      </c>
    </row>
    <row r="13" spans="1:15">
      <c r="A13">
        <v>0.17647099999999999</v>
      </c>
      <c r="B13">
        <v>280.19345099999998</v>
      </c>
    </row>
    <row r="14" spans="1:15">
      <c r="A14">
        <v>0</v>
      </c>
      <c r="B14">
        <v>0</v>
      </c>
    </row>
    <row r="15" spans="1:15">
      <c r="A15">
        <v>7.8431000000000001E-2</v>
      </c>
      <c r="B15">
        <v>267.96209700000003</v>
      </c>
    </row>
    <row r="16" spans="1:15">
      <c r="A16">
        <v>0</v>
      </c>
      <c r="B16">
        <v>0</v>
      </c>
    </row>
    <row r="17" spans="1:2">
      <c r="A17">
        <v>0</v>
      </c>
      <c r="B17">
        <v>0</v>
      </c>
    </row>
    <row r="18" spans="1:2">
      <c r="A18">
        <v>0.33333299999999999</v>
      </c>
      <c r="B18">
        <v>271.091522</v>
      </c>
    </row>
    <row r="19" spans="1:2">
      <c r="A19">
        <v>0</v>
      </c>
      <c r="B19">
        <v>0</v>
      </c>
    </row>
    <row r="20" spans="1:2">
      <c r="A20">
        <v>0</v>
      </c>
      <c r="B20">
        <v>0</v>
      </c>
    </row>
    <row r="21" spans="1:2">
      <c r="A21">
        <v>1.23268</v>
      </c>
      <c r="B21">
        <v>277.45883199999997</v>
      </c>
    </row>
    <row r="22" spans="1:2">
      <c r="A22">
        <v>0</v>
      </c>
      <c r="B22">
        <v>0</v>
      </c>
    </row>
    <row r="23" spans="1:2">
      <c r="A23">
        <v>2.6771240000000001</v>
      </c>
      <c r="B23">
        <v>288.07974200000001</v>
      </c>
    </row>
    <row r="24" spans="1:2">
      <c r="A24">
        <v>0</v>
      </c>
      <c r="B24">
        <v>0</v>
      </c>
    </row>
    <row r="25" spans="1:2">
      <c r="A25">
        <v>0</v>
      </c>
      <c r="B25">
        <v>0</v>
      </c>
    </row>
    <row r="26" spans="1:2">
      <c r="A26">
        <v>3.5359479999999999</v>
      </c>
      <c r="B26">
        <v>283.11502100000001</v>
      </c>
    </row>
    <row r="27" spans="1:2">
      <c r="A27">
        <v>0</v>
      </c>
      <c r="B27">
        <v>0</v>
      </c>
    </row>
    <row r="28" spans="1:2">
      <c r="A28">
        <v>2.563399</v>
      </c>
      <c r="B28">
        <v>267.613068</v>
      </c>
    </row>
    <row r="29" spans="1:2">
      <c r="A29">
        <v>0</v>
      </c>
      <c r="B29">
        <v>0</v>
      </c>
    </row>
    <row r="30" spans="1:2">
      <c r="A30">
        <v>0</v>
      </c>
      <c r="B30">
        <v>0</v>
      </c>
    </row>
    <row r="31" spans="1:2">
      <c r="A31">
        <v>2.8078430000000001</v>
      </c>
      <c r="B31">
        <v>245.52810700000001</v>
      </c>
    </row>
    <row r="32" spans="1:2">
      <c r="A32">
        <v>0</v>
      </c>
      <c r="B32">
        <v>0</v>
      </c>
    </row>
    <row r="33" spans="1:2">
      <c r="A33">
        <v>4.5254899999999996</v>
      </c>
      <c r="B33">
        <v>221.211761</v>
      </c>
    </row>
    <row r="34" spans="1:2">
      <c r="A34">
        <v>0</v>
      </c>
      <c r="B34">
        <v>0</v>
      </c>
    </row>
    <row r="35" spans="1:2">
      <c r="A35">
        <v>0</v>
      </c>
      <c r="B35">
        <v>0</v>
      </c>
    </row>
    <row r="36" spans="1:2">
      <c r="A36">
        <v>6.724183</v>
      </c>
      <c r="B36">
        <v>190.28627</v>
      </c>
    </row>
    <row r="37" spans="1:2">
      <c r="A37">
        <v>0</v>
      </c>
      <c r="B37">
        <v>0</v>
      </c>
    </row>
    <row r="38" spans="1:2">
      <c r="A38">
        <v>0</v>
      </c>
      <c r="B38">
        <v>0</v>
      </c>
    </row>
    <row r="39" spans="1:2">
      <c r="A39">
        <v>6.0078430000000003</v>
      </c>
      <c r="B39">
        <v>168.76208500000001</v>
      </c>
    </row>
    <row r="40" spans="1:2">
      <c r="A40">
        <v>0</v>
      </c>
      <c r="B40">
        <v>0</v>
      </c>
    </row>
    <row r="41" spans="1:2">
      <c r="A41">
        <v>5.4614380000000002</v>
      </c>
      <c r="B41">
        <v>138.453598</v>
      </c>
    </row>
    <row r="42" spans="1:2">
      <c r="A42">
        <v>0</v>
      </c>
      <c r="B42">
        <v>0</v>
      </c>
    </row>
    <row r="43" spans="1:2">
      <c r="A43">
        <v>0</v>
      </c>
      <c r="B43">
        <v>0</v>
      </c>
    </row>
    <row r="44" spans="1:2">
      <c r="A44">
        <v>6.7163399999999998</v>
      </c>
      <c r="B44">
        <v>111.899345</v>
      </c>
    </row>
    <row r="45" spans="1:2">
      <c r="A45">
        <v>0</v>
      </c>
      <c r="B45">
        <v>0</v>
      </c>
    </row>
    <row r="46" spans="1:2">
      <c r="A46">
        <v>10.397385999999999</v>
      </c>
      <c r="B46">
        <v>92.900649999999999</v>
      </c>
    </row>
    <row r="47" spans="1:2">
      <c r="A47">
        <v>0</v>
      </c>
      <c r="B47">
        <v>0</v>
      </c>
    </row>
    <row r="48" spans="1:2">
      <c r="A48">
        <v>0</v>
      </c>
      <c r="B48">
        <v>0</v>
      </c>
    </row>
    <row r="49" spans="1:2">
      <c r="A49">
        <v>19.380392000000001</v>
      </c>
      <c r="B49">
        <v>75.969932999999997</v>
      </c>
    </row>
    <row r="50" spans="1:2">
      <c r="A50">
        <v>0</v>
      </c>
      <c r="B50">
        <v>0</v>
      </c>
    </row>
    <row r="51" spans="1:2">
      <c r="A51">
        <v>17.976471</v>
      </c>
      <c r="B51">
        <v>64.823532</v>
      </c>
    </row>
    <row r="52" spans="1:2">
      <c r="A52">
        <v>0</v>
      </c>
      <c r="B52">
        <v>0</v>
      </c>
    </row>
    <row r="53" spans="1:2">
      <c r="A53">
        <v>0</v>
      </c>
      <c r="B53">
        <v>0</v>
      </c>
    </row>
    <row r="54" spans="1:2">
      <c r="A54">
        <v>14.959477</v>
      </c>
      <c r="B54">
        <v>52.496730999999997</v>
      </c>
    </row>
    <row r="55" spans="1:2">
      <c r="A55">
        <v>0</v>
      </c>
      <c r="B55">
        <v>0</v>
      </c>
    </row>
    <row r="56" spans="1:2">
      <c r="A56">
        <v>0</v>
      </c>
      <c r="B56">
        <v>0</v>
      </c>
    </row>
    <row r="57" spans="1:2">
      <c r="A57">
        <v>19.078431999999999</v>
      </c>
      <c r="B57">
        <v>46.064053000000001</v>
      </c>
    </row>
    <row r="58" spans="1:2">
      <c r="A58">
        <v>0</v>
      </c>
      <c r="B58">
        <v>0</v>
      </c>
    </row>
    <row r="59" spans="1:2">
      <c r="A59">
        <v>18.549019000000001</v>
      </c>
      <c r="B59">
        <v>40.312420000000003</v>
      </c>
    </row>
    <row r="60" spans="1:2">
      <c r="A60">
        <v>0</v>
      </c>
      <c r="B60">
        <v>0</v>
      </c>
    </row>
    <row r="61" spans="1:2">
      <c r="A61">
        <v>0</v>
      </c>
      <c r="B61">
        <v>0</v>
      </c>
    </row>
    <row r="62" spans="1:2">
      <c r="A62">
        <v>25.500654000000001</v>
      </c>
      <c r="B62">
        <v>36.118954000000002</v>
      </c>
    </row>
    <row r="63" spans="1:2">
      <c r="A63">
        <v>0</v>
      </c>
      <c r="B63">
        <v>0</v>
      </c>
    </row>
    <row r="64" spans="1:2">
      <c r="A64">
        <v>30.354247999999998</v>
      </c>
      <c r="B64">
        <v>30.55294</v>
      </c>
    </row>
    <row r="65" spans="1:2">
      <c r="A65">
        <v>0</v>
      </c>
      <c r="B65">
        <v>0</v>
      </c>
    </row>
    <row r="66" spans="1:2">
      <c r="A66">
        <v>0</v>
      </c>
      <c r="B66">
        <v>0</v>
      </c>
    </row>
    <row r="67" spans="1:2">
      <c r="A67">
        <v>28.813071999999998</v>
      </c>
      <c r="B67">
        <v>25.641829000000001</v>
      </c>
    </row>
    <row r="68" spans="1:2">
      <c r="A68">
        <v>0</v>
      </c>
      <c r="B68">
        <v>0</v>
      </c>
    </row>
    <row r="69" spans="1:2">
      <c r="A69">
        <v>34.440520999999997</v>
      </c>
      <c r="B69">
        <v>21.490196000000001</v>
      </c>
    </row>
    <row r="70" spans="1:2">
      <c r="A70">
        <v>0</v>
      </c>
      <c r="B70">
        <v>0</v>
      </c>
    </row>
    <row r="71" spans="1:2">
      <c r="A71">
        <v>0</v>
      </c>
      <c r="B71">
        <v>0</v>
      </c>
    </row>
    <row r="72" spans="1:2">
      <c r="A72">
        <v>38.149017000000001</v>
      </c>
      <c r="B72">
        <v>17.362090999999999</v>
      </c>
    </row>
    <row r="73" spans="1:2">
      <c r="A73">
        <v>0</v>
      </c>
      <c r="B73">
        <v>0</v>
      </c>
    </row>
    <row r="74" spans="1:2">
      <c r="A74">
        <v>0</v>
      </c>
      <c r="B74">
        <v>0</v>
      </c>
    </row>
    <row r="75" spans="1:2">
      <c r="A75">
        <v>42.193466000000001</v>
      </c>
      <c r="B75">
        <v>12.962090999999999</v>
      </c>
    </row>
    <row r="76" spans="1:2">
      <c r="A76">
        <v>0</v>
      </c>
      <c r="B76">
        <v>0</v>
      </c>
    </row>
    <row r="77" spans="1:2">
      <c r="A77">
        <v>49.959476000000002</v>
      </c>
      <c r="B77">
        <v>10.507189</v>
      </c>
    </row>
    <row r="78" spans="1:2">
      <c r="A78">
        <v>0</v>
      </c>
      <c r="B78">
        <v>0</v>
      </c>
    </row>
    <row r="79" spans="1:2">
      <c r="A79">
        <v>0</v>
      </c>
      <c r="B79">
        <v>0</v>
      </c>
    </row>
    <row r="80" spans="1:2">
      <c r="A80">
        <v>41.809151</v>
      </c>
      <c r="B80">
        <v>7.9346399999999999</v>
      </c>
    </row>
    <row r="81" spans="1:2">
      <c r="A81">
        <v>0</v>
      </c>
      <c r="B81">
        <v>0</v>
      </c>
    </row>
    <row r="82" spans="1:2">
      <c r="A82">
        <v>32.145099999999999</v>
      </c>
      <c r="B82">
        <v>5.5228760000000001</v>
      </c>
    </row>
    <row r="83" spans="1:2">
      <c r="A83">
        <v>0</v>
      </c>
      <c r="B83">
        <v>0</v>
      </c>
    </row>
    <row r="84" spans="1:2">
      <c r="A84">
        <v>0</v>
      </c>
      <c r="B84">
        <v>0</v>
      </c>
    </row>
    <row r="85" spans="1:2">
      <c r="A85">
        <v>28.900653999999999</v>
      </c>
      <c r="B85">
        <v>4.0575169999999998</v>
      </c>
    </row>
    <row r="86" spans="1:2">
      <c r="A86">
        <v>0</v>
      </c>
      <c r="B86">
        <v>0</v>
      </c>
    </row>
    <row r="87" spans="1:2">
      <c r="A87">
        <v>0</v>
      </c>
      <c r="B87">
        <v>0</v>
      </c>
    </row>
    <row r="88" spans="1:2">
      <c r="A88">
        <v>21.369935999999999</v>
      </c>
      <c r="B88">
        <v>2.6627450000000001</v>
      </c>
    </row>
    <row r="89" spans="1:2">
      <c r="A89">
        <v>0</v>
      </c>
      <c r="B89">
        <v>0</v>
      </c>
    </row>
    <row r="90" spans="1:2">
      <c r="A90">
        <v>19.619607999999999</v>
      </c>
      <c r="B90">
        <v>1.8535950000000001</v>
      </c>
    </row>
    <row r="91" spans="1:2">
      <c r="A91">
        <v>0</v>
      </c>
      <c r="B91">
        <v>0</v>
      </c>
    </row>
    <row r="92" spans="1:2">
      <c r="A92">
        <v>0</v>
      </c>
      <c r="B92">
        <v>0</v>
      </c>
    </row>
    <row r="93" spans="1:2">
      <c r="A93">
        <v>17.431372</v>
      </c>
      <c r="B93">
        <v>1.2183010000000001</v>
      </c>
    </row>
    <row r="94" spans="1:2">
      <c r="A94">
        <v>0</v>
      </c>
      <c r="B94">
        <v>0</v>
      </c>
    </row>
    <row r="95" spans="1:2">
      <c r="A95">
        <v>10.599999</v>
      </c>
      <c r="B95">
        <v>0.611765</v>
      </c>
    </row>
    <row r="96" spans="1:2">
      <c r="A96">
        <v>0</v>
      </c>
      <c r="B96">
        <v>0</v>
      </c>
    </row>
    <row r="97" spans="1:2">
      <c r="A97">
        <v>0</v>
      </c>
      <c r="B97">
        <v>0</v>
      </c>
    </row>
    <row r="98" spans="1:2">
      <c r="A98">
        <v>6.393465</v>
      </c>
      <c r="B98">
        <v>0.36078399999999999</v>
      </c>
    </row>
    <row r="99" spans="1:2">
      <c r="A99">
        <v>0</v>
      </c>
      <c r="B99">
        <v>0</v>
      </c>
    </row>
    <row r="100" spans="1:2">
      <c r="A100">
        <v>4.8431369999999996</v>
      </c>
      <c r="B100">
        <v>0.24313699999999999</v>
      </c>
    </row>
    <row r="101" spans="1:2">
      <c r="A101">
        <v>0</v>
      </c>
      <c r="B101">
        <v>0</v>
      </c>
    </row>
    <row r="102" spans="1:2">
      <c r="A102">
        <v>0</v>
      </c>
      <c r="B102">
        <v>0</v>
      </c>
    </row>
    <row r="103" spans="1:2">
      <c r="A103">
        <v>3.1633990000000001</v>
      </c>
      <c r="B103">
        <v>0.168627</v>
      </c>
    </row>
    <row r="104" spans="1:2">
      <c r="A104">
        <v>0</v>
      </c>
      <c r="B104">
        <v>0</v>
      </c>
    </row>
    <row r="105" spans="1:2">
      <c r="A105">
        <v>0</v>
      </c>
      <c r="B105">
        <v>0</v>
      </c>
    </row>
    <row r="106" spans="1:2">
      <c r="A106">
        <v>2.4692810000000001</v>
      </c>
      <c r="B106">
        <v>0.13725499999999999</v>
      </c>
    </row>
    <row r="107" spans="1:2">
      <c r="A107">
        <v>0</v>
      </c>
      <c r="B107">
        <v>0</v>
      </c>
    </row>
    <row r="108" spans="1:2">
      <c r="A108">
        <v>1.3660129999999999</v>
      </c>
      <c r="B108">
        <v>6.2744999999999995E-2</v>
      </c>
    </row>
    <row r="109" spans="1:2">
      <c r="A109">
        <v>0</v>
      </c>
      <c r="B109">
        <v>0</v>
      </c>
    </row>
    <row r="110" spans="1:2">
      <c r="A110">
        <v>0</v>
      </c>
      <c r="B110">
        <v>0</v>
      </c>
    </row>
    <row r="111" spans="1:2">
      <c r="A111">
        <v>1.3921570000000001</v>
      </c>
      <c r="B111">
        <v>4.4443999999999997E-2</v>
      </c>
    </row>
    <row r="112" spans="1:2">
      <c r="A112">
        <v>0</v>
      </c>
      <c r="B112">
        <v>0</v>
      </c>
    </row>
    <row r="113" spans="1:2">
      <c r="A113">
        <v>0.22614400000000001</v>
      </c>
      <c r="B113">
        <v>1.4378999999999999E-2</v>
      </c>
    </row>
    <row r="114" spans="1:2">
      <c r="A114">
        <v>0</v>
      </c>
      <c r="B114">
        <v>0</v>
      </c>
    </row>
    <row r="115" spans="1:2">
      <c r="A115">
        <v>0</v>
      </c>
      <c r="B115">
        <v>0</v>
      </c>
    </row>
    <row r="116" spans="1:2">
      <c r="A116">
        <v>8.6275000000000004E-2</v>
      </c>
      <c r="B116">
        <v>1.0458E-2</v>
      </c>
    </row>
    <row r="117" spans="1:2">
      <c r="A117">
        <v>0</v>
      </c>
      <c r="B117">
        <v>0</v>
      </c>
    </row>
    <row r="118" spans="1:2">
      <c r="A118">
        <v>4.1829999999999999E-2</v>
      </c>
      <c r="B118">
        <v>3.9220000000000001E-3</v>
      </c>
    </row>
    <row r="119" spans="1:2">
      <c r="A119">
        <v>0</v>
      </c>
      <c r="B119">
        <v>0</v>
      </c>
    </row>
    <row r="120" spans="1:2">
      <c r="A120">
        <v>0</v>
      </c>
      <c r="B120">
        <v>0</v>
      </c>
    </row>
    <row r="121" spans="1:2">
      <c r="A121">
        <v>4.1829999999999999E-2</v>
      </c>
      <c r="B121">
        <v>1.0458E-2</v>
      </c>
    </row>
    <row r="122" spans="1:2">
      <c r="A122">
        <v>0</v>
      </c>
      <c r="B122">
        <v>0</v>
      </c>
    </row>
    <row r="123" spans="1:2">
      <c r="A123">
        <v>0</v>
      </c>
      <c r="B123">
        <v>0</v>
      </c>
    </row>
    <row r="124" spans="1:2">
      <c r="A124">
        <v>8.3659999999999998E-2</v>
      </c>
      <c r="B124">
        <v>3.9220000000000001E-3</v>
      </c>
    </row>
    <row r="125" spans="1:2">
      <c r="A125">
        <v>0</v>
      </c>
      <c r="B125">
        <v>0</v>
      </c>
    </row>
    <row r="126" spans="1:2">
      <c r="A126">
        <v>0.128105</v>
      </c>
      <c r="B126">
        <v>3.9220000000000001E-3</v>
      </c>
    </row>
    <row r="127" spans="1:2">
      <c r="A127">
        <v>0</v>
      </c>
      <c r="B127">
        <v>0</v>
      </c>
    </row>
    <row r="128" spans="1:2">
      <c r="A128">
        <v>0</v>
      </c>
      <c r="B128">
        <v>0</v>
      </c>
    </row>
    <row r="129" spans="1:2">
      <c r="A129">
        <v>4.3137000000000002E-2</v>
      </c>
      <c r="B129">
        <v>1.307E-3</v>
      </c>
    </row>
    <row r="130" spans="1:2">
      <c r="A130">
        <v>0</v>
      </c>
      <c r="B130">
        <v>0</v>
      </c>
    </row>
    <row r="131" spans="1:2">
      <c r="A131">
        <v>4.3137000000000002E-2</v>
      </c>
      <c r="B131">
        <v>1.307E-3</v>
      </c>
    </row>
    <row r="132" spans="1:2">
      <c r="A132">
        <v>0</v>
      </c>
      <c r="B132">
        <v>0</v>
      </c>
    </row>
    <row r="133" spans="1:2">
      <c r="A133">
        <v>0</v>
      </c>
      <c r="B133">
        <v>0</v>
      </c>
    </row>
    <row r="134" spans="1:2">
      <c r="A134">
        <v>4.4443999999999997E-2</v>
      </c>
      <c r="B134">
        <v>1.307E-3</v>
      </c>
    </row>
    <row r="135" spans="1:2">
      <c r="A135">
        <v>0</v>
      </c>
      <c r="B135">
        <v>0</v>
      </c>
    </row>
    <row r="136" spans="1:2">
      <c r="A136">
        <v>4.4443999999999997E-2</v>
      </c>
      <c r="B136">
        <v>1.307E-3</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0.315893991191438
0.32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0.31589399119143829</v>
      </c>
      <c r="I4" s="322">
        <f>IF(Measurement!AQ7&lt;&gt;"",NORMSDIST((H6-$B$2)/$B$3)*100,"")</f>
        <v>67.633293045600198</v>
      </c>
      <c r="J4" t="str">
        <f>Measurement!AR7</f>
        <v>건강</v>
      </c>
    </row>
    <row r="5" spans="1:11">
      <c r="B5" s="171">
        <v>-10</v>
      </c>
      <c r="C5" s="171">
        <f>NORMSDIST(($B5-$B$2)/$B$3)*100</f>
        <v>7.1097265868555281E-5</v>
      </c>
      <c r="G5" t="s">
        <v>1539</v>
      </c>
      <c r="H5" s="320">
        <f>IF(Measurement!AQ7&lt;-7,-7,Measurement!AQ7)</f>
        <v>0.31589399119143829</v>
      </c>
      <c r="I5" s="321">
        <f>IF(Measurement!AQ7&lt;&gt;"",0,"")</f>
        <v>0</v>
      </c>
    </row>
    <row r="6" spans="1:11">
      <c r="B6" s="171">
        <f>B5+0.1</f>
        <v>-9.9</v>
      </c>
      <c r="C6" s="171">
        <f t="shared" ref="C6:C57" si="0">NORMSDIST(($B6-$B$2)/$B$3)*100</f>
        <v>9.1781224195367343E-5</v>
      </c>
      <c r="H6" s="320">
        <f>IF(Measurement!AQ7&lt;-7,-7,Measurement!AQ7)</f>
        <v>0.31589399119143829</v>
      </c>
      <c r="I6" s="321">
        <f>IF(Measurement!AQ7&lt;&gt;"",NORMSDIST((H6-$B$2)/$B$3)*100,"")</f>
        <v>67.633293045600198</v>
      </c>
    </row>
    <row r="7" spans="1:11">
      <c r="B7" s="171">
        <f t="shared" ref="B7:B70" si="1">B6+0.1</f>
        <v>-9.8000000000000007</v>
      </c>
      <c r="C7" s="171">
        <f t="shared" si="0"/>
        <v>1.1818368021892541E-4</v>
      </c>
      <c r="D7" s="171"/>
      <c r="H7" s="320">
        <f>IF(Measurement!AQ7&lt;&gt;"",-7,"")</f>
        <v>-7</v>
      </c>
      <c r="I7" s="321">
        <f>IF(Measurement!AQ7&lt;&gt;"",NORMSDIST((H6-$B$2)/$B$3)*100,"")</f>
        <v>67.633293045600198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75.92</v>
      </c>
      <c r="V4" t="s">
        <v>1218</v>
      </c>
    </row>
    <row r="5" spans="1:29">
      <c r="B5" s="171">
        <v>0</v>
      </c>
      <c r="C5" s="171">
        <f>NORMSDIST(($B5-$B$2)/$B$3)*100</f>
        <v>1.2153167836658598</v>
      </c>
      <c r="H5">
        <f>info!W36</f>
        <v>75.920199999999994</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75.920199999999994</v>
      </c>
      <c r="I6" s="171">
        <f>NORMSDIST((H6-$B$2)/$B$3)*100</f>
        <v>87.851119848273385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87.851119848273385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1.3214399999999999</v>
      </c>
    </row>
    <row r="3" spans="1:11" ht="18">
      <c r="A3" s="71" t="s">
        <v>1065</v>
      </c>
      <c r="B3" s="557">
        <v>0.71290976993199895</v>
      </c>
      <c r="C3" s="523"/>
      <c r="H3" s="561" t="s">
        <v>2223</v>
      </c>
      <c r="I3" s="562">
        <f>IF(I2=0,0,NORMSDIST((I2-$B$2)/$B$3)*100)</f>
        <v>20.852572024841866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1.32</v>
      </c>
    </row>
    <row r="6" spans="1:11">
      <c r="B6" s="23">
        <v>0</v>
      </c>
      <c r="C6" s="23">
        <f>NORMSDIST(($B6-$B$2)/$B$3)*100</f>
        <v>0.38478836223957635</v>
      </c>
      <c r="H6" s="205">
        <f>IF(info!V36&gt;I1,I1,info!V36)</f>
        <v>1.3214399999999999</v>
      </c>
      <c r="I6" s="560">
        <v>0</v>
      </c>
    </row>
    <row r="7" spans="1:11">
      <c r="B7" s="23">
        <f>B5+0.05</f>
        <v>0</v>
      </c>
      <c r="C7" s="23">
        <f t="shared" ref="C7:E58" si="0">NORMSDIST(($B7-$B$2)/$B$3)*100</f>
        <v>0.38478836223957635</v>
      </c>
      <c r="H7" s="205">
        <f>IF(info!V36&gt;I1,I1,info!V36)</f>
        <v>1.3214399999999999</v>
      </c>
      <c r="I7" s="560">
        <f>NORMSDIST((H7-$B$2)/$B$3)*100</f>
        <v>20.852572024841866</v>
      </c>
    </row>
    <row r="8" spans="1:11">
      <c r="B8" s="23">
        <f t="shared" ref="B8:B71" si="1">B7+0.05</f>
        <v>0.05</v>
      </c>
      <c r="C8" s="23">
        <f t="shared" si="0"/>
        <v>0.47295624138584591</v>
      </c>
      <c r="D8" s="171"/>
      <c r="H8" s="205">
        <v>0</v>
      </c>
      <c r="I8" s="560">
        <f>NORMSDIST((H7-$B$2)/$B$3)*100</f>
        <v>20.852572024841866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1.3214399999999999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1.3214399999999999</v>
      </c>
      <c r="I6" s="171">
        <f>NORMSDIST((H6-$B$2)/$B$3)*100</f>
        <v>4.2540627446650089E-2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4.2540627446650089E-2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45784.572650462964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mWOK</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3</v>
      </c>
      <c r="N12" s="234">
        <f>IF(O12=1,Measurement!CH8,"")</f>
        <v>2</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45784.572650462964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mWOK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2</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2025-05-07T04:44:51Z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