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Du0e^1^1^\"/>
    </mc:Choice>
  </mc:AlternateContent>
  <xr:revisionPtr revIDLastSave="0" documentId="13_ncr:1_{73A304D5-445A-4CD7-8469-7445D2A8EE4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8" i="36"/>
  <c r="H7" i="36"/>
  <c r="H7" i="33"/>
  <c r="V2" i="14"/>
  <c r="L8" i="49" s="1"/>
  <c r="U2" i="14"/>
  <c r="R8" i="49" s="1"/>
  <c r="T2" i="14"/>
  <c r="L7" i="49" s="1"/>
  <c r="R2" i="14"/>
  <c r="O2" i="14"/>
  <c r="H8" i="43" s="1"/>
  <c r="L7" i="33" l="1"/>
  <c r="Q8" i="44"/>
  <c r="L7" i="46"/>
  <c r="L8" i="36"/>
  <c r="L8" i="40"/>
  <c r="L8" i="44"/>
  <c r="L7" i="30"/>
  <c r="H8" i="33"/>
  <c r="Q8" i="36"/>
  <c r="L7" i="38"/>
  <c r="H8" i="39"/>
  <c r="Q8" i="40"/>
  <c r="L7" i="42"/>
  <c r="L8" i="33"/>
  <c r="L8" i="39"/>
  <c r="L8" i="43"/>
  <c r="Q8" i="37"/>
  <c r="Q2" i="14"/>
  <c r="H8" i="49"/>
  <c r="H8" i="30"/>
  <c r="Q8" i="33"/>
  <c r="L7" i="37"/>
  <c r="H8" i="38"/>
  <c r="Q8" i="39"/>
  <c r="L7" i="41"/>
  <c r="H8" i="42"/>
  <c r="Q8" i="43"/>
  <c r="L7" i="45"/>
  <c r="H8" i="46"/>
  <c r="L7" i="39"/>
  <c r="H8" i="40"/>
  <c r="L7" i="43"/>
  <c r="Q8" i="45"/>
  <c r="L8" i="38"/>
  <c r="L8" i="46"/>
  <c r="Q8" i="41"/>
  <c r="H8" i="44"/>
  <c r="P2" i="14"/>
  <c r="L8" i="30"/>
  <c r="L8" i="42"/>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7" i="1"/>
  <c r="I32" i="48" s="1"/>
  <c r="L8" i="1"/>
  <c r="I33" i="48" s="1"/>
  <c r="L16" i="1"/>
  <c r="I41" i="48" s="1"/>
  <c r="L15" i="1"/>
  <c r="I40" i="48" s="1"/>
  <c r="L11" i="1"/>
  <c r="I36"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BV7" i="1"/>
  <c r="CC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BZ7" i="1" l="1"/>
  <c r="BY7" i="1"/>
  <c r="CA7" i="1"/>
  <c r="BX6" i="1" s="1"/>
  <c r="CD7" i="1"/>
  <c r="AS7" i="1"/>
  <c r="A71" i="32"/>
  <c r="A67" i="32"/>
  <c r="B53" i="24"/>
  <c r="D53" i="24" s="1"/>
  <c r="H4" i="21"/>
  <c r="H6" i="21"/>
  <c r="I6" i="21" s="1"/>
  <c r="H5" i="21"/>
  <c r="A9" i="17"/>
  <c r="C8" i="17"/>
  <c r="B8" i="17" s="1"/>
  <c r="V21" i="11"/>
  <c r="V52" i="11"/>
  <c r="X52" i="11" s="1"/>
  <c r="B46" i="25"/>
  <c r="G46" i="25" s="1"/>
  <c r="BY6" i="1"/>
  <c r="CA6" i="1"/>
  <c r="CC6" i="1"/>
  <c r="CB6" i="1"/>
  <c r="CE6" i="1"/>
  <c r="H7" i="21"/>
  <c r="I5" i="21"/>
  <c r="B27" i="21"/>
  <c r="C26" i="21"/>
  <c r="B83" i="23"/>
  <c r="E82" i="23"/>
  <c r="C28" i="23"/>
  <c r="H20" i="18"/>
  <c r="F15" i="13"/>
  <c r="L14" i="13"/>
  <c r="M17" i="1"/>
  <c r="A50" i="6"/>
  <c r="A54" i="6"/>
  <c r="K24" i="1"/>
  <c r="I24" i="1"/>
  <c r="F9" i="11"/>
  <c r="A10" i="11"/>
  <c r="B9" i="11"/>
  <c r="E9" i="11" s="1"/>
  <c r="BV6" i="1" l="1"/>
  <c r="CG4" i="1" s="1"/>
  <c r="CG8" i="1" s="1"/>
  <c r="M12" i="49" s="1"/>
  <c r="BW6" i="1"/>
  <c r="CD6" i="1"/>
  <c r="BZ6" i="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G7" i="1"/>
  <c r="B84" i="23"/>
  <c r="E83" i="23"/>
  <c r="B28" i="21"/>
  <c r="C27" i="21"/>
  <c r="C29" i="23"/>
  <c r="S20" i="18"/>
  <c r="C27" i="18"/>
  <c r="F16" i="13"/>
  <c r="L15" i="13"/>
  <c r="M18" i="1"/>
  <c r="A55" i="6"/>
  <c r="A51" i="6"/>
  <c r="F10" i="11"/>
  <c r="A11" i="11"/>
  <c r="B10" i="11"/>
  <c r="E10" i="11" s="1"/>
  <c r="CH7" i="1" l="1"/>
  <c r="CK7" i="1" s="1"/>
  <c r="CH4" i="1"/>
  <c r="CH8" i="1" s="1"/>
  <c r="N12" i="49" s="1"/>
  <c r="CJ8" i="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37"/>
  <c r="O7" i="45"/>
  <c r="O7" i="41"/>
  <c r="O7" i="44"/>
  <c r="O7" i="40"/>
  <c r="O7" i="36"/>
  <c r="O7" i="46"/>
  <c r="O7" i="42"/>
  <c r="O7" i="38"/>
  <c r="O7" i="30"/>
  <c r="O7" i="43"/>
  <c r="O7" i="33"/>
  <c r="O7" i="39"/>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Y12" i="1" s="1"/>
  <c r="F209" i="11"/>
  <c r="B209" i="11"/>
  <c r="E209" i="11" s="1"/>
  <c r="A210" i="11"/>
  <c r="L37" i="48" l="1"/>
  <c r="L37" i="18"/>
  <c r="C212" i="17"/>
  <c r="B212" i="17" s="1"/>
  <c r="A213" i="17"/>
  <c r="F210" i="11"/>
  <c r="B210" i="11"/>
  <c r="E210" i="11" s="1"/>
  <c r="A211" i="11"/>
  <c r="Y7" i="1" l="1"/>
  <c r="Y9" i="1"/>
  <c r="Y11" i="1"/>
  <c r="Y16" i="1"/>
  <c r="Y10" i="1"/>
  <c r="Y14" i="1"/>
  <c r="C213" i="17"/>
  <c r="B213" i="17" s="1"/>
  <c r="Y8" i="1" s="1"/>
  <c r="A214" i="17"/>
  <c r="F211" i="11"/>
  <c r="A212" i="11"/>
  <c r="B211" i="11"/>
  <c r="E211" i="11" s="1"/>
  <c r="L33" i="48" l="1"/>
  <c r="L33" i="18"/>
  <c r="L41" i="48"/>
  <c r="L41" i="18"/>
  <c r="L39" i="48"/>
  <c r="L39" i="18"/>
  <c r="L34" i="48"/>
  <c r="L34" i="18"/>
  <c r="L35" i="48"/>
  <c r="L35" i="18"/>
  <c r="L36" i="48"/>
  <c r="L36" i="18"/>
  <c r="L32" i="48"/>
  <c r="L32"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K9" i="1" s="1"/>
  <c r="F255" i="11"/>
  <c r="A256" i="11"/>
  <c r="B255" i="11"/>
  <c r="E255" i="11" s="1"/>
  <c r="C258" i="17" l="1"/>
  <c r="B258" i="17" s="1"/>
  <c r="A259" i="17"/>
  <c r="CU9" i="1"/>
  <c r="CS9" i="1"/>
  <c r="CT9" i="1"/>
  <c r="CH9" i="1" s="1"/>
  <c r="CV9" i="1"/>
  <c r="CS6" i="1"/>
  <c r="F256" i="11"/>
  <c r="A257" i="11"/>
  <c r="B257" i="11" s="1"/>
  <c r="E257" i="11" s="1"/>
  <c r="B256" i="11"/>
  <c r="E256" i="11" s="1"/>
  <c r="A260" i="17" l="1"/>
  <c r="C259" i="17"/>
  <c r="B259" i="17" s="1"/>
  <c r="CN10" i="1" s="1"/>
  <c r="K15" i="18" s="1"/>
  <c r="CR6" i="1"/>
  <c r="CY9" i="1"/>
  <c r="CW6" i="1"/>
  <c r="CR9" i="1"/>
  <c r="CW9" i="1"/>
  <c r="CX9" i="1"/>
  <c r="F257" i="11"/>
  <c r="P13" i="18" l="1"/>
  <c r="CG9" i="1"/>
  <c r="CJ9" i="1"/>
  <c r="CJ14" i="1" s="1"/>
  <c r="D13" i="18" s="1"/>
  <c r="C260" i="17"/>
  <c r="B260" i="17" s="1"/>
  <c r="CO10" i="1" s="1"/>
  <c r="K16" i="18" s="1"/>
  <c r="A261" i="17"/>
  <c r="F258" i="11"/>
  <c r="CG18" i="1" l="1"/>
  <c r="CG16" i="1"/>
  <c r="CG15" i="1" s="1"/>
  <c r="CG17" i="1"/>
  <c r="C261" i="17"/>
  <c r="B261" i="17" s="1"/>
  <c r="CP10" i="1" s="1"/>
  <c r="A262" i="17"/>
  <c r="F259" i="11"/>
  <c r="K17" i="18" l="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266" i="17"/>
  <c r="B266" i="17" s="1"/>
  <c r="CU10" i="1" s="1"/>
  <c r="M15" i="18" s="1"/>
  <c r="A267" i="17"/>
  <c r="F264" i="11"/>
  <c r="C267" i="17" l="1"/>
  <c r="B267" i="17" s="1"/>
  <c r="CV10" i="1" s="1"/>
  <c r="M16" i="18" s="1"/>
  <c r="A268" i="17"/>
  <c r="F265" i="11"/>
  <c r="C268" i="17" l="1"/>
  <c r="B268" i="17" s="1"/>
  <c r="CW10" i="1" s="1"/>
  <c r="A269" i="17"/>
  <c r="F266" i="11"/>
  <c r="P17" i="18" l="1"/>
  <c r="CG10" i="1"/>
  <c r="CJ10" i="1"/>
  <c r="C269" i="17"/>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CK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H11" i="1" s="1"/>
  <c r="A278" i="17"/>
  <c r="F275" i="11"/>
  <c r="C278" i="17" l="1"/>
  <c r="B278" i="17" s="1"/>
  <c r="CU11" i="1" s="1"/>
  <c r="A279" i="17"/>
  <c r="F276" i="11"/>
  <c r="C279" i="17" l="1"/>
  <c r="B279" i="17" s="1"/>
  <c r="CV11" i="1" s="1"/>
  <c r="A280" i="17"/>
  <c r="F277" i="11"/>
  <c r="C280" i="17" l="1"/>
  <c r="B280" i="17" s="1"/>
  <c r="CW11" i="1" s="1"/>
  <c r="A281" i="17"/>
  <c r="F278" i="11"/>
  <c r="CG11" i="1" l="1"/>
  <c r="CJ11" i="1"/>
  <c r="G13" i="18" s="1"/>
  <c r="C281" i="17"/>
  <c r="B281" i="17" s="1"/>
  <c r="CX11" i="1" s="1"/>
  <c r="A282" i="17"/>
  <c r="F279" i="11"/>
  <c r="C282" i="17" l="1"/>
  <c r="B282" i="17" s="1"/>
  <c r="CY11" i="1" s="1"/>
  <c r="A283" i="17"/>
  <c r="F280" i="11"/>
  <c r="C283" i="17" l="1"/>
  <c r="B283" i="17" s="1"/>
  <c r="A284" i="17"/>
  <c r="F281" i="11"/>
  <c r="C284" i="17" l="1"/>
  <c r="B284" i="17" s="1"/>
  <c r="A285" i="17"/>
  <c r="CO15" i="1"/>
  <c r="CQ15" i="1"/>
  <c r="CN15" i="1"/>
  <c r="K13" i="48" s="1"/>
  <c r="CP15" i="1"/>
  <c r="CK16" i="1" s="1"/>
  <c r="F282" i="11"/>
  <c r="C285" i="17" l="1"/>
  <c r="B285" i="17" s="1"/>
  <c r="A286" i="17"/>
  <c r="CS15" i="1"/>
  <c r="M13" i="48" s="1"/>
  <c r="CT15" i="1"/>
  <c r="CV15" i="1"/>
  <c r="CU15" i="1"/>
  <c r="F283" i="11"/>
  <c r="C286" i="17" l="1"/>
  <c r="B286" i="17" s="1"/>
  <c r="CN16" i="1" s="1"/>
  <c r="K15" i="48" s="1"/>
  <c r="A287" i="17"/>
  <c r="CW15" i="1"/>
  <c r="CR15" i="1"/>
  <c r="CX15" i="1"/>
  <c r="CY15" i="1"/>
  <c r="F284" i="11"/>
  <c r="P13" i="48" l="1"/>
  <c r="CJ16" i="1"/>
  <c r="CJ20" i="1" s="1"/>
  <c r="D13" i="48" s="1"/>
  <c r="C287" i="17"/>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A296" i="17"/>
  <c r="F293" i="11"/>
  <c r="P17" i="48" l="1"/>
  <c r="CJ17" i="1"/>
  <c r="C296" i="17"/>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CJ18" i="1" s="1"/>
  <c r="G13" i="48"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K12" i="1" l="1"/>
  <c r="CK19" i="1"/>
  <c r="C313" i="17"/>
  <c r="B313" i="17" s="1"/>
  <c r="CQ12" i="1" s="1"/>
  <c r="A314" i="17"/>
  <c r="F311" i="11"/>
  <c r="C314" i="17" l="1"/>
  <c r="B314" i="17" s="1"/>
  <c r="CR12" i="1" s="1"/>
  <c r="A315" i="17"/>
  <c r="F312" i="11"/>
  <c r="C315" i="17" l="1"/>
  <c r="B315" i="17" s="1"/>
  <c r="CS12" i="1" s="1"/>
  <c r="A316" i="17"/>
  <c r="F313" i="11"/>
  <c r="C316" i="17" l="1"/>
  <c r="B316" i="17" s="1"/>
  <c r="CT12" i="1" s="1"/>
  <c r="CH12" i="1" s="1"/>
  <c r="A317" i="17"/>
  <c r="F314" i="11"/>
  <c r="C317" i="17" l="1"/>
  <c r="B317" i="17" s="1"/>
  <c r="CU12" i="1" s="1"/>
  <c r="A318" i="17"/>
  <c r="F315" i="11"/>
  <c r="C318" i="17" l="1"/>
  <c r="B318" i="17" s="1"/>
  <c r="CV12" i="1" s="1"/>
  <c r="A319" i="17"/>
  <c r="F316" i="11"/>
  <c r="C319" i="17" l="1"/>
  <c r="B319" i="17" s="1"/>
  <c r="CW12" i="1" s="1"/>
  <c r="A320" i="17"/>
  <c r="F317" i="11"/>
  <c r="CG12" i="1" l="1"/>
  <c r="CJ19" i="1"/>
  <c r="D15" i="48" s="1"/>
  <c r="CJ12" i="1"/>
  <c r="D15" i="18" s="1"/>
  <c r="C320" i="17"/>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CB31" i="11" s="1"/>
  <c r="A501" i="17"/>
  <c r="F498" i="11"/>
  <c r="J28" i="48" l="1"/>
  <c r="J28" i="18"/>
  <c r="C501" i="17"/>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AW23" i="11" s="1"/>
  <c r="F616" i="11"/>
  <c r="AR26" i="11" l="1"/>
  <c r="X21" i="11" s="1"/>
  <c r="AS26" i="11"/>
  <c r="C620" i="17"/>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<sst xmlns="http://schemas.openxmlformats.org/spreadsheetml/2006/main" count="7312" uniqueCount="2586">
  <si>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</si>
  <si>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</si>
  <si>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</si>
  <si>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</si>
  <si>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</si>
  <si>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</si>
  <si>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</si>
  <si>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</si>
  <si>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</si>
  <si>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</si>
  <si>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</si>
  <si>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</si>
  <si>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</si>
  <si>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</si>
  <si>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</si>
  <si>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</si>
  <si>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</si>
  <si>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</si>
  <si>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</si>
  <si>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</si>
  <si>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</si>
  <si>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</si>
  <si>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</si>
  <si>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</si>
  <si>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</si>
  <si>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</si>
  <si>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</si>
  <si>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</si>
  <si>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</si>
  <si>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</si>
  <si>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</si>
  <si>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</si>
  <si>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</si>
  <si>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</si>
  <si>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</si>
  <si>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</si>
  <si>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</si>
  <si>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</si>
  <si>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</si>
  <si>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</si>
  <si>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</si>
  <si>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</si>
  <si>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</si>
  <si>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</si>
  <si>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</si>
  <si>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</si>
  <si>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</si>
  <si>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</si>
  <si>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</si>
  <si>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</si>
  <si>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</si>
  <si>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</si>
  <si>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</si>
  <si>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</si>
  <si>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</si>
  <si>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</si>
  <si>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</si>
  <si>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</si>
  <si>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</si>
  <si>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</si>
  <si>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</si>
  <si>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</si>
  <si>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</si>
  <si>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</si>
  <si>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</si>
  <si>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</si>
  <si>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</si>
  <si>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</si>
  <si>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</si>
  <si>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</si>
  <si>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</si>
  <si>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</si>
  <si>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</si>
  <si>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</si>
  <si>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</si>
  <si>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</si>
  <si>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</si>
  <si>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</si>
  <si>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</si>
  <si>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</si>
  <si>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</si>
  <si>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</si>
  <si>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</si>
  <si>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</si>
  <si>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</si>
  <si>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</si>
  <si>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</si>
  <si>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</si>
  <si>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</si>
  <si>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</si>
  <si>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</si>
  <si>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</si>
  <si>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</si>
  <si>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</si>
  <si>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</si>
  <si>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</si>
  <si>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</si>
  <si>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</si>
  <si>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</si>
  <si>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</si>
  <si>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</si>
  <si>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</si>
  <si>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</si>
  <si>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</si>
  <si>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</si>
  <si>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</si>
  <si>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</si>
  <si>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</si>
  <si>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</si>
  <si>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</si>
  <si>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</si>
  <si>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</si>
  <si>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</si>
  <si>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</si>
  <si>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</si>
  <si>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</si>
  <si>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</si>
  <si>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</si>
  <si>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</si>
  <si>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</si>
  <si>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</si>
  <si>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</si>
  <si>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</si>
  <si>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</si>
  <si>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</si>
  <si>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</si>
  <si>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</si>
  <si>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</si>
  <si>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</si>
  <si>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</si>
  <si>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</si>
  <si>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</si>
  <si>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</si>
  <si>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</si>
  <si>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</si>
  <si>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</si>
  <si>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</si>
  <si>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</si>
  <si>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</si>
  <si>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</si>
  <si>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</si>
  <si>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</si>
  <si>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</si>
  <si>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</si>
  <si>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</si>
  <si>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</si>
  <si>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</si>
  <si>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</si>
  <si>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</si>
  <si>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</si>
  <si>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</si>
  <si>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</si>
  <si>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</si>
  <si>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</si>
  <si>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</si>
  <si>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</si>
  <si>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</si>
  <si>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</si>
  <si>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</si>
  <si>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</si>
  <si>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</si>
  <si>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</si>
  <si>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</si>
  <si>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</si>
  <si>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</si>
  <si>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</si>
  <si>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</si>
  <si>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</si>
  <si>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</si>
  <si>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</si>
  <si>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</si>
  <si>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</si>
  <si>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</si>
  <si>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</si>
  <si>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</si>
  <si>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</si>
  <si>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</si>
  <si>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</si>
  <si>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</si>
  <si>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</si>
  <si>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</si>
  <si>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</si>
  <si>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</si>
  <si>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</si>
  <si>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</si>
  <si>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</si>
  <si>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</si>
  <si>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</si>
  <si>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</si>
  <si>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</si>
  <si>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</si>
  <si>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</si>
  <si>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</si>
  <si>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</si>
  <si>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</si>
  <si>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</si>
  <si>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</si>
  <si>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</si>
  <si>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</si>
  <si>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</si>
  <si>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</si>
  <si>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</si>
  <si>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</si>
  <si>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</si>
  <si>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</si>
  <si>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</si>
  <si>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</si>
  <si>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</si>
  <si>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</si>
  <si>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</si>
  <si>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</si>
  <si>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</si>
  <si>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</si>
  <si>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</si>
  <si>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</si>
  <si>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</si>
  <si>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</si>
  <si>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</si>
  <si>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</si>
  <si>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</si>
  <si>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</si>
  <si>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</si>
  <si>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</si>
  <si>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</si>
  <si>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</si>
  <si>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</si>
  <si>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</si>
  <si>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</si>
  <si>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</si>
  <si>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</si>
  <si>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</si>
  <si>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</si>
  <si>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</si>
  <si>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</si>
  <si>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</si>
  <si>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</si>
  <si>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</si>
  <si>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</si>
  <si>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</si>
  <si>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</si>
  <si>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</si>
  <si>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</si>
  <si>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</si>
  <si>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</si>
  <si>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</si>
  <si>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</si>
  <si>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</si>
  <si>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</si>
  <si>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</si>
  <si>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</si>
  <si>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</si>
  <si>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</si>
  <si>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</si>
  <si>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</si>
  <si>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</si>
  <si>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</si>
  <si>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</si>
  <si>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</si>
  <si>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</si>
  <si>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</si>
  <si>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</si>
  <si>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</si>
  <si>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</si>
  <si>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</si>
  <si>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</si>
  <si>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</si>
  <si>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</si>
  <si>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</si>
  <si>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</si>
  <si>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</si>
  <si>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</si>
  <si>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</si>
  <si>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</si>
  <si>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</si>
  <si>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</si>
  <si>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</si>
  <si>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</si>
  <si>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</si>
  <si>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</si>
  <si>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</si>
  <si>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</si>
  <si>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</si>
  <si>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</si>
  <si>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</si>
  <si>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</si>
  <si>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</si>
  <si>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</si>
  <si>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</si>
  <si>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</si>
  <si>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</si>
  <si>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</si>
  <si>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</si>
  <si>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</si>
  <si>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</si>
  <si>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</si>
  <si>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</si>
  <si>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</si>
  <si>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</si>
  <si>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</si>
  <si>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</si>
  <si>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</si>
  <si>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</si>
  <si>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</si>
  <si>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</si>
  <si>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</si>
  <si>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</si>
  <si>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</si>
  <si>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</si>
  <si>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</si>
  <si>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</si>
  <si>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</si>
  <si>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</si>
  <si>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</si>
  <si>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</si>
  <si>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</si>
  <si>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</si>
  <si>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</si>
  <si>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</si>
  <si>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</si>
  <si>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</si>
  <si>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</si>
  <si>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</si>
  <si>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</si>
  <si>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</si>
  <si>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</si>
  <si>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</si>
  <si>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</si>
  <si>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</si>
  <si>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</si>
  <si>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</si>
  <si>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</si>
  <si>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</si>
  <si>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</si>
  <si>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</si>
  <si>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</si>
  <si>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</si>
  <si>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</si>
  <si>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</si>
  <si>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</si>
  <si>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</si>
  <si>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</si>
  <si>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</si>
  <si>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</si>
  <si>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</si>
  <si>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</si>
  <si>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</si>
  <si>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</si>
  <si>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</si>
  <si>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</si>
  <si>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</si>
  <si>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</si>
  <si>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</si>
  <si>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</si>
  <si>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</si>
  <si>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</si>
  <si>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</si>
  <si>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</si>
  <si>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</si>
  <si>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</si>
  <si>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</si>
  <si>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</si>
  <si>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</si>
  <si>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</si>
  <si>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</si>
  <si>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</si>
  <si>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</si>
  <si>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</si>
  <si>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</si>
  <si>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</si>
  <si>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</si>
  <si>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</si>
  <si>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</si>
  <si>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</si>
  <si>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</si>
  <si>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</si>
  <si>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</si>
  <si>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</si>
  <si>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</si>
  <si>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</si>
  <si>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</si>
  <si>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</si>
  <si>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</si>
  <si>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</si>
  <si>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</si>
  <si>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</si>
  <si>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</si>
  <si>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</si>
  <si>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</si>
  <si>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</si>
  <si>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</si>
  <si>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</si>
  <si>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</si>
  <si>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</si>
  <si>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</si>
  <si>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</si>
  <si>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</si>
  <si>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</si>
  <si>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</si>
  <si>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</si>
  <si>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</si>
  <si>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</si>
  <si>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</si>
  <si>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</si>
  <si>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</si>
  <si>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</si>
  <si>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</si>
  <si>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</si>
  <si>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</si>
  <si>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</si>
  <si>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</si>
  <si>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</si>
  <si>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</si>
  <si>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</si>
  <si>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</si>
  <si>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</si>
  <si>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</si>
  <si>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</si>
  <si>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</si>
  <si>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</si>
  <si>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</si>
  <si>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</si>
  <si>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</si>
  <si>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</si>
  <si>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</si>
  <si>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</si>
  <si>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</si>
  <si>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</si>
  <si>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</si>
  <si>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</si>
  <si>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</si>
  <si>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</si>
  <si>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</si>
  <si>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</si>
  <si>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</si>
  <si>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</si>
  <si>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</si>
  <si>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</si>
  <si>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</si>
  <si>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</si>
  <si>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</si>
  <si>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</si>
  <si>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</si>
  <si>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</si>
  <si>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</si>
  <si>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</si>
  <si>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</si>
  <si>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</si>
  <si>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</si>
  <si>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</si>
  <si>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</si>
  <si>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</si>
  <si>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</si>
  <si>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</si>
  <si>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</si>
  <si>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</si>
  <si>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</si>
  <si>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</si>
  <si>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</si>
  <si>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</si>
  <si>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</si>
  <si>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</si>
  <si>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</si>
  <si>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</si>
  <si>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</si>
  <si>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</si>
  <si>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</si>
  <si>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</si>
  <si>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</si>
  <si>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</si>
  <si>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</si>
  <si>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</si>
  <si>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</si>
  <si>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</si>
  <si>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</si>
  <si>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</si>
  <si>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</si>
  <si>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</si>
  <si>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</si>
  <si>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</si>
  <si>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</si>
  <si>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</si>
  <si>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</si>
  <si>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</si>
  <si>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</si>
  <si>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</si>
  <si>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</si>
  <si>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</si>
  <si>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</si>
  <si>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</si>
  <si>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</si>
  <si>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</si>
  <si>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</si>
  <si>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</si>
  <si>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</si>
  <si>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</si>
  <si>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</si>
  <si>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</si>
  <si>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</si>
  <si>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</si>
  <si>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</si>
  <si>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</si>
  <si>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</si>
  <si>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</si>
  <si>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</si>
  <si>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</si>
  <si>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</si>
  <si>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</si>
  <si>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</si>
  <si>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</si>
  <si>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</si>
  <si>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</si>
  <si>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</si>
  <si>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</si>
  <si>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</si>
  <si>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</si>
  <si>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</si>
  <si>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</si>
  <si>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</si>
  <si>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</si>
  <si>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</si>
  <si>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</si>
  <si>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</si>
  <si>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</si>
  <si>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</si>
  <si>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</si>
  <si>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</si>
  <si>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</si>
  <si>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</si>
  <si>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</si>
  <si>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</si>
  <si>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</si>
  <si>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</si>
  <si>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</si>
  <si>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</si>
  <si>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</si>
  <si>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</si>
  <si>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</si>
  <si>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</si>
  <si>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</si>
  <si>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</si>
  <si>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</si>
  <si>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</si>
  <si>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</si>
  <si>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</si>
  <si>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</si>
  <si>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</si>
  <si>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</si>
  <si>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</si>
  <si>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</si>
  <si>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</si>
  <si>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</si>
  <si>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</si>
  <si>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</si>
  <si>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</si>
  <si>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</si>
  <si>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</si>
  <si>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</si>
  <si>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</si>
  <si>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</si>
  <si>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</si>
  <si>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</si>
  <si>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</si>
  <si>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</si>
  <si>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</si>
  <si>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</si>
  <si>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</si>
  <si>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</si>
  <si>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</si>
  <si>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</si>
  <si>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</si>
  <si>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</si>
  <si>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</si>
  <si>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</si>
  <si>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</si>
  <si>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</si>
  <si>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</si>
  <si>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</si>
  <si>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</si>
  <si>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</si>
  <si>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</si>
  <si>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</si>
  <si>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</si>
  <si>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</si>
  <si>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</si>
  <si>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</si>
  <si>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</si>
  <si>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</si>
  <si>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</si>
  <si>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</si>
  <si>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</si>
  <si>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</si>
  <si>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</si>
  <si>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</si>
  <si>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</si>
  <si>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</si>
  <si>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</si>
  <si>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</si>
  <si>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</si>
  <si>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</si>
  <si>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</si>
  <si>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</si>
  <si>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</si>
  <si>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</si>
  <si>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</si>
  <si>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</si>
  <si>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</si>
  <si>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</si>
  <si>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</si>
  <si>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</si>
  <si>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</si>
  <si>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</si>
  <si>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</si>
  <si>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</si>
  <si>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</si>
  <si>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</si>
  <si>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</si>
  <si>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</si>
  <si>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</si>
  <si>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</si>
  <si>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</si>
  <si>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</si>
  <si>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</si>
  <si>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</si>
  <si>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</si>
  <si>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</si>
  <si>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</si>
  <si>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</si>
  <si>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</si>
  <si>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</si>
  <si>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</si>
  <si>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</si>
  <si>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</si>
  <si>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</si>
  <si>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</si>
  <si>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</si>
  <si>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</si>
  <si>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</si>
  <si>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</si>
  <si>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</si>
  <si>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</si>
  <si>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</si>
  <si>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</si>
  <si>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</si>
  <si>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</si>
  <si>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</si>
  <si>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</si>
  <si>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</si>
  <si>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</si>
  <si>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</si>
  <si>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</si>
  <si>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</si>
  <si>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</si>
  <si>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</si>
  <si>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</si>
  <si>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</si>
  <si>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</si>
  <si>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</si>
  <si>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</si>
  <si>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</si>
  <si>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</si>
  <si>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</si>
  <si>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</si>
  <si>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</si>
  <si>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</si>
  <si>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</si>
  <si>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</si>
  <si>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</si>
  <si>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</si>
  <si>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</si>
  <si>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</si>
  <si>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</si>
  <si>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</si>
  <si>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</si>
  <si>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</si>
  <si>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</si>
  <si>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</si>
  <si>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</si>
  <si>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</si>
  <si>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</si>
  <si>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</si>
  <si>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</si>
  <si>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</si>
  <si>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</si>
  <si>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</si>
  <si>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</si>
  <si>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</si>
  <si>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</si>
  <si>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</si>
  <si>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</si>
  <si>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</si>
  <si>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</si>
  <si>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</si>
  <si>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</si>
  <si>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</si>
  <si>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</si>
  <si>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</si>
  <si>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</si>
  <si>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</si>
  <si>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</si>
  <si>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</si>
  <si>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</si>
  <si>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</si>
  <si>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</si>
  <si>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</si>
  <si>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</si>
  <si>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</si>
  <si>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</si>
  <si>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</si>
  <si>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</si>
  <si>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</si>
  <si>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</si>
  <si>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</si>
  <si>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</si>
  <si>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</si>
  <si>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</si>
  <si>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</si>
  <si>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</si>
  <si>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</si>
  <si>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</si>
  <si>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</si>
  <si>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</si>
  <si>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</si>
  <si>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</si>
  <si>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</si>
  <si>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</si>
  <si>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</si>
  <si>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</si>
  <si>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</si>
  <si>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</si>
  <si>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</si>
  <si>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</si>
  <si>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</si>
  <si>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</si>
  <si>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</si>
  <si>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</si>
  <si>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</si>
  <si>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</si>
  <si>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</si>
  <si>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</si>
  <si>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</si>
  <si>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</si>
  <si>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</si>
  <si>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</si>
  <si>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</si>
  <si>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</si>
  <si>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</si>
  <si>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</si>
  <si>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</si>
  <si>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</si>
  <si>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</si>
  <si>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</si>
  <si>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</si>
  <si>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</si>
  <si>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</si>
  <si>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</si>
  <si>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</si>
  <si>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</si>
  <si>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</si>
  <si>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</si>
  <si>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</si>
  <si>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</si>
  <si>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</si>
  <si>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</si>
  <si>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</si>
  <si>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</si>
  <si>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</si>
  <si>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</si>
  <si>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</si>
  <si>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</si>
  <si>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</si>
  <si>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</si>
  <si>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</si>
  <si>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</si>
  <si>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</si>
  <si>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</si>
  <si>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</si>
  <si>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</si>
  <si>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</si>
  <si>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</si>
  <si>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</si>
  <si>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</si>
  <si>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</si>
  <si>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</si>
  <si>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</si>
  <si>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</si>
  <si>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</si>
  <si>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</si>
  <si>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</si>
  <si>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</si>
  <si>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</si>
  <si>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</si>
  <si>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</si>
  <si>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</si>
  <si>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</si>
  <si>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</si>
  <si>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</si>
  <si>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</si>
  <si>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</si>
  <si>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</si>
  <si>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</si>
  <si>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</si>
  <si>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</si>
  <si>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</si>
  <si>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</si>
  <si>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</si>
  <si>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</si>
  <si>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</si>
  <si>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</si>
  <si>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</si>
  <si>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</si>
  <si>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</si>
  <si>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</si>
  <si>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</si>
  <si>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</si>
  <si>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</si>
  <si>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</si>
  <si>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</si>
  <si>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</si>
  <si>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</si>
  <si>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</si>
  <si>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</si>
  <si>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</si>
  <si>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</si>
  <si>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</si>
  <si>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</si>
  <si>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</si>
  <si>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</si>
  <si>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</si>
  <si>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</si>
  <si>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</si>
  <si>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</si>
  <si>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</si>
  <si>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</si>
  <si>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</si>
  <si>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</si>
  <si>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</si>
  <si>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</si>
  <si>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</si>
  <si>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</si>
  <si>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</si>
  <si>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</si>
  <si>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</si>
  <si>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</si>
  <si>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</si>
  <si>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</si>
  <si>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</si>
  <si>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</si>
  <si>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</si>
  <si>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</si>
  <si>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</si>
  <si>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</si>
  <si>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</si>
  <si>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</si>
  <si>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</si>
  <si>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</si>
  <si>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</si>
  <si>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</si>
  <si>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</si>
  <si>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</si>
  <si>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</si>
  <si>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</si>
  <si>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</si>
  <si>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</si>
  <si>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</si>
  <si>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</si>
  <si>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</si>
  <si>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</si>
  <si>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</si>
  <si>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</si>
  <si>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</si>
  <si>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</si>
  <si>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</si>
  <si>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</si>
  <si>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</si>
  <si>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</si>
  <si>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</si>
  <si>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</si>
  <si>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</si>
  <si>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</si>
  <si>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</si>
  <si>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</si>
  <si>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</si>
  <si>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</si>
  <si>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</si>
  <si>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</si>
  <si>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</si>
  <si>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</si>
  <si>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</si>
  <si>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</si>
  <si>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</si>
  <si>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</si>
  <si>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</si>
  <si>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</si>
  <si>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</si>
  <si>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</si>
  <si>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</si>
  <si>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</si>
  <si>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</si>
  <si>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</si>
  <si>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</si>
  <si>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</si>
  <si>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</si>
  <si>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</si>
  <si>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</si>
  <si>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</si>
  <si>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</si>
  <si>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</si>
  <si>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</si>
  <si>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</si>
  <si>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</si>
  <si>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</si>
  <si>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</si>
  <si>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</si>
  <si>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</si>
  <si>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</si>
  <si>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</si>
  <si>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</si>
  <si>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</si>
  <si>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</si>
  <si>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</si>
  <si>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</si>
  <si>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</si>
  <si>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</si>
  <si>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</si>
  <si>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</si>
  <si>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</si>
  <si>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</si>
  <si>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</si>
  <si>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</si>
  <si>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</si>
  <si>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</si>
  <si>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</si>
  <si>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</si>
  <si>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</si>
  <si>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</si>
  <si>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</si>
  <si>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</si>
  <si>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</si>
  <si>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</si>
  <si>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</si>
  <si>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</si>
  <si>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</si>
  <si>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</si>
  <si>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</si>
  <si>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</si>
  <si>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</si>
  <si>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</si>
  <si>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</si>
  <si>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</si>
  <si>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</si>
  <si>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</si>
  <si>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</si>
  <si>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</si>
  <si>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</si>
  <si>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</si>
  <si>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</si>
  <si>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</si>
  <si>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</si>
  <si>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</si>
  <si>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</si>
  <si>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</si>
  <si>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</si>
  <si>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</si>
  <si>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</si>
  <si>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</si>
  <si>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</si>
  <si>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</si>
  <si>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</si>
  <si>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</si>
  <si>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</si>
  <si>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</si>
  <si>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</si>
  <si>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</si>
  <si>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</si>
  <si>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</si>
  <si>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</si>
  <si>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</si>
  <si>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</si>
  <si>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</si>
  <si>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</si>
  <si>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</si>
  <si>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</si>
  <si>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</si>
  <si>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</si>
  <si>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</si>
  <si>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</si>
  <si>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</si>
  <si>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</si>
  <si>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</si>
  <si>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</si>
  <si>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</si>
  <si>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</si>
  <si>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</si>
  <si>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</si>
  <si>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</si>
  <si>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</si>
  <si>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</si>
  <si>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</si>
  <si>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</si>
  <si>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</si>
  <si>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</si>
  <si>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</si>
  <si>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</si>
  <si>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</si>
  <si>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</si>
  <si>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</si>
  <si>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</si>
  <si>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</si>
  <si>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</si>
  <si>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</si>
  <si>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</si>
  <si>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</si>
  <si>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</si>
  <si>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</si>
  <si>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</si>
  <si>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</si>
  <si>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</si>
  <si>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</si>
  <si>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</si>
  <si>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</si>
  <si>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</si>
  <si>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</si>
  <si>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</si>
  <si>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</si>
  <si>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</si>
  <si>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</si>
  <si>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</si>
  <si>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</si>
  <si>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</si>
  <si>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</si>
  <si>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</si>
  <si>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</si>
  <si>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</si>
  <si>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</si>
  <si>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</si>
  <si>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</si>
  <si>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</si>
  <si>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</si>
  <si>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</si>
  <si>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</si>
  <si>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</si>
  <si>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</si>
  <si>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</si>
  <si>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</si>
  <si>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</si>
  <si>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</si>
  <si>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</si>
  <si>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</si>
  <si>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</si>
  <si>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</si>
  <si>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</si>
  <si>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</si>
  <si>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</si>
  <si>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</si>
  <si>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</si>
  <si>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</si>
  <si>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</si>
  <si>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</si>
  <si>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</si>
  <si>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</si>
  <si>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</si>
  <si>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</si>
  <si>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</si>
  <si>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</si>
  <si>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</si>
  <si>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</si>
  <si>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</si>
  <si>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</si>
  <si>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</si>
  <si>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</si>
  <si>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</si>
  <si>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</si>
  <si>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</si>
  <si>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</si>
  <si>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</si>
  <si>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</si>
  <si>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</si>
  <si>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</si>
  <si>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</si>
  <si>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</si>
  <si>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</si>
  <si>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</si>
  <si>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</si>
  <si>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</si>
  <si>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</si>
  <si>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</si>
  <si>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</si>
  <si>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</si>
  <si>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</si>
  <si>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</si>
  <si>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</si>
  <si>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</si>
  <si>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</si>
  <si>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</si>
  <si>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</si>
  <si>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</si>
  <si>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</si>
  <si>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</si>
  <si>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</si>
  <si>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</si>
  <si>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</si>
  <si>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</si>
  <si>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</si>
  <si>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</si>
  <si>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</si>
  <si>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</si>
  <si>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</si>
  <si>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</si>
  <si>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</si>
  <si>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</si>
  <si>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</si>
  <si>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</si>
  <si>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</si>
  <si>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</si>
  <si>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</si>
  <si>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</si>
  <si>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</si>
  <si>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</si>
  <si>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</si>
  <si>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</si>
  <si>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</si>
  <si>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</si>
  <si>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</si>
  <si>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</si>
  <si>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</si>
  <si>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</si>
  <si>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</si>
  <si>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</si>
  <si>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</si>
  <si>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</si>
  <si>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</si>
  <si>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</si>
  <si>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</si>
  <si>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</si>
  <si>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</si>
  <si>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</si>
  <si>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</si>
  <si>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</si>
  <si>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</si>
  <si>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</si>
  <si>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</si>
  <si>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</si>
  <si>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</si>
  <si>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</si>
  <si>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</si>
  <si>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</si>
  <si>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</si>
  <si>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</si>
  <si>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</si>
  <si>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</si>
  <si>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</si>
  <si>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</si>
  <si>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</si>
  <si>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</si>
  <si>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</si>
  <si>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</si>
  <si>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</si>
  <si>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</si>
  <si>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</si>
  <si>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</si>
  <si>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</si>
  <si>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</si>
  <si>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</si>
  <si>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</si>
  <si>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</si>
  <si>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</si>
  <si>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</si>
  <si>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</si>
  <si>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</si>
  <si>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</si>
  <si>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</si>
  <si>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</si>
  <si>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</si>
  <si>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</si>
  <si>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</si>
  <si>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</si>
  <si>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</si>
  <si>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</si>
  <si>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</si>
  <si>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</si>
  <si>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</si>
  <si>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</si>
  <si>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</si>
  <si>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</si>
  <si>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</si>
  <si>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</si>
  <si>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</si>
  <si>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</si>
  <si>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</si>
  <si>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</si>
  <si>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</si>
  <si>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</si>
  <si>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</si>
  <si>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</si>
  <si>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</si>
  <si>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</si>
  <si>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</si>
  <si>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</si>
  <si>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</si>
  <si>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</si>
  <si>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</si>
  <si>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</si>
  <si>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</si>
  <si>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</si>
  <si>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</si>
  <si>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</si>
  <si>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</si>
  <si>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</si>
  <si>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</si>
  <si>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</si>
  <si>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</si>
  <si>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</si>
  <si>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</si>
  <si>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</si>
  <si>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</si>
  <si>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</si>
  <si>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</si>
  <si>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</si>
  <si>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</si>
  <si>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</si>
  <si>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</si>
  <si>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</si>
  <si>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</si>
  <si>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</si>
  <si>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</si>
  <si>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</si>
  <si>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</si>
  <si>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</si>
  <si>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</si>
  <si>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</si>
  <si>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</si>
  <si>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</si>
  <si>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</si>
  <si>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</si>
  <si>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</si>
  <si>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</si>
  <si>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</si>
  <si>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</si>
  <si>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</si>
  <si>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</si>
  <si>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</si>
  <si>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</si>
  <si>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</si>
  <si>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</si>
  <si>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</si>
  <si>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</si>
  <si>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</si>
  <si>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</si>
  <si>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</si>
  <si>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</si>
  <si>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</si>
  <si>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</si>
  <si>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</si>
  <si>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</si>
  <si>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</si>
  <si>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</si>
  <si>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</si>
  <si>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</si>
  <si>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</si>
  <si>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</si>
  <si>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</si>
  <si>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</si>
  <si>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</si>
  <si>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</si>
  <si>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</si>
  <si>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</si>
  <si>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</si>
  <si>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</si>
  <si>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</si>
  <si>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</si>
  <si>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</si>
  <si>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</si>
  <si>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</si>
  <si>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</si>
  <si>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</si>
  <si>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</si>
  <si>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</si>
  <si>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</si>
  <si>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</si>
  <si>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</si>
  <si>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</si>
  <si>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</si>
  <si>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</si>
  <si>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</si>
  <si>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</si>
  <si>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</si>
  <si>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</si>
  <si>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</si>
  <si>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</si>
  <si>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</si>
  <si>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</si>
  <si>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</si>
  <si>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</si>
  <si>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</si>
  <si>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</si>
  <si>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</si>
  <si>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</si>
  <si>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</si>
  <si>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</si>
  <si>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</si>
  <si>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</si>
  <si>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</si>
  <si>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</si>
  <si>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</si>
  <si>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</si>
  <si>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</si>
  <si>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</si>
  <si>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</si>
  <si>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</si>
  <si>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</si>
  <si>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</si>
  <si>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</si>
  <si>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</si>
  <si>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</si>
  <si>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</si>
  <si>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</si>
  <si>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</si>
  <si>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</si>
  <si>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</si>
  <si>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</si>
  <si>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</si>
  <si>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</si>
  <si>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</si>
  <si>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</si>
  <si>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</si>
  <si>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</si>
  <si>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</si>
  <si>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</si>
  <si>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</si>
  <si>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</si>
  <si>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</si>
  <si>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</si>
  <si>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</si>
  <si>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</si>
  <si>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</si>
  <si>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</si>
  <si>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</si>
  <si>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</si>
  <si>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</si>
  <si>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</si>
  <si>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</si>
  <si>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</si>
  <si>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</si>
  <si>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</si>
  <si>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</si>
  <si>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</si>
  <si>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</si>
  <si>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</si>
  <si>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</si>
  <si>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</si>
  <si>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</si>
  <si>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</si>
  <si>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</si>
  <si>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</si>
  <si>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</si>
  <si>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</si>
  <si>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</si>
  <si>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</si>
  <si>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</si>
  <si>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</si>
  <si>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</si>
  <si>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</si>
  <si>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</si>
  <si>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</si>
  <si>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</si>
  <si>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</si>
  <si>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</si>
  <si>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</si>
  <si>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</si>
  <si>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</si>
  <si>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</si>
  <si>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</si>
  <si>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</si>
  <si>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</si>
  <si>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</si>
  <si>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</si>
  <si>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</si>
  <si>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</si>
  <si>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</si>
  <si>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</si>
  <si>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</si>
  <si>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</si>
  <si>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</si>
  <si>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</si>
  <si>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</si>
  <si>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</si>
  <si>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</si>
  <si>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</si>
  <si>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</si>
  <si>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</si>
  <si>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</si>
  <si>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</si>
  <si>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</si>
  <si>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</si>
  <si>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</si>
  <si>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</si>
  <si>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</si>
  <si>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</si>
  <si>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</si>
  <si>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</si>
  <si>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</si>
  <si>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</si>
  <si>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</si>
  <si>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</si>
  <si>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</si>
  <si>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</si>
  <si>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</si>
  <si>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</si>
  <si>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</si>
  <si>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</si>
  <si>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</si>
  <si>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</si>
  <si>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</si>
  <si>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</si>
  <si>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</si>
  <si>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</si>
  <si>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</si>
  <si>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</si>
  <si>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</si>
  <si>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</si>
  <si>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</si>
  <si>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</si>
  <si>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</si>
  <si>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</si>
  <si>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</si>
  <si>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</si>
  <si>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</si>
  <si>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</si>
  <si>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</si>
  <si>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</si>
  <si>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</si>
  <si>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</si>
  <si>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</si>
  <si>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</si>
  <si>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</si>
  <si>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</si>
  <si>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</si>
  <si>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</si>
  <si>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</si>
  <si>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</si>
  <si>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</si>
  <si>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</si>
  <si>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</si>
  <si>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</si>
  <si>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</si>
  <si>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</si>
  <si>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</si>
  <si>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</si>
  <si>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</si>
  <si>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</si>
  <si>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</si>
  <si>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</si>
  <si>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</si>
  <si>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</si>
  <si>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</si>
  <si>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</si>
  <si>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</si>
  <si>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</si>
  <si>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</si>
  <si>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</si>
  <si>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</si>
  <si>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</si>
  <si>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</si>
  <si>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</si>
  <si>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</si>
  <si>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</si>
  <si>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</si>
  <si>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</si>
  <si>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</si>
  <si>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</si>
  <si>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</si>
  <si>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</si>
  <si>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</si>
  <si>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</si>
  <si>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</si>
  <si>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</si>
  <si>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</si>
  <si>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</si>
  <si>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</si>
  <si>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</si>
  <si>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</si>
  <si>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</si>
  <si>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</si>
  <si>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</si>
  <si>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</si>
  <si>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</si>
  <si>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</si>
  <si>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</si>
  <si>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</si>
  <si>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</si>
  <si>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</si>
  <si>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</si>
  <si>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</si>
  <si>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</si>
  <si>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</si>
  <si>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</si>
  <si>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</si>
  <si>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</si>
  <si>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</si>
  <si>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</si>
  <si>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</si>
  <si>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</si>
  <si>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</si>
  <si>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</si>
  <si>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</si>
  <si>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</si>
  <si>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</si>
  <si>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</si>
  <si>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</si>
  <si>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</si>
  <si>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</si>
  <si>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</si>
  <si>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</si>
  <si>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</si>
  <si>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</si>
  <si>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</si>
  <si>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</si>
  <si>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</si>
  <si>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</si>
  <si>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</si>
  <si>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</si>
  <si>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</si>
  <si>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</si>
  <si>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</si>
  <si>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</si>
  <si>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</si>
  <si>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</si>
  <si>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</si>
  <si>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</si>
  <si>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</si>
  <si>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</si>
  <si>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</si>
  <si>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</si>
  <si>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</si>
  <si>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</si>
  <si>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</si>
  <si>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</si>
  <si>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</si>
  <si>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</si>
  <si>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</si>
  <si>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</si>
  <si>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</si>
  <si>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</si>
  <si>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</si>
  <si>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</si>
  <si>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</si>
  <si>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</si>
  <si>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</si>
  <si>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</si>
  <si>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</si>
  <si>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</si>
  <si>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</si>
  <si>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</si>
  <si>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</si>
  <si>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</si>
  <si>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</si>
  <si>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</si>
  <si>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</si>
  <si>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</si>
  <si>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</si>
  <si>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</si>
  <si>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</si>
  <si>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</si>
  <si>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</si>
  <si>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</si>
  <si>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</si>
  <si>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</si>
  <si>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</si>
  <si>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</si>
  <si>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</si>
  <si>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</si>
  <si>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</si>
  <si>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</si>
  <si>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</si>
  <si>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</si>
  <si>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</si>
  <si>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</si>
  <si>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</si>
  <si>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</si>
  <si>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</si>
  <si>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</si>
  <si>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</si>
  <si>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</si>
  <si>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</si>
  <si>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</si>
  <si>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</si>
  <si>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</si>
  <si>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</si>
  <si>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</si>
  <si>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</si>
  <si>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</si>
  <si>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</si>
  <si>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</si>
  <si>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</si>
  <si>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</si>
  <si>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</si>
  <si>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</si>
  <si>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</si>
  <si>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</si>
  <si>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</si>
  <si>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</si>
  <si>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</si>
  <si>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</si>
  <si>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</si>
  <si>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</si>
  <si>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</si>
  <si>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</si>
  <si>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</si>
  <si>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</si>
  <si>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</si>
  <si>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</si>
  <si>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</si>
  <si>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</si>
  <si>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</si>
  <si>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</si>
  <si>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</si>
  <si>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</si>
  <si>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</si>
  <si>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</si>
  <si>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</si>
  <si>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</si>
  <si>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</si>
  <si>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</si>
  <si>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</si>
  <si>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</si>
  <si>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</si>
  <si>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</si>
  <si>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</si>
  <si>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</si>
  <si>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</si>
  <si>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</si>
  <si>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</si>
  <si>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</si>
  <si>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</si>
  <si>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</si>
  <si>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</si>
  <si>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</si>
  <si>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</si>
  <si>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</si>
  <si>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</si>
  <si>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</si>
  <si>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</si>
  <si>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</si>
  <si>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</si>
  <si>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</si>
  <si>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</si>
  <si>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</si>
  <si>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</si>
  <si>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</si>
  <si>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</si>
  <si>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</si>
  <si>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</si>
  <si>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</si>
  <si>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</si>
  <si>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</si>
  <si>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</si>
  <si>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</si>
  <si>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</si>
  <si>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</si>
  <si>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</si>
  <si>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</si>
  <si>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</si>
  <si>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</si>
  <si>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</si>
  <si>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</si>
  <si>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</si>
  <si>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</si>
  <si>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</si>
  <si>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</si>
  <si>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</si>
  <si>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</si>
  <si>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</si>
  <si>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</si>
  <si>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</si>
  <si>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</si>
  <si>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</si>
  <si>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</si>
  <si>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</si>
  <si>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</si>
  <si>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</si>
  <si>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</si>
  <si>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</si>
  <si>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</si>
  <si>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</si>
  <si>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</si>
  <si>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</si>
  <si>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</si>
  <si>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</si>
  <si>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</si>
  <si>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</si>
  <si>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</si>
  <si>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</si>
  <si>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</si>
  <si>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</si>
  <si>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</si>
  <si>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</si>
  <si>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</si>
  <si>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</si>
  <si>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</si>
  <si>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</si>
  <si>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</si>
  <si>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</si>
  <si>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</si>
  <si>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</si>
  <si>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</si>
  <si>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</si>
  <si>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</si>
  <si>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</si>
  <si>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</si>
  <si>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</si>
  <si>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</si>
  <si>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</si>
  <si>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</si>
  <si>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</si>
  <si>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</si>
  <si>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</si>
  <si>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</si>
  <si>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</si>
  <si>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</si>
  <si>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</si>
  <si>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</si>
  <si>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</si>
  <si>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</si>
  <si>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</si>
  <si>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</si>
  <si>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</si>
  <si>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</si>
  <si>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</si>
  <si>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</si>
  <si>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</si>
  <si>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</si>
  <si>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</si>
  <si>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</si>
  <si>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</si>
  <si>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</si>
  <si>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</si>
  <si>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</si>
  <si>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</si>
  <si>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</si>
  <si>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</si>
  <si>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</si>
  <si>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</si>
  <si>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</si>
  <si>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</si>
  <si>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</si>
  <si>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</si>
  <si>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</si>
  <si>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</si>
  <si>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</si>
  <si>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</si>
  <si>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</si>
  <si>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</si>
  <si>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</si>
  <si>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</si>
  <si>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</si>
  <si>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</si>
  <si>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</si>
  <si>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</si>
  <si>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</si>
  <si>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</si>
  <si>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</si>
  <si>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</si>
  <si>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</si>
  <si>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</si>
  <si>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</si>
  <si>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</si>
  <si>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</si>
  <si>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</si>
  <si>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</si>
  <si>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</si>
  <si>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</si>
  <si>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</si>
  <si>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</si>
  <si>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</si>
  <si>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</si>
  <si>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</si>
  <si>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</si>
  <si>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</si>
  <si>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</si>
  <si>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</si>
  <si>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</si>
  <si>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</si>
  <si>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</si>
  <si>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</si>
  <si>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</si>
  <si>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</si>
  <si>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</si>
  <si>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</si>
  <si>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</si>
  <si>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</si>
  <si>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</si>
  <si>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</si>
  <si>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</si>
  <si>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</si>
  <si>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</si>
  <si>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</si>
  <si>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</si>
  <si>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</si>
  <si>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</si>
  <si>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</si>
  <si>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</si>
  <si>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</si>
  <si>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</si>
  <si>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</si>
  <si>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</si>
  <si>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</si>
  <si>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</si>
  <si>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</si>
  <si>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</si>
  <si>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</si>
  <si>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</si>
  <si>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</si>
  <si>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</si>
  <si>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</si>
  <si>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</si>
  <si>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</si>
  <si>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</si>
  <si>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</si>
  <si>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</si>
  <si>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</si>
  <si>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</si>
  <si>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</si>
  <si>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</si>
  <si>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</si>
  <si>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</si>
  <si>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</si>
  <si>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</si>
  <si>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</si>
  <si>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</si>
  <si>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</si>
  <si>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</si>
  <si>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</si>
  <si>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</si>
  <si>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</si>
  <si>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</si>
  <si>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</si>
  <si>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</si>
  <si>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</si>
  <si>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</si>
  <si>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</si>
  <si>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</si>
  <si>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</si>
  <si>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</si>
  <si>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</si>
  <si>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</si>
  <si>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</si>
  <si>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</si>
  <si>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</si>
  <si>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</si>
  <si>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</si>
  <si>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</si>
  <si>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</si>
  <si>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</si>
  <si>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</si>
  <si>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</si>
  <si>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</si>
  <si>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</si>
  <si>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</si>
  <si>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</si>
  <si>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</si>
  <si>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</si>
  <si>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</si>
  <si>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</si>
  <si>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</si>
  <si>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</si>
  <si>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</si>
  <si>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</si>
  <si>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</si>
  <si>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</si>
  <si>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</si>
  <si>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</si>
  <si>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</si>
  <si>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</si>
  <si>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</si>
  <si>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</si>
  <si>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</si>
  <si>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</si>
  <si>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</si>
  <si>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</si>
  <si>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</si>
  <si>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</si>
  <si>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</si>
  <si>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</si>
  <si>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</si>
  <si>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</si>
  <si>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</si>
  <si>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</si>
  <si>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</si>
  <si>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</si>
  <si>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</si>
  <si>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</si>
  <si>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</si>
  <si>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</si>
  <si>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</si>
  <si>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</si>
  <si>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</si>
  <si>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</si>
  <si>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</si>
  <si>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</si>
  <si>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</si>
  <si>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</si>
  <si>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</si>
  <si>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</si>
  <si>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</si>
  <si>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</si>
  <si>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</si>
  <si>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</si>
  <si>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</si>
  <si>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</si>
  <si>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</si>
  <si>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</si>
  <si>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</si>
  <si>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</si>
  <si>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</si>
  <si>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</si>
  <si>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</si>
  <si>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</si>
  <si>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</si>
  <si>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</si>
  <si>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</si>
  <si>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</si>
  <si>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</si>
  <si>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</si>
  <si>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</si>
  <si>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</si>
  <si>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</si>
  <si>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</si>
  <si>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</si>
  <si>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</si>
  <si>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</si>
  <si>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</si>
  <si>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</si>
  <si>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</si>
  <si>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</si>
  <si>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</si>
  <si>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</si>
  <si>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</si>
  <si>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</si>
  <si>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</si>
  <si>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</si>
  <si>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</si>
  <si>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</si>
  <si>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</si>
  <si>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</si>
  <si>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</si>
  <si>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</si>
  <si>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</si>
  <si>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</si>
  <si>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</si>
  <si>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</si>
  <si>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</si>
  <si>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</si>
  <si>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</si>
  <si>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</si>
  <si>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</si>
  <si>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</si>
  <si>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</si>
  <si>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</si>
  <si>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</si>
  <si>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</si>
  <si>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</si>
  <si>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</si>
  <si>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</si>
  <si>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</si>
  <si>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</si>
  <si>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</si>
  <si>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</si>
  <si>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</si>
  <si>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</si>
  <si>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</si>
  <si>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</si>
  <si>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</si>
  <si>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</si>
  <si>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</si>
  <si>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</si>
  <si>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</si>
  <si>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</si>
  <si>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</si>
  <si>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</si>
  <si>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</si>
  <si>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</si>
  <si>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</si>
  <si>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</si>
  <si>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</si>
  <si>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</si>
  <si>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</si>
  <si>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</si>
  <si>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</si>
  <si>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</si>
  <si>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</si>
  <si>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</si>
  <si>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</si>
  <si>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</si>
  <si>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</si>
  <si>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</si>
  <si>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</si>
  <si>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</si>
  <si>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</si>
  <si>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</si>
  <si>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</si>
  <si>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</si>
  <si>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</si>
  <si>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</si>
  <si>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</si>
  <si>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</si>
  <si>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</si>
  <si>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</si>
  <si>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</si>
  <si>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</si>
  <si>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</si>
  <si>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</si>
  <si>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</si>
  <si>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</si>
  <si>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</si>
  <si>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</si>
  <si>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</si>
  <si>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</si>
  <si>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</si>
  <si>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</si>
  <si>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</si>
  <si>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</si>
  <si>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</si>
  <si>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</si>
  <si>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</si>
  <si>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</si>
  <si>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</si>
  <si>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</si>
  <si>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</si>
  <si>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</si>
  <si>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</si>
  <si>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</si>
  <si>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</si>
  <si>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</si>
  <si>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</si>
  <si>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</si>
  <si>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</si>
  <si>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</si>
  <si>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</si>
  <si>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</si>
  <si>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</si>
  <si>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</si>
  <si>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</si>
  <si>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</si>
  <si>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</si>
  <si>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</si>
  <si>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</si>
  <si>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</si>
  <si>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</si>
  <si>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</si>
  <si>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</si>
  <si>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</si>
  <si>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</si>
  <si>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</si>
  <si>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</si>
  <si>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</si>
  <si>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</si>
  <si>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</si>
  <si>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</si>
  <si>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</si>
  <si>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</si>
  <si>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</si>
  <si>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</si>
  <si>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</si>
  <si>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</si>
  <si>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</si>
  <si>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</si>
  <si>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</si>
  <si>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</si>
  <si>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</si>
  <si>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</si>
  <si>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</si>
  <si>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</si>
  <si>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</si>
  <si>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</si>
  <si>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</si>
  <si>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</si>
  <si>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</si>
  <si>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</si>
  <si>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</si>
  <si>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</si>
  <si>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</si>
  <si>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</si>
  <si>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</si>
  <si>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</si>
  <si>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</si>
  <si>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</si>
  <si>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</si>
  <si>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</si>
  <si>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</si>
  <si>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</si>
  <si>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</si>
  <si>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</si>
  <si>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</si>
  <si>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</si>
  <si>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</si>
  <si>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</si>
  <si>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</si>
  <si>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</si>
  <si>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</si>
  <si>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</si>
  <si>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</si>
  <si>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</si>
  <si>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</si>
  <si>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</si>
  <si>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</si>
  <si>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</si>
  <si>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</si>
  <si>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</si>
  <si>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</si>
  <si>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</si>
  <si>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</si>
  <si>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</si>
  <si>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</si>
  <si>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</si>
  <si>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</si>
  <si>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</si>
  <si>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</si>
  <si>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</si>
  <si>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</si>
  <si>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</si>
  <si>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</si>
  <si>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</si>
  <si>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</si>
  <si>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</si>
  <si>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</si>
  <si>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</si>
  <si>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</si>
  <si>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</si>
  <si>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</si>
  <si>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</si>
  <si>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</si>
  <si>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</si>
  <si>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</si>
  <si>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</si>
  <si>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</si>
  <si>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</si>
  <si>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</si>
  <si>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</si>
  <si>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</si>
  <si>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</si>
  <si>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</si>
  <si>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</si>
  <si>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</si>
  <si>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</si>
  <si>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</si>
  <si>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</si>
  <si>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</si>
  <si>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</si>
  <si>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</si>
  <si>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</si>
  <si>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</si>
  <si>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</si>
  <si>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</si>
  <si>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</si>
  <si>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</si>
  <si>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</si>
  <si>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</si>
  <si>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</si>
  <si>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</si>
  <si>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</si>
  <si>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</si>
  <si>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</si>
  <si>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</si>
  <si>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</si>
  <si>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</si>
  <si>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</si>
  <si>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</si>
  <si>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</si>
  <si>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</si>
  <si>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</si>
  <si>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</si>
  <si>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</si>
  <si>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</si>
  <si>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</si>
  <si>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</si>
  <si>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</si>
  <si>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</si>
  <si>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</si>
  <si>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</si>
  <si>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</si>
  <si>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</si>
  <si>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</si>
  <si>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</si>
  <si>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</si>
  <si>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</si>
  <si>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</si>
  <si>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</si>
  <si>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</si>
  <si>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</si>
  <si>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</si>
  <si>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</si>
  <si>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</si>
  <si>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</si>
  <si>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</si>
  <si>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</si>
  <si>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</si>
  <si>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</si>
  <si>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</si>
  <si>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</si>
  <si>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</si>
  <si>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</si>
  <si>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</si>
  <si>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</si>
  <si>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</si>
  <si>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</si>
  <si>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</si>
  <si>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</si>
  <si>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</si>
  <si>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</si>
  <si>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</si>
  <si>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</si>
  <si>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</si>
  <si>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</si>
  <si>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</si>
  <si>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</si>
  <si>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</si>
  <si>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</si>
  <si>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</si>
  <si>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</si>
  <si>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</si>
  <si>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</si>
  <si>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</si>
  <si>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</si>
  <si>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</si>
  <si>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</si>
  <si>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</si>
  <si>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</si>
  <si>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</si>
  <si>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</si>
  <si>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</si>
  <si>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</si>
  <si>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</si>
  <si>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</si>
  <si>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</si>
  <si>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</si>
  <si>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</si>
  <si>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</si>
  <si>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</si>
  <si>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</si>
  <si>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</si>
  <si>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</si>
  <si>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</si>
  <si>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</si>
  <si>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</si>
  <si>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</si>
  <si>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</si>
  <si>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</si>
  <si>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</si>
  <si>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</si>
  <si>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</si>
  <si>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</si>
  <si>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</si>
  <si>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</si>
  <si>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</si>
  <si>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</si>
  <si>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</si>
  <si>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</si>
  <si>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</si>
  <si>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</si>
  <si>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</si>
  <si>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</si>
  <si>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</si>
  <si>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</si>
  <si>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</si>
  <si>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</si>
  <si>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</si>
  <si>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</si>
  <si>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</si>
  <si>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</si>
  <si>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</si>
  <si>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</si>
  <si>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</si>
  <si>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</si>
  <si>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</si>
  <si>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</si>
  <si>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</si>
  <si>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</si>
  <si>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</si>
  <si>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</si>
  <si>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</si>
  <si>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</si>
  <si>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</si>
  <si>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</si>
  <si>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</si>
  <si>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</si>
  <si>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</si>
  <si>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</si>
  <si>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</si>
  <si>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</si>
  <si>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</si>
  <si>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</si>
  <si>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</si>
  <si>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</si>
  <si>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</si>
  <si>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</si>
  <si>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</si>
  <si>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</si>
  <si>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</si>
  <si>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</si>
  <si>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</si>
  <si>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</si>
  <si>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</si>
  <si>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</si>
  <si>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</si>
  <si>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</si>
  <si>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</si>
  <si>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</si>
  <si>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</si>
  <si>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</si>
  <si>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</si>
  <si>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</si>
  <si>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</si>
  <si>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</si>
  <si>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</si>
  <si>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</si>
  <si>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</si>
  <si>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</si>
  <si>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</si>
  <si>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</si>
  <si>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</si>
  <si>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</si>
  <si>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</si>
  <si>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</si>
  <si>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</si>
  <si>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</si>
  <si>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</si>
  <si>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</si>
  <si>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</si>
  <si>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</si>
  <si>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</si>
  <si>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</si>
  <si>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</si>
  <si>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</si>
  <si>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</si>
  <si>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</si>
  <si>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</si>
  <si>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</si>
  <si>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</si>
  <si>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</si>
  <si>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</si>
  <si>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</si>
  <si>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</si>
  <si>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</si>
  <si>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</si>
  <si>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</si>
  <si>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</si>
  <si>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</si>
  <si>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</si>
  <si>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</si>
  <si>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</si>
  <si>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</si>
  <si>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</si>
  <si>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</si>
  <si>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</si>
  <si>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</si>
  <si>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</si>
  <si>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</si>
  <si>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</si>
  <si>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</si>
  <si>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</si>
  <si>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</si>
  <si>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</si>
  <si>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</si>
  <si>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</si>
  <si>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</si>
  <si>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</si>
  <si>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</si>
  <si>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</si>
  <si>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</si>
  <si>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</si>
  <si>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</si>
  <si>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</si>
  <si>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</si>
  <si>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</si>
  <si>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</si>
  <si>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</si>
  <si>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</si>
  <si>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</si>
  <si>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</si>
  <si>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</si>
  <si>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</si>
  <si>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</si>
  <si>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</si>
  <si>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</si>
  <si>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</si>
  <si>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</si>
  <si>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</si>
  <si>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</si>
  <si>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</si>
  <si>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</si>
  <si>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</si>
  <si>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</si>
  <si>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</si>
  <si>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</si>
  <si>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</si>
  <si>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</si>
  <si>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</si>
  <si>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</si>
  <si>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</si>
  <si>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</si>
  <si>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</si>
  <si>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</si>
  <si>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</si>
  <si>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</si>
  <si>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</si>
  <si>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</si>
  <si>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</si>
  <si>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</si>
  <si>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</si>
  <si>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</si>
  <si>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</si>
  <si>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</si>
  <si>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</si>
  <si>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</si>
  <si>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</si>
  <si>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</si>
  <si>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</si>
  <si>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</si>
  <si>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</si>
  <si>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</si>
  <si>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</si>
  <si>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</si>
  <si>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</si>
  <si>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</si>
  <si>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</si>
  <si>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</si>
  <si>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</si>
  <si>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</si>
  <si>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</si>
  <si>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</si>
  <si>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</si>
  <si>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</si>
  <si>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</si>
  <si>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</si>
  <si>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</si>
  <si>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</si>
  <si>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</si>
  <si>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</si>
  <si>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</si>
  <si>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</si>
  <si>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</si>
  <si>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</si>
  <si>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</si>
  <si>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</si>
  <si>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</si>
  <si>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</si>
  <si>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</si>
  <si>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</si>
  <si>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</si>
  <si>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</si>
  <si>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</si>
  <si>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</si>
  <si>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</si>
  <si>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</si>
  <si>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</si>
  <si>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</si>
  <si>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</si>
  <si>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</si>
  <si>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</si>
  <si>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</si>
  <si>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</si>
  <si>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</si>
  <si>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</si>
  <si>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</si>
  <si>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</si>
  <si>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</si>
  <si>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</si>
  <si>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</si>
  <si>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</si>
  <si>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</si>
  <si>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</si>
  <si>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</si>
  <si>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</si>
  <si>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</si>
  <si>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</si>
  <si>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</si>
  <si>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</si>
  <si>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</si>
  <si>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</si>
  <si>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</si>
  <si>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</si>
  <si>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</si>
  <si>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</si>
  <si>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</si>
  <si>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</si>
  <si>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</si>
  <si>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</si>
  <si>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</si>
  <si>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</si>
  <si>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</si>
  <si>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</si>
  <si>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</si>
  <si>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</si>
  <si>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</si>
  <si>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</si>
  <si>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</si>
  <si>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</si>
  <si>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</si>
  <si>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</si>
  <si>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</si>
  <si>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</si>
  <si>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</si>
  <si>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</si>
  <si>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</si>
  <si>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</si>
  <si>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</si>
  <si>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</si>
  <si>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</si>
  <si>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</si>
  <si>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</si>
  <si>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</si>
  <si>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</si>
  <si>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</si>
  <si>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</si>
  <si>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</si>
  <si>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</si>
  <si>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</si>
  <si>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</si>
  <si>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</si>
  <si>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</si>
  <si>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</si>
  <si>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</si>
  <si>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</si>
  <si>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</si>
  <si>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</si>
  <si>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</si>
  <si>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</si>
  <si>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</si>
  <si>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</si>
  <si>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</si>
  <si>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</si>
  <si>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</si>
  <si>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</si>
  <si>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</si>
  <si>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</si>
  <si>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</si>
  <si>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</si>
  <si>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</si>
  <si>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</si>
  <si>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</si>
  <si>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</si>
  <si>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</si>
  <si>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</si>
  <si>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</si>
  <si>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</si>
  <si>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</si>
  <si>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</si>
  <si>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</si>
  <si>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</si>
  <si>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</si>
  <si>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</si>
  <si>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</si>
  <si>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</si>
  <si>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</si>
  <si>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</si>
  <si>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</si>
  <si>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</si>
  <si>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</si>
  <si>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</si>
  <si>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</si>
  <si>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[0.394100]</t>
  </si>
  <si>
    <t>0 [0.779865]</t>
  </si>
  <si>
    <t>0 [1.183018]</t>
  </si>
  <si>
    <t>0 [1.603886]</t>
  </si>
  <si>
    <t>0 [2.024495]</t>
  </si>
  <si>
    <t>0 [2.414517]</t>
  </si>
  <si>
    <t>0 [2.815985]</t>
  </si>
  <si>
    <t>0 [3.231716]</t>
  </si>
  <si>
    <t>0 [3.623532]</t>
  </si>
  <si>
    <t>0 [4.058135]</t>
  </si>
  <si>
    <t>0 [4.441869]</t>
  </si>
  <si>
    <t>0 [4.849259]</t>
  </si>
  <si>
    <t>0 [5.246809]</t>
  </si>
  <si>
    <t>0 [5.674171]</t>
  </si>
  <si>
    <t>0 [6.063570]</t>
  </si>
  <si>
    <t>0 [6.494650]</t>
  </si>
  <si>
    <t>0 [6.880961]</t>
  </si>
  <si>
    <t>0 [7.292583]</t>
  </si>
  <si>
    <t>0 [7.695601]</t>
  </si>
  <si>
    <t>0 [8.093110]</t>
  </si>
  <si>
    <t>0 [8.504099]</t>
  </si>
  <si>
    <t>0 [8.902424]</t>
  </si>
  <si>
    <t>0 [9.317768]</t>
  </si>
  <si>
    <t>0 [9.724319]</t>
  </si>
  <si>
    <t>0 [10.120224]</t>
  </si>
  <si>
    <t>vision^Du0e^1^1^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</si>
</sst>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57.73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57.730960000000003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2.5796700000000001</c:v>
                </c:pt>
                <c:pt idx="1">
                  <c:v>2.6514600000000002</c:v>
                </c:pt>
                <c:pt idx="2">
                  <c:v>2.7165099999999995</c:v>
                </c:pt>
                <c:pt idx="3">
                  <c:v>2.7723300000000002</c:v>
                </c:pt>
                <c:pt idx="4">
                  <c:v>2.7429999999999999</c:v>
                </c:pt>
                <c:pt idx="5">
                  <c:v>2.7060499999999998</c:v>
                </c:pt>
                <c:pt idx="6">
                  <c:v>2.6606000000000001</c:v>
                </c:pt>
                <c:pt idx="7">
                  <c:v>2.6150500000000001</c:v>
                </c:pt>
                <c:pt idx="8">
                  <c:v>2.57517</c:v>
                </c:pt>
                <c:pt idx="9">
                  <c:v>2.5264500000000001</c:v>
                </c:pt>
                <c:pt idx="10">
                  <c:v>2.4727099999999997</c:v>
                </c:pt>
                <c:pt idx="11">
                  <c:v>2.41248</c:v>
                </c:pt>
                <c:pt idx="12">
                  <c:v>2.34761</c:v>
                </c:pt>
                <c:pt idx="13">
                  <c:v>2.2850000000000001</c:v>
                </c:pt>
                <c:pt idx="14">
                  <c:v>2.2273800000000001</c:v>
                </c:pt>
                <c:pt idx="15">
                  <c:v>2.17578</c:v>
                </c:pt>
                <c:pt idx="16">
                  <c:v>2.1374199999999997</c:v>
                </c:pt>
                <c:pt idx="17">
                  <c:v>2.1028199999999999</c:v>
                </c:pt>
                <c:pt idx="18">
                  <c:v>2.0760000000000001</c:v>
                </c:pt>
                <c:pt idx="19">
                  <c:v>2.06541</c:v>
                </c:pt>
                <c:pt idx="20">
                  <c:v>2.05755</c:v>
                </c:pt>
                <c:pt idx="21">
                  <c:v>2.0491599999999996</c:v>
                </c:pt>
                <c:pt idx="22">
                  <c:v>2.04087</c:v>
                </c:pt>
                <c:pt idx="23">
                  <c:v>2.0358299999999998</c:v>
                </c:pt>
                <c:pt idx="24">
                  <c:v>2.0312299999999999</c:v>
                </c:pt>
                <c:pt idx="25">
                  <c:v>2.0247699999999997</c:v>
                </c:pt>
              </c:numCache>
            </c:numRef>
          </c:xVal>
          <c:yVal>
            <c:numRef>
              <c:f>[0]!FT_PH</c:f>
              <c:numCache>
                <c:formatCode>0.00</c:formatCode>
                <c:ptCount val="26"/>
                <c:pt idx="0">
                  <c:v>45.189299999999996</c:v>
                </c:pt>
                <c:pt idx="1">
                  <c:v>44.409599999999998</c:v>
                </c:pt>
                <c:pt idx="2">
                  <c:v>43.870199999999997</c:v>
                </c:pt>
                <c:pt idx="3">
                  <c:v>43.560500000000005</c:v>
                </c:pt>
                <c:pt idx="4">
                  <c:v>44.279800000000002</c:v>
                </c:pt>
                <c:pt idx="5">
                  <c:v>45.293199999999999</c:v>
                </c:pt>
                <c:pt idx="6">
                  <c:v>46.4146</c:v>
                </c:pt>
                <c:pt idx="7">
                  <c:v>47.275300000000001</c:v>
                </c:pt>
                <c:pt idx="8">
                  <c:v>47.334900000000005</c:v>
                </c:pt>
                <c:pt idx="9">
                  <c:v>47.942700000000002</c:v>
                </c:pt>
                <c:pt idx="10">
                  <c:v>48.598999999999997</c:v>
                </c:pt>
                <c:pt idx="11">
                  <c:v>49.346699999999998</c:v>
                </c:pt>
                <c:pt idx="12">
                  <c:v>50.332500000000003</c:v>
                </c:pt>
                <c:pt idx="13">
                  <c:v>51.563000000000002</c:v>
                </c:pt>
                <c:pt idx="14">
                  <c:v>53.071199999999997</c:v>
                </c:pt>
                <c:pt idx="15">
                  <c:v>54.793700000000001</c:v>
                </c:pt>
                <c:pt idx="16">
                  <c:v>56.178100000000001</c:v>
                </c:pt>
                <c:pt idx="17">
                  <c:v>57.497500000000002</c:v>
                </c:pt>
                <c:pt idx="18">
                  <c:v>58.538900000000005</c:v>
                </c:pt>
                <c:pt idx="19">
                  <c:v>58.952300000000001</c:v>
                </c:pt>
                <c:pt idx="20">
                  <c:v>59.224299999999999</c:v>
                </c:pt>
                <c:pt idx="21">
                  <c:v>59.469099999999997</c:v>
                </c:pt>
                <c:pt idx="22">
                  <c:v>59.657800000000009</c:v>
                </c:pt>
                <c:pt idx="23">
                  <c:v>59.821500000000007</c:v>
                </c:pt>
                <c:pt idx="24">
                  <c:v>59.943300000000001</c:v>
                </c:pt>
                <c:pt idx="25">
                  <c:v>60.027900000000002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2.6514600000000002</c:v>
                </c:pt>
                <c:pt idx="1">
                  <c:v>2.04087</c:v>
                </c:pt>
              </c:numCache>
            </c:numRef>
          </c:xVal>
          <c:yVal>
            <c:numRef>
              <c:f>info!$W$2:$W$3</c:f>
              <c:numCache>
                <c:formatCode>0.00</c:formatCode>
                <c:ptCount val="2"/>
                <c:pt idx="0">
                  <c:v>44.409599999999998</c:v>
                </c:pt>
                <c:pt idx="1">
                  <c:v>59.657800000000009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2.7723300000000002</c:v>
                </c:pt>
                <c:pt idx="1">
                  <c:v>2.0247699999999997</c:v>
                </c:pt>
              </c:numCache>
            </c:numRef>
          </c:xVal>
          <c:yVal>
            <c:numRef>
              <c:f>info!$W$15:$W$16</c:f>
              <c:numCache>
                <c:formatCode>0.00_ </c:formatCode>
                <c:ptCount val="2"/>
                <c:pt idx="0">
                  <c:v>43.560500000000005</c:v>
                </c:pt>
                <c:pt idx="1">
                  <c:v>60.027900000000002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2.3495503846153842</c:v>
                </c:pt>
              </c:numCache>
            </c:numRef>
          </c:xVal>
          <c:yVal>
            <c:numRef>
              <c:f>info!$N$9</c:f>
              <c:numCache>
                <c:formatCode>0.0</c:formatCode>
                <c:ptCount val="1"/>
                <c:pt idx="0">
                  <c:v>52.022573076923067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27.069700000000001</c:v>
                </c:pt>
                <c:pt idx="1">
                  <c:v>34.530299999999997</c:v>
                </c:pt>
                <c:pt idx="2">
                  <c:v>20.0122</c:v>
                </c:pt>
                <c:pt idx="3">
                  <c:v>29.078299999999999</c:v>
                </c:pt>
                <c:pt idx="4">
                  <c:v>56.441800000000001</c:v>
                </c:pt>
                <c:pt idx="5">
                  <c:v>50.895499999999998</c:v>
                </c:pt>
                <c:pt idx="6">
                  <c:v>13.5084</c:v>
                </c:pt>
                <c:pt idx="7">
                  <c:v>55.439900000000002</c:v>
                </c:pt>
                <c:pt idx="8">
                  <c:v>19.3718</c:v>
                </c:pt>
                <c:pt idx="9">
                  <c:v>28.2439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57.73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57.730960000000003</c:v>
                </c:pt>
                <c:pt idx="1">
                  <c:v>57.730960000000003</c:v>
                </c:pt>
                <c:pt idx="2">
                  <c:v>0</c:v>
                </c:pt>
              </c:numCache>
            </c:numRef>
          </c:xVal>
          <c:yVal>
            <c:numRef>
              <c:f>'R2'!$I$5:$I$7</c:f>
              <c:numCache>
                <c:formatCode>0.0_ </c:formatCode>
                <c:ptCount val="3"/>
                <c:pt idx="0">
                  <c:v>0</c:v>
                </c:pt>
                <c:pt idx="1">
                  <c:v>63.617056627339807</c:v>
                </c:pt>
                <c:pt idx="2">
                  <c:v>63.617056627339807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38.325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38.324666666666666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1.14974</c:v>
                </c:pt>
                <c:pt idx="1">
                  <c:v>1.14974</c:v>
                </c:pt>
                <c:pt idx="2">
                  <c:v>0</c:v>
                </c:pt>
              </c:numCache>
            </c:numRef>
          </c:xVal>
          <c:yVal>
            <c:numRef>
              <c:f>'R3'!$I$6:$I$8</c:f>
              <c:numCache>
                <c:formatCode>0.0_ </c:formatCode>
                <c:ptCount val="3"/>
                <c:pt idx="0">
                  <c:v>0</c:v>
                </c:pt>
                <c:pt idx="1">
                  <c:v>14.631004201614797</c:v>
                </c:pt>
                <c:pt idx="2">
                  <c:v>14.631004201614797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-6.1335529204523667</c:v>
                </c:pt>
                <c:pt idx="1">
                  <c:v>-6.1335529204523667</c:v>
                </c:pt>
                <c:pt idx="2">
                  <c:v>-7</c:v>
                </c:pt>
              </c:numCache>
            </c:numRef>
          </c:xVal>
          <c:yVal>
            <c:numRef>
              <c:f>'R'!$I$5:$I$7</c:f>
              <c:numCache>
                <c:formatCode>0.0_ </c:formatCode>
                <c:ptCount val="3"/>
                <c:pt idx="0">
                  <c:v>0</c:v>
                </c:pt>
                <c:pt idx="1">
                  <c:v>0.22333664420814825</c:v>
                </c:pt>
                <c:pt idx="2">
                  <c:v>0.22333664420814825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-6.1335529204523667</c:v>
                </c:pt>
              </c:numCache>
            </c:numRef>
          </c:xVal>
          <c:yVal>
            <c:numRef>
              <c:f>'R'!$I$4</c:f>
              <c:numCache>
                <c:formatCode>0.00_ </c:formatCode>
                <c:ptCount val="1"/>
                <c:pt idx="0">
                  <c:v>0.22333664420814825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57.73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57.730960000000003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2.5796700000000001</c:v>
                </c:pt>
                <c:pt idx="1">
                  <c:v>2.6514600000000002</c:v>
                </c:pt>
                <c:pt idx="2">
                  <c:v>2.7165099999999995</c:v>
                </c:pt>
                <c:pt idx="3">
                  <c:v>2.7723300000000002</c:v>
                </c:pt>
                <c:pt idx="4">
                  <c:v>2.7429999999999999</c:v>
                </c:pt>
                <c:pt idx="5">
                  <c:v>2.7060499999999998</c:v>
                </c:pt>
                <c:pt idx="6">
                  <c:v>2.6606000000000001</c:v>
                </c:pt>
                <c:pt idx="7">
                  <c:v>2.6150500000000001</c:v>
                </c:pt>
                <c:pt idx="8">
                  <c:v>2.57517</c:v>
                </c:pt>
                <c:pt idx="9">
                  <c:v>2.5264500000000001</c:v>
                </c:pt>
                <c:pt idx="10">
                  <c:v>2.4727099999999997</c:v>
                </c:pt>
                <c:pt idx="11">
                  <c:v>2.41248</c:v>
                </c:pt>
                <c:pt idx="12">
                  <c:v>2.34761</c:v>
                </c:pt>
                <c:pt idx="13">
                  <c:v>2.2850000000000001</c:v>
                </c:pt>
                <c:pt idx="14">
                  <c:v>2.2273800000000001</c:v>
                </c:pt>
                <c:pt idx="15">
                  <c:v>2.17578</c:v>
                </c:pt>
                <c:pt idx="16">
                  <c:v>2.1374199999999997</c:v>
                </c:pt>
                <c:pt idx="17">
                  <c:v>2.1028199999999999</c:v>
                </c:pt>
                <c:pt idx="18">
                  <c:v>2.0760000000000001</c:v>
                </c:pt>
                <c:pt idx="19">
                  <c:v>2.06541</c:v>
                </c:pt>
                <c:pt idx="20">
                  <c:v>2.05755</c:v>
                </c:pt>
                <c:pt idx="21">
                  <c:v>2.0491599999999996</c:v>
                </c:pt>
                <c:pt idx="22">
                  <c:v>2.04087</c:v>
                </c:pt>
                <c:pt idx="23">
                  <c:v>2.0358299999999998</c:v>
                </c:pt>
                <c:pt idx="24">
                  <c:v>2.0312299999999999</c:v>
                </c:pt>
                <c:pt idx="25">
                  <c:v>2.0247699999999997</c:v>
                </c:pt>
              </c:numCache>
            </c:numRef>
          </c:xVal>
          <c:yVal>
            <c:numRef>
              <c:f>[0]!FT_PH</c:f>
              <c:numCache>
                <c:formatCode>0.00</c:formatCode>
                <c:ptCount val="26"/>
                <c:pt idx="0">
                  <c:v>45.189299999999996</c:v>
                </c:pt>
                <c:pt idx="1">
                  <c:v>44.409599999999998</c:v>
                </c:pt>
                <c:pt idx="2">
                  <c:v>43.870199999999997</c:v>
                </c:pt>
                <c:pt idx="3">
                  <c:v>43.560500000000005</c:v>
                </c:pt>
                <c:pt idx="4">
                  <c:v>44.279800000000002</c:v>
                </c:pt>
                <c:pt idx="5">
                  <c:v>45.293199999999999</c:v>
                </c:pt>
                <c:pt idx="6">
                  <c:v>46.4146</c:v>
                </c:pt>
                <c:pt idx="7">
                  <c:v>47.275300000000001</c:v>
                </c:pt>
                <c:pt idx="8">
                  <c:v>47.334900000000005</c:v>
                </c:pt>
                <c:pt idx="9">
                  <c:v>47.942700000000002</c:v>
                </c:pt>
                <c:pt idx="10">
                  <c:v>48.598999999999997</c:v>
                </c:pt>
                <c:pt idx="11">
                  <c:v>49.346699999999998</c:v>
                </c:pt>
                <c:pt idx="12">
                  <c:v>50.332500000000003</c:v>
                </c:pt>
                <c:pt idx="13">
                  <c:v>51.563000000000002</c:v>
                </c:pt>
                <c:pt idx="14">
                  <c:v>53.071199999999997</c:v>
                </c:pt>
                <c:pt idx="15">
                  <c:v>54.793700000000001</c:v>
                </c:pt>
                <c:pt idx="16">
                  <c:v>56.178100000000001</c:v>
                </c:pt>
                <c:pt idx="17">
                  <c:v>57.497500000000002</c:v>
                </c:pt>
                <c:pt idx="18">
                  <c:v>58.538900000000005</c:v>
                </c:pt>
                <c:pt idx="19">
                  <c:v>58.952300000000001</c:v>
                </c:pt>
                <c:pt idx="20">
                  <c:v>59.224299999999999</c:v>
                </c:pt>
                <c:pt idx="21">
                  <c:v>59.469099999999997</c:v>
                </c:pt>
                <c:pt idx="22">
                  <c:v>59.657800000000009</c:v>
                </c:pt>
                <c:pt idx="23">
                  <c:v>59.821500000000007</c:v>
                </c:pt>
                <c:pt idx="24">
                  <c:v>59.943300000000001</c:v>
                </c:pt>
                <c:pt idx="25">
                  <c:v>60.027900000000002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2.6514600000000002</c:v>
                </c:pt>
                <c:pt idx="1">
                  <c:v>2.04087</c:v>
                </c:pt>
              </c:numCache>
            </c:numRef>
          </c:xVal>
          <c:yVal>
            <c:numRef>
              <c:f>info!$W$2:$W$3</c:f>
              <c:numCache>
                <c:formatCode>0.00</c:formatCode>
                <c:ptCount val="2"/>
                <c:pt idx="0">
                  <c:v>44.409599999999998</c:v>
                </c:pt>
                <c:pt idx="1">
                  <c:v>59.657800000000009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2.7723300000000002</c:v>
                </c:pt>
                <c:pt idx="1">
                  <c:v>2.0247699999999997</c:v>
                </c:pt>
              </c:numCache>
            </c:numRef>
          </c:xVal>
          <c:yVal>
            <c:numRef>
              <c:f>info!$W$15:$W$16</c:f>
              <c:numCache>
                <c:formatCode>0.00_ </c:formatCode>
                <c:ptCount val="2"/>
                <c:pt idx="0">
                  <c:v>43.560500000000005</c:v>
                </c:pt>
                <c:pt idx="1">
                  <c:v>60.027900000000002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2.3495503846153842</c:v>
                </c:pt>
              </c:numCache>
            </c:numRef>
          </c:xVal>
          <c:yVal>
            <c:numRef>
              <c:f>info!$N$9</c:f>
              <c:numCache>
                <c:formatCode>0.0</c:formatCode>
                <c:ptCount val="1"/>
                <c:pt idx="0">
                  <c:v>52.022573076923067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27.069700000000001</c:v>
                </c:pt>
                <c:pt idx="1">
                  <c:v>34.530299999999997</c:v>
                </c:pt>
                <c:pt idx="2">
                  <c:v>20.0122</c:v>
                </c:pt>
                <c:pt idx="3">
                  <c:v>29.078299999999999</c:v>
                </c:pt>
                <c:pt idx="4">
                  <c:v>56.441800000000001</c:v>
                </c:pt>
                <c:pt idx="5">
                  <c:v>50.895499999999998</c:v>
                </c:pt>
                <c:pt idx="6">
                  <c:v>13.5084</c:v>
                </c:pt>
                <c:pt idx="7">
                  <c:v>55.439900000000002</c:v>
                </c:pt>
                <c:pt idx="8">
                  <c:v>19.3718</c:v>
                </c:pt>
                <c:pt idx="9">
                  <c:v>28.2439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57.73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57.730960000000003</c:v>
                </c:pt>
                <c:pt idx="1">
                  <c:v>57.730960000000003</c:v>
                </c:pt>
                <c:pt idx="2">
                  <c:v>0</c:v>
                </c:pt>
              </c:numCache>
            </c:numRef>
          </c:xVal>
          <c:yVal>
            <c:numRef>
              <c:f>'R2'!$I$5:$I$7</c:f>
              <c:numCache>
                <c:formatCode>0.0_ </c:formatCode>
                <c:ptCount val="3"/>
                <c:pt idx="0">
                  <c:v>0</c:v>
                </c:pt>
                <c:pt idx="1">
                  <c:v>63.617056627339807</c:v>
                </c:pt>
                <c:pt idx="2">
                  <c:v>63.617056627339807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38.325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38.324666666666666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1.14974</c:v>
                </c:pt>
                <c:pt idx="1">
                  <c:v>1.14974</c:v>
                </c:pt>
                <c:pt idx="2">
                  <c:v>0</c:v>
                </c:pt>
              </c:numCache>
            </c:numRef>
          </c:xVal>
          <c:yVal>
            <c:numRef>
              <c:f>'R3'!$I$6:$I$8</c:f>
              <c:numCache>
                <c:formatCode>0.0_ </c:formatCode>
                <c:ptCount val="3"/>
                <c:pt idx="0">
                  <c:v>0</c:v>
                </c:pt>
                <c:pt idx="1">
                  <c:v>14.631004201614797</c:v>
                </c:pt>
                <c:pt idx="2">
                  <c:v>14.631004201614797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-6.1335529204523667</c:v>
                </c:pt>
                <c:pt idx="1">
                  <c:v>-6.1335529204523667</c:v>
                </c:pt>
                <c:pt idx="2">
                  <c:v>-7</c:v>
                </c:pt>
              </c:numCache>
            </c:numRef>
          </c:xVal>
          <c:yVal>
            <c:numRef>
              <c:f>'R'!$I$5:$I$7</c:f>
              <c:numCache>
                <c:formatCode>0.0_ </c:formatCode>
                <c:ptCount val="3"/>
                <c:pt idx="0">
                  <c:v>0</c:v>
                </c:pt>
                <c:pt idx="1">
                  <c:v>0.22333664420814825</c:v>
                </c:pt>
                <c:pt idx="2">
                  <c:v>0.22333664420814825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-6.1335529204523667</c:v>
                </c:pt>
              </c:numCache>
            </c:numRef>
          </c:xVal>
          <c:yVal>
            <c:numRef>
              <c:f>'R'!$I$4</c:f>
              <c:numCache>
                <c:formatCode>0.00_ </c:formatCode>
                <c:ptCount val="1"/>
                <c:pt idx="0">
                  <c:v>0.22333664420814825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0.39410000000000001</c:v>
                </c:pt>
                <c:pt idx="2">
                  <c:v>0.77986500000000003</c:v>
                </c:pt>
                <c:pt idx="3">
                  <c:v>1.18302</c:v>
                </c:pt>
                <c:pt idx="4">
                  <c:v>1.60389</c:v>
                </c:pt>
                <c:pt idx="5">
                  <c:v>2.0245000000000002</c:v>
                </c:pt>
                <c:pt idx="6">
                  <c:v>2.41452</c:v>
                </c:pt>
                <c:pt idx="7">
                  <c:v>2.8159800000000001</c:v>
                </c:pt>
                <c:pt idx="8">
                  <c:v>3.2317200000000001</c:v>
                </c:pt>
                <c:pt idx="9">
                  <c:v>3.6235300000000001</c:v>
                </c:pt>
                <c:pt idx="10">
                  <c:v>4.0581300000000002</c:v>
                </c:pt>
                <c:pt idx="11">
                  <c:v>4.4418699999999998</c:v>
                </c:pt>
                <c:pt idx="12">
                  <c:v>4.8492600000000001</c:v>
                </c:pt>
                <c:pt idx="13">
                  <c:v>5.24681</c:v>
                </c:pt>
                <c:pt idx="14">
                  <c:v>5.6741700000000002</c:v>
                </c:pt>
                <c:pt idx="15">
                  <c:v>6.0635700000000003</c:v>
                </c:pt>
                <c:pt idx="16">
                  <c:v>6.49465</c:v>
                </c:pt>
                <c:pt idx="17">
                  <c:v>6.88096</c:v>
                </c:pt>
                <c:pt idx="18">
                  <c:v>7.2925800000000001</c:v>
                </c:pt>
                <c:pt idx="19">
                  <c:v>7.6955999999999998</c:v>
                </c:pt>
                <c:pt idx="20">
                  <c:v>8.0931099999999994</c:v>
                </c:pt>
                <c:pt idx="21">
                  <c:v>8.5040999999999993</c:v>
                </c:pt>
                <c:pt idx="22">
                  <c:v>8.9024199999999993</c:v>
                </c:pt>
                <c:pt idx="23">
                  <c:v>9.3177699999999994</c:v>
                </c:pt>
                <c:pt idx="24">
                  <c:v>9.7243200000000005</c:v>
                </c:pt>
                <c:pt idx="25">
                  <c:v>10.120200000000001</c:v>
                </c:pt>
              </c:numCache>
            </c:numRef>
          </c:xVal>
          <c:yVal>
            <c:numRef>
              <c:f>FT!$J$2:$J$2000</c:f>
              <c:numCache>
                <c:formatCode>General</c:formatCode>
                <c:ptCount val="1999"/>
                <c:pt idx="0">
                  <c:v>2.5796700000000001</c:v>
                </c:pt>
                <c:pt idx="1">
                  <c:v>2.6514600000000002</c:v>
                </c:pt>
                <c:pt idx="2">
                  <c:v>2.7165099999999995</c:v>
                </c:pt>
                <c:pt idx="3">
                  <c:v>2.7723300000000002</c:v>
                </c:pt>
                <c:pt idx="4">
                  <c:v>2.7429999999999999</c:v>
                </c:pt>
                <c:pt idx="5">
                  <c:v>2.7060499999999998</c:v>
                </c:pt>
                <c:pt idx="6">
                  <c:v>2.6606000000000001</c:v>
                </c:pt>
                <c:pt idx="7">
                  <c:v>2.6150500000000001</c:v>
                </c:pt>
                <c:pt idx="8">
                  <c:v>2.57517</c:v>
                </c:pt>
                <c:pt idx="9">
                  <c:v>2.5264500000000001</c:v>
                </c:pt>
                <c:pt idx="10">
                  <c:v>2.4727099999999997</c:v>
                </c:pt>
                <c:pt idx="11">
                  <c:v>2.41248</c:v>
                </c:pt>
                <c:pt idx="12">
                  <c:v>2.34761</c:v>
                </c:pt>
                <c:pt idx="13">
                  <c:v>2.2850000000000001</c:v>
                </c:pt>
                <c:pt idx="14">
                  <c:v>2.2273800000000001</c:v>
                </c:pt>
                <c:pt idx="15">
                  <c:v>2.17578</c:v>
                </c:pt>
                <c:pt idx="16">
                  <c:v>2.1374199999999997</c:v>
                </c:pt>
                <c:pt idx="17">
                  <c:v>2.1028199999999999</c:v>
                </c:pt>
                <c:pt idx="18">
                  <c:v>2.0760000000000001</c:v>
                </c:pt>
                <c:pt idx="19">
                  <c:v>2.06541</c:v>
                </c:pt>
                <c:pt idx="20">
                  <c:v>2.05755</c:v>
                </c:pt>
                <c:pt idx="21">
                  <c:v>2.0491599999999996</c:v>
                </c:pt>
                <c:pt idx="22">
                  <c:v>2.04087</c:v>
                </c:pt>
                <c:pt idx="23">
                  <c:v>2.0358299999999998</c:v>
                </c:pt>
                <c:pt idx="24">
                  <c:v>2.0312299999999999</c:v>
                </c:pt>
                <c:pt idx="25">
                  <c:v>2.0247699999999997</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2.5796700000000001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2.5796700000000001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2.5796700000000001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2.5796700000000001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2.5796700000000001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2.5796700000000001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2.5796700000000001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2.5796700000000001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2.5796700000000001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2.5796700000000001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2.5796700000000001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2.5796700000000001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2.5796700000000001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2.5796700000000001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2.5796700000000001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2.5796700000000001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2.5796700000000001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2.5796700000000001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2.5796700000000001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2.5796700000000001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2.5796700000000001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2.5796700000000001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2.5796700000000001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2.5796700000000001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0.39410000000000001</c:v>
                </c:pt>
                <c:pt idx="2">
                  <c:v>0.77986500000000003</c:v>
                </c:pt>
                <c:pt idx="3">
                  <c:v>1.18302</c:v>
                </c:pt>
                <c:pt idx="4">
                  <c:v>1.60389</c:v>
                </c:pt>
                <c:pt idx="5">
                  <c:v>2.0245000000000002</c:v>
                </c:pt>
                <c:pt idx="6">
                  <c:v>2.41452</c:v>
                </c:pt>
                <c:pt idx="7">
                  <c:v>2.8159800000000001</c:v>
                </c:pt>
                <c:pt idx="8">
                  <c:v>3.2317200000000001</c:v>
                </c:pt>
                <c:pt idx="9">
                  <c:v>3.6235300000000001</c:v>
                </c:pt>
                <c:pt idx="10">
                  <c:v>4.0581300000000002</c:v>
                </c:pt>
                <c:pt idx="11">
                  <c:v>4.4418699999999998</c:v>
                </c:pt>
                <c:pt idx="12">
                  <c:v>4.8492600000000001</c:v>
                </c:pt>
                <c:pt idx="13">
                  <c:v>5.24681</c:v>
                </c:pt>
                <c:pt idx="14">
                  <c:v>5.6741700000000002</c:v>
                </c:pt>
                <c:pt idx="15">
                  <c:v>6.0635700000000003</c:v>
                </c:pt>
                <c:pt idx="16">
                  <c:v>6.49465</c:v>
                </c:pt>
                <c:pt idx="17">
                  <c:v>6.88096</c:v>
                </c:pt>
                <c:pt idx="18">
                  <c:v>7.2925800000000001</c:v>
                </c:pt>
                <c:pt idx="19">
                  <c:v>7.6955999999999998</c:v>
                </c:pt>
                <c:pt idx="20">
                  <c:v>8.0931099999999994</c:v>
                </c:pt>
                <c:pt idx="21">
                  <c:v>8.5040999999999993</c:v>
                </c:pt>
                <c:pt idx="22">
                  <c:v>8.9024199999999993</c:v>
                </c:pt>
                <c:pt idx="23">
                  <c:v>9.3177699999999994</c:v>
                </c:pt>
                <c:pt idx="24">
                  <c:v>9.7243200000000005</c:v>
                </c:pt>
                <c:pt idx="25">
                  <c:v>10.120200000000001</c:v>
                </c:pt>
              </c:numCache>
            </c:numRef>
          </c:xVal>
          <c:yVal>
            <c:numRef>
              <c:f>FT!$K$2:$K$2000</c:f>
              <c:numCache>
                <c:formatCode>General</c:formatCode>
                <c:ptCount val="1999"/>
                <c:pt idx="0">
                  <c:v>45.189299999999996</c:v>
                </c:pt>
                <c:pt idx="1">
                  <c:v>44.409599999999998</c:v>
                </c:pt>
                <c:pt idx="2">
                  <c:v>43.870199999999997</c:v>
                </c:pt>
                <c:pt idx="3">
                  <c:v>43.560500000000005</c:v>
                </c:pt>
                <c:pt idx="4">
                  <c:v>44.279800000000002</c:v>
                </c:pt>
                <c:pt idx="5">
                  <c:v>45.293199999999999</c:v>
                </c:pt>
                <c:pt idx="6">
                  <c:v>46.4146</c:v>
                </c:pt>
                <c:pt idx="7">
                  <c:v>47.275300000000001</c:v>
                </c:pt>
                <c:pt idx="8">
                  <c:v>47.334900000000005</c:v>
                </c:pt>
                <c:pt idx="9">
                  <c:v>47.942700000000002</c:v>
                </c:pt>
                <c:pt idx="10">
                  <c:v>48.598999999999997</c:v>
                </c:pt>
                <c:pt idx="11">
                  <c:v>49.346699999999998</c:v>
                </c:pt>
                <c:pt idx="12">
                  <c:v>50.332500000000003</c:v>
                </c:pt>
                <c:pt idx="13">
                  <c:v>51.563000000000002</c:v>
                </c:pt>
                <c:pt idx="14">
                  <c:v>53.071199999999997</c:v>
                </c:pt>
                <c:pt idx="15">
                  <c:v>54.793700000000001</c:v>
                </c:pt>
                <c:pt idx="16">
                  <c:v>56.178100000000001</c:v>
                </c:pt>
                <c:pt idx="17">
                  <c:v>57.497500000000002</c:v>
                </c:pt>
                <c:pt idx="18">
                  <c:v>58.538900000000005</c:v>
                </c:pt>
                <c:pt idx="19">
                  <c:v>58.952300000000001</c:v>
                </c:pt>
                <c:pt idx="20">
                  <c:v>59.224299999999999</c:v>
                </c:pt>
                <c:pt idx="21">
                  <c:v>59.469099999999997</c:v>
                </c:pt>
                <c:pt idx="22">
                  <c:v>59.657800000000009</c:v>
                </c:pt>
                <c:pt idx="23">
                  <c:v>59.821500000000007</c:v>
                </c:pt>
                <c:pt idx="24">
                  <c:v>59.943300000000001</c:v>
                </c:pt>
                <c:pt idx="25">
                  <c:v>60.027900000000002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45.189299999999996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45.189299999999996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45.189299999999996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45.189299999999996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45.189299999999996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45.189299999999996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45.189299999999996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45.189299999999996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45.189299999999996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45.189299999999996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45.189299999999996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45.189299999999996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45.189299999999996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45.189299999999996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45.189299999999996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45.189299999999996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45.189299999999996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45.189299999999996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45.189299999999996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45.189299999999996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45.189299999999996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45.189299999999996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45.189299999999996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45.189299999999996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0.39410000000000001</c:v>
                </c:pt>
                <c:pt idx="2">
                  <c:v>0.77986500000000003</c:v>
                </c:pt>
                <c:pt idx="3">
                  <c:v>1.18302</c:v>
                </c:pt>
                <c:pt idx="4">
                  <c:v>1.60389</c:v>
                </c:pt>
                <c:pt idx="5">
                  <c:v>2.0245000000000002</c:v>
                </c:pt>
                <c:pt idx="6">
                  <c:v>2.41452</c:v>
                </c:pt>
                <c:pt idx="7">
                  <c:v>2.8159800000000001</c:v>
                </c:pt>
                <c:pt idx="8">
                  <c:v>3.2317200000000001</c:v>
                </c:pt>
                <c:pt idx="9">
                  <c:v>3.6235300000000001</c:v>
                </c:pt>
                <c:pt idx="10">
                  <c:v>4.0581300000000002</c:v>
                </c:pt>
                <c:pt idx="11">
                  <c:v>4.4418699999999998</c:v>
                </c:pt>
                <c:pt idx="12">
                  <c:v>4.8492600000000001</c:v>
                </c:pt>
                <c:pt idx="13">
                  <c:v>5.24681</c:v>
                </c:pt>
                <c:pt idx="14">
                  <c:v>5.6741700000000002</c:v>
                </c:pt>
                <c:pt idx="15">
                  <c:v>6.0635700000000003</c:v>
                </c:pt>
                <c:pt idx="16">
                  <c:v>6.49465</c:v>
                </c:pt>
                <c:pt idx="17">
                  <c:v>6.88096</c:v>
                </c:pt>
                <c:pt idx="18">
                  <c:v>7.2925800000000001</c:v>
                </c:pt>
                <c:pt idx="19">
                  <c:v>7.6955999999999998</c:v>
                </c:pt>
                <c:pt idx="20">
                  <c:v>8.0931099999999994</c:v>
                </c:pt>
                <c:pt idx="21">
                  <c:v>8.5040999999999993</c:v>
                </c:pt>
                <c:pt idx="22">
                  <c:v>8.9024199999999993</c:v>
                </c:pt>
                <c:pt idx="23">
                  <c:v>9.3177699999999994</c:v>
                </c:pt>
                <c:pt idx="24">
                  <c:v>9.7243200000000005</c:v>
                </c:pt>
                <c:pt idx="25">
                  <c:v>10.120200000000001</c:v>
                </c:pt>
              </c:numCache>
            </c:numRef>
          </c:xVal>
          <c:yVal>
            <c:numRef>
              <c:f>FT!$L$2:$L$2000</c:f>
              <c:numCache>
                <c:formatCode>General</c:formatCode>
                <c:ptCount val="1999"/>
                <c:pt idx="0">
                  <c:v>17.517473165172287</c:v>
                </c:pt>
                <c:pt idx="1">
                  <c:v>16.749111810097077</c:v>
                </c:pt>
                <c:pt idx="2">
                  <c:v>16.14947119649845</c:v>
                </c:pt>
                <c:pt idx="3">
                  <c:v>15.712595542377711</c:v>
                </c:pt>
                <c:pt idx="4">
                  <c:v>16.142836310608825</c:v>
                </c:pt>
                <c:pt idx="5">
                  <c:v>16.737754291310214</c:v>
                </c:pt>
                <c:pt idx="6">
                  <c:v>17.445162745245433</c:v>
                </c:pt>
                <c:pt idx="7">
                  <c:v>18.078162941435153</c:v>
                </c:pt>
                <c:pt idx="8">
                  <c:v>18.381271916028847</c:v>
                </c:pt>
                <c:pt idx="9">
                  <c:v>18.976310633497597</c:v>
                </c:pt>
                <c:pt idx="10">
                  <c:v>19.654144642922137</c:v>
                </c:pt>
                <c:pt idx="11">
                  <c:v>20.454760246717072</c:v>
                </c:pt>
                <c:pt idx="12">
                  <c:v>21.439889930610281</c:v>
                </c:pt>
                <c:pt idx="13">
                  <c:v>22.565864332603937</c:v>
                </c:pt>
                <c:pt idx="14">
                  <c:v>23.826738140775259</c:v>
                </c:pt>
                <c:pt idx="15">
                  <c:v>25.183474432157663</c:v>
                </c:pt>
                <c:pt idx="16">
                  <c:v>26.283135743092142</c:v>
                </c:pt>
                <c:pt idx="17">
                  <c:v>27.343044102681162</c:v>
                </c:pt>
                <c:pt idx="18">
                  <c:v>28.19792870905588</c:v>
                </c:pt>
                <c:pt idx="19">
                  <c:v>28.542662231711866</c:v>
                </c:pt>
                <c:pt idx="20">
                  <c:v>28.783893465529392</c:v>
                </c:pt>
                <c:pt idx="21">
                  <c:v>29.021208690390214</c:v>
                </c:pt>
                <c:pt idx="22">
                  <c:v>29.23155321015058</c:v>
                </c:pt>
                <c:pt idx="23">
                  <c:v>29.384329732836246</c:v>
                </c:pt>
                <c:pt idx="24">
                  <c:v>29.510838260561336</c:v>
                </c:pt>
                <c:pt idx="25">
                  <c:v>29.646774695397507</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2.3105009282729037E-2</c:v>
                </c:pt>
                <c:pt idx="7">
                  <c:v>0</c:v>
                </c:pt>
                <c:pt idx="8">
                  <c:v>3.6569077915582268E-2</c:v>
                </c:pt>
                <c:pt idx="9">
                  <c:v>0</c:v>
                </c:pt>
                <c:pt idx="10">
                  <c:v>0</c:v>
                </c:pt>
                <c:pt idx="11">
                  <c:v>0.30346809538745861</c:v>
                </c:pt>
                <c:pt idx="12">
                  <c:v>0</c:v>
                </c:pt>
                <c:pt idx="13">
                  <c:v>0.10111901391137749</c:v>
                </c:pt>
                <c:pt idx="14">
                  <c:v>0</c:v>
                </c:pt>
                <c:pt idx="15">
                  <c:v>0</c:v>
                </c:pt>
                <c:pt idx="16">
                  <c:v>8.8984918744330746E-2</c:v>
                </c:pt>
                <c:pt idx="17">
                  <c:v>0</c:v>
                </c:pt>
                <c:pt idx="18">
                  <c:v>0</c:v>
                </c:pt>
                <c:pt idx="19">
                  <c:v>9.1090275599562578E-2</c:v>
                </c:pt>
                <c:pt idx="20">
                  <c:v>0</c:v>
                </c:pt>
                <c:pt idx="21">
                  <c:v>7.823560329261367E-2</c:v>
                </c:pt>
                <c:pt idx="22">
                  <c:v>0</c:v>
                </c:pt>
                <c:pt idx="23">
                  <c:v>0</c:v>
                </c:pt>
                <c:pt idx="24">
                  <c:v>0.14987792575512246</c:v>
                </c:pt>
                <c:pt idx="25">
                  <c:v>0</c:v>
                </c:pt>
                <c:pt idx="26">
                  <c:v>0.20933020235501565</c:v>
                </c:pt>
                <c:pt idx="27">
                  <c:v>0</c:v>
                </c:pt>
                <c:pt idx="28">
                  <c:v>0</c:v>
                </c:pt>
                <c:pt idx="29">
                  <c:v>0.20295860496265716</c:v>
                </c:pt>
                <c:pt idx="30">
                  <c:v>0</c:v>
                </c:pt>
                <c:pt idx="31">
                  <c:v>0.27365866684751738</c:v>
                </c:pt>
                <c:pt idx="32">
                  <c:v>0</c:v>
                </c:pt>
                <c:pt idx="33">
                  <c:v>0</c:v>
                </c:pt>
                <c:pt idx="34">
                  <c:v>0.52044319732793043</c:v>
                </c:pt>
                <c:pt idx="35">
                  <c:v>0</c:v>
                </c:pt>
                <c:pt idx="36">
                  <c:v>0</c:v>
                </c:pt>
                <c:pt idx="37">
                  <c:v>1</c:v>
                </c:pt>
                <c:pt idx="38">
                  <c:v>0</c:v>
                </c:pt>
                <c:pt idx="39">
                  <c:v>0.91500156831495161</c:v>
                </c:pt>
                <c:pt idx="40">
                  <c:v>0</c:v>
                </c:pt>
                <c:pt idx="41">
                  <c:v>0</c:v>
                </c:pt>
                <c:pt idx="42">
                  <c:v>0.65331338323683252</c:v>
                </c:pt>
                <c:pt idx="43">
                  <c:v>0</c:v>
                </c:pt>
                <c:pt idx="44">
                  <c:v>0.4512423597629725</c:v>
                </c:pt>
                <c:pt idx="45">
                  <c:v>0</c:v>
                </c:pt>
                <c:pt idx="46">
                  <c:v>0</c:v>
                </c:pt>
                <c:pt idx="47">
                  <c:v>0.39267427370062985</c:v>
                </c:pt>
                <c:pt idx="48">
                  <c:v>0</c:v>
                </c:pt>
                <c:pt idx="49">
                  <c:v>0.30391103839404549</c:v>
                </c:pt>
                <c:pt idx="50">
                  <c:v>0</c:v>
                </c:pt>
                <c:pt idx="51">
                  <c:v>0</c:v>
                </c:pt>
                <c:pt idx="52">
                  <c:v>0.32923254295911364</c:v>
                </c:pt>
                <c:pt idx="53">
                  <c:v>0</c:v>
                </c:pt>
                <c:pt idx="54">
                  <c:v>0</c:v>
                </c:pt>
                <c:pt idx="55">
                  <c:v>0.32740397249938541</c:v>
                </c:pt>
                <c:pt idx="56">
                  <c:v>0</c:v>
                </c:pt>
                <c:pt idx="57">
                  <c:v>0.29327277659565448</c:v>
                </c:pt>
                <c:pt idx="58">
                  <c:v>0</c:v>
                </c:pt>
                <c:pt idx="59">
                  <c:v>0</c:v>
                </c:pt>
                <c:pt idx="60">
                  <c:v>0.42281601546273773</c:v>
                </c:pt>
                <c:pt idx="61">
                  <c:v>0</c:v>
                </c:pt>
                <c:pt idx="62">
                  <c:v>0.43711057044277352</c:v>
                </c:pt>
                <c:pt idx="63">
                  <c:v>0</c:v>
                </c:pt>
                <c:pt idx="64">
                  <c:v>0</c:v>
                </c:pt>
                <c:pt idx="65">
                  <c:v>0.4133968006374989</c:v>
                </c:pt>
                <c:pt idx="66">
                  <c:v>0</c:v>
                </c:pt>
                <c:pt idx="67">
                  <c:v>0.48825459261959464</c:v>
                </c:pt>
                <c:pt idx="68">
                  <c:v>0</c:v>
                </c:pt>
                <c:pt idx="69">
                  <c:v>0</c:v>
                </c:pt>
                <c:pt idx="70">
                  <c:v>0.35056459338255869</c:v>
                </c:pt>
                <c:pt idx="71">
                  <c:v>0</c:v>
                </c:pt>
                <c:pt idx="72">
                  <c:v>0</c:v>
                </c:pt>
                <c:pt idx="73">
                  <c:v>0.37815761141394189</c:v>
                </c:pt>
                <c:pt idx="74">
                  <c:v>0</c:v>
                </c:pt>
                <c:pt idx="75">
                  <c:v>0.39694093810666242</c:v>
                </c:pt>
                <c:pt idx="76">
                  <c:v>0</c:v>
                </c:pt>
                <c:pt idx="77">
                  <c:v>0</c:v>
                </c:pt>
                <c:pt idx="78">
                  <c:v>0.29404845669331392</c:v>
                </c:pt>
                <c:pt idx="79">
                  <c:v>0</c:v>
                </c:pt>
                <c:pt idx="80">
                  <c:v>0.39079060028314444</c:v>
                </c:pt>
                <c:pt idx="81">
                  <c:v>0</c:v>
                </c:pt>
                <c:pt idx="82">
                  <c:v>0</c:v>
                </c:pt>
                <c:pt idx="83">
                  <c:v>0.39162180720746687</c:v>
                </c:pt>
                <c:pt idx="84">
                  <c:v>0</c:v>
                </c:pt>
                <c:pt idx="85">
                  <c:v>0</c:v>
                </c:pt>
                <c:pt idx="86">
                  <c:v>0.31759691762531689</c:v>
                </c:pt>
                <c:pt idx="87">
                  <c:v>0</c:v>
                </c:pt>
                <c:pt idx="88">
                  <c:v>0.38718898619035103</c:v>
                </c:pt>
                <c:pt idx="89">
                  <c:v>0</c:v>
                </c:pt>
                <c:pt idx="90">
                  <c:v>0</c:v>
                </c:pt>
                <c:pt idx="91">
                  <c:v>0.4120115970532634</c:v>
                </c:pt>
                <c:pt idx="92">
                  <c:v>0</c:v>
                </c:pt>
                <c:pt idx="93">
                  <c:v>0.29194309983808209</c:v>
                </c:pt>
                <c:pt idx="94">
                  <c:v>0</c:v>
                </c:pt>
                <c:pt idx="95">
                  <c:v>0</c:v>
                </c:pt>
                <c:pt idx="96">
                  <c:v>0.23869626401946409</c:v>
                </c:pt>
                <c:pt idx="97">
                  <c:v>0</c:v>
                </c:pt>
                <c:pt idx="98">
                  <c:v>0.2006866676274362</c:v>
                </c:pt>
                <c:pt idx="99">
                  <c:v>0</c:v>
                </c:pt>
                <c:pt idx="100">
                  <c:v>0</c:v>
                </c:pt>
                <c:pt idx="101">
                  <c:v>0.19791626045896524</c:v>
                </c:pt>
                <c:pt idx="102">
                  <c:v>0</c:v>
                </c:pt>
                <c:pt idx="103">
                  <c:v>0</c:v>
                </c:pt>
                <c:pt idx="104">
                  <c:v>0.15037639558837243</c:v>
                </c:pt>
                <c:pt idx="105">
                  <c:v>0</c:v>
                </c:pt>
                <c:pt idx="106">
                  <c:v>0.13436347606412288</c:v>
                </c:pt>
                <c:pt idx="107">
                  <c:v>0</c:v>
                </c:pt>
                <c:pt idx="108">
                  <c:v>0</c:v>
                </c:pt>
                <c:pt idx="109">
                  <c:v>0.11796314035994948</c:v>
                </c:pt>
                <c:pt idx="110">
                  <c:v>0</c:v>
                </c:pt>
                <c:pt idx="111">
                  <c:v>7.8789599952526684E-2</c:v>
                </c:pt>
                <c:pt idx="112">
                  <c:v>0</c:v>
                </c:pt>
                <c:pt idx="113">
                  <c:v>0</c:v>
                </c:pt>
                <c:pt idx="114">
                  <c:v>4.1278727715092278E-2</c:v>
                </c:pt>
                <c:pt idx="115">
                  <c:v>0</c:v>
                </c:pt>
                <c:pt idx="116">
                  <c:v>2.1775247751375456E-2</c:v>
                </c:pt>
                <c:pt idx="117">
                  <c:v>0</c:v>
                </c:pt>
                <c:pt idx="118">
                  <c:v>0</c:v>
                </c:pt>
                <c:pt idx="119">
                  <c:v>1.4572231500241607E-2</c:v>
                </c:pt>
                <c:pt idx="120">
                  <c:v>0</c:v>
                </c:pt>
                <c:pt idx="121">
                  <c:v>0</c:v>
                </c:pt>
                <c:pt idx="122">
                  <c:v>1.0582862132399692E-2</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0.92868589582638061</c:v>
                </c:pt>
                <c:pt idx="4">
                  <c:v>0</c:v>
                </c:pt>
                <c:pt idx="5">
                  <c:v>0</c:v>
                </c:pt>
                <c:pt idx="6">
                  <c:v>1</c:v>
                </c:pt>
                <c:pt idx="7">
                  <c:v>0</c:v>
                </c:pt>
                <c:pt idx="8">
                  <c:v>0.89456372069281698</c:v>
                </c:pt>
                <c:pt idx="9">
                  <c:v>0</c:v>
                </c:pt>
                <c:pt idx="10">
                  <c:v>0</c:v>
                </c:pt>
                <c:pt idx="11">
                  <c:v>0.48199396308940556</c:v>
                </c:pt>
                <c:pt idx="12">
                  <c:v>0</c:v>
                </c:pt>
                <c:pt idx="13">
                  <c:v>0.33045319333854273</c:v>
                </c:pt>
                <c:pt idx="14">
                  <c:v>0</c:v>
                </c:pt>
                <c:pt idx="15">
                  <c:v>0</c:v>
                </c:pt>
                <c:pt idx="16">
                  <c:v>0.26411686172352694</c:v>
                </c:pt>
                <c:pt idx="17">
                  <c:v>0</c:v>
                </c:pt>
                <c:pt idx="18">
                  <c:v>0</c:v>
                </c:pt>
                <c:pt idx="19">
                  <c:v>0.21545057072404106</c:v>
                </c:pt>
                <c:pt idx="20">
                  <c:v>0</c:v>
                </c:pt>
                <c:pt idx="21">
                  <c:v>0.17745286795031856</c:v>
                </c:pt>
                <c:pt idx="22">
                  <c:v>0</c:v>
                </c:pt>
                <c:pt idx="23">
                  <c:v>0</c:v>
                </c:pt>
                <c:pt idx="24">
                  <c:v>0.15473054995783367</c:v>
                </c:pt>
                <c:pt idx="25">
                  <c:v>0</c:v>
                </c:pt>
                <c:pt idx="26">
                  <c:v>0.13728098693829938</c:v>
                </c:pt>
                <c:pt idx="27">
                  <c:v>0</c:v>
                </c:pt>
                <c:pt idx="28">
                  <c:v>0</c:v>
                </c:pt>
                <c:pt idx="29">
                  <c:v>0.11589360170399174</c:v>
                </c:pt>
                <c:pt idx="30">
                  <c:v>0</c:v>
                </c:pt>
                <c:pt idx="31">
                  <c:v>9.9582808491839994E-2</c:v>
                </c:pt>
                <c:pt idx="32">
                  <c:v>0</c:v>
                </c:pt>
                <c:pt idx="33">
                  <c:v>0</c:v>
                </c:pt>
                <c:pt idx="34">
                  <c:v>8.2660818025825811E-2</c:v>
                </c:pt>
                <c:pt idx="35">
                  <c:v>0</c:v>
                </c:pt>
                <c:pt idx="36">
                  <c:v>0</c:v>
                </c:pt>
                <c:pt idx="37">
                  <c:v>6.7236410813764511E-2</c:v>
                </c:pt>
                <c:pt idx="38">
                  <c:v>0</c:v>
                </c:pt>
                <c:pt idx="39">
                  <c:v>5.9008032471274112E-2</c:v>
                </c:pt>
                <c:pt idx="40">
                  <c:v>0</c:v>
                </c:pt>
                <c:pt idx="41">
                  <c:v>0</c:v>
                </c:pt>
                <c:pt idx="42">
                  <c:v>5.4068274735141135E-2</c:v>
                </c:pt>
                <c:pt idx="43">
                  <c:v>0</c:v>
                </c:pt>
                <c:pt idx="44">
                  <c:v>4.8988635386009567E-2</c:v>
                </c:pt>
                <c:pt idx="45">
                  <c:v>0</c:v>
                </c:pt>
                <c:pt idx="46">
                  <c:v>0</c:v>
                </c:pt>
                <c:pt idx="47">
                  <c:v>4.6753653669732984E-2</c:v>
                </c:pt>
                <c:pt idx="48">
                  <c:v>0</c:v>
                </c:pt>
                <c:pt idx="49">
                  <c:v>4.4506510559999289E-2</c:v>
                </c:pt>
                <c:pt idx="50">
                  <c:v>0</c:v>
                </c:pt>
                <c:pt idx="51">
                  <c:v>0</c:v>
                </c:pt>
                <c:pt idx="52">
                  <c:v>4.1997862597880645E-2</c:v>
                </c:pt>
                <c:pt idx="53">
                  <c:v>0</c:v>
                </c:pt>
                <c:pt idx="54">
                  <c:v>0</c:v>
                </c:pt>
                <c:pt idx="55">
                  <c:v>3.8278974542882836E-2</c:v>
                </c:pt>
                <c:pt idx="56">
                  <c:v>0</c:v>
                </c:pt>
                <c:pt idx="57">
                  <c:v>3.5403911100181262E-2</c:v>
                </c:pt>
                <c:pt idx="58">
                  <c:v>0</c:v>
                </c:pt>
                <c:pt idx="59">
                  <c:v>0</c:v>
                </c:pt>
                <c:pt idx="60">
                  <c:v>3.3395470230100414E-2</c:v>
                </c:pt>
                <c:pt idx="61">
                  <c:v>0</c:v>
                </c:pt>
                <c:pt idx="62">
                  <c:v>3.0508237252228426E-2</c:v>
                </c:pt>
                <c:pt idx="63">
                  <c:v>0</c:v>
                </c:pt>
                <c:pt idx="64">
                  <c:v>0</c:v>
                </c:pt>
                <c:pt idx="65">
                  <c:v>2.7680302698478872E-2</c:v>
                </c:pt>
                <c:pt idx="66">
                  <c:v>0</c:v>
                </c:pt>
                <c:pt idx="67">
                  <c:v>2.6144706948259204E-2</c:v>
                </c:pt>
                <c:pt idx="68">
                  <c:v>0</c:v>
                </c:pt>
                <c:pt idx="69">
                  <c:v>0</c:v>
                </c:pt>
                <c:pt idx="70">
                  <c:v>2.3295487629755897E-2</c:v>
                </c:pt>
                <c:pt idx="71">
                  <c:v>0</c:v>
                </c:pt>
                <c:pt idx="72">
                  <c:v>0</c:v>
                </c:pt>
                <c:pt idx="73">
                  <c:v>2.0385449712948023E-2</c:v>
                </c:pt>
                <c:pt idx="74">
                  <c:v>0</c:v>
                </c:pt>
                <c:pt idx="75">
                  <c:v>1.7630496314062039E-2</c:v>
                </c:pt>
                <c:pt idx="76">
                  <c:v>0</c:v>
                </c:pt>
                <c:pt idx="77">
                  <c:v>0</c:v>
                </c:pt>
                <c:pt idx="78">
                  <c:v>1.3893366168878554E-2</c:v>
                </c:pt>
                <c:pt idx="79">
                  <c:v>0</c:v>
                </c:pt>
                <c:pt idx="80">
                  <c:v>1.1664467475534328E-2</c:v>
                </c:pt>
                <c:pt idx="81">
                  <c:v>0</c:v>
                </c:pt>
                <c:pt idx="82">
                  <c:v>0</c:v>
                </c:pt>
                <c:pt idx="83">
                  <c:v>8.7909218808110926E-3</c:v>
                </c:pt>
                <c:pt idx="84">
                  <c:v>0</c:v>
                </c:pt>
                <c:pt idx="85">
                  <c:v>0</c:v>
                </c:pt>
                <c:pt idx="86">
                  <c:v>6.2275371802183489E-3</c:v>
                </c:pt>
                <c:pt idx="87">
                  <c:v>0</c:v>
                </c:pt>
                <c:pt idx="88">
                  <c:v>4.6828157324982503E-3</c:v>
                </c:pt>
                <c:pt idx="89">
                  <c:v>0</c:v>
                </c:pt>
                <c:pt idx="90">
                  <c:v>0</c:v>
                </c:pt>
                <c:pt idx="91">
                  <c:v>3.758416073039133E-3</c:v>
                </c:pt>
                <c:pt idx="92">
                  <c:v>0</c:v>
                </c:pt>
                <c:pt idx="93">
                  <c:v>2.7473536910771839E-3</c:v>
                </c:pt>
                <c:pt idx="94">
                  <c:v>0</c:v>
                </c:pt>
                <c:pt idx="95">
                  <c:v>0</c:v>
                </c:pt>
                <c:pt idx="96">
                  <c:v>1.8214326943340284E-3</c:v>
                </c:pt>
                <c:pt idx="97">
                  <c:v>0</c:v>
                </c:pt>
                <c:pt idx="98">
                  <c:v>1.3029776966010707E-3</c:v>
                </c:pt>
                <c:pt idx="99">
                  <c:v>0</c:v>
                </c:pt>
                <c:pt idx="100">
                  <c:v>0</c:v>
                </c:pt>
                <c:pt idx="101">
                  <c:v>9.5024610986118294E-4</c:v>
                </c:pt>
                <c:pt idx="102">
                  <c:v>0</c:v>
                </c:pt>
                <c:pt idx="103">
                  <c:v>0</c:v>
                </c:pt>
                <c:pt idx="104">
                  <c:v>7.2066724150496753E-4</c:v>
                </c:pt>
                <c:pt idx="105">
                  <c:v>0</c:v>
                </c:pt>
                <c:pt idx="106">
                  <c:v>3.6793565476507956E-4</c:v>
                </c:pt>
                <c:pt idx="107">
                  <c:v>0</c:v>
                </c:pt>
                <c:pt idx="108">
                  <c:v>0</c:v>
                </c:pt>
                <c:pt idx="109">
                  <c:v>1.8548800156467911E-4</c:v>
                </c:pt>
                <c:pt idx="110">
                  <c:v>0</c:v>
                </c:pt>
                <c:pt idx="111">
                  <c:v>9.1223245049250657E-5</c:v>
                </c:pt>
                <c:pt idx="112">
                  <c:v>0</c:v>
                </c:pt>
                <c:pt idx="113">
                  <c:v>0</c:v>
                </c:pt>
                <c:pt idx="114">
                  <c:v>5.1692900804132247E-5</c:v>
                </c:pt>
                <c:pt idx="115">
                  <c:v>0</c:v>
                </c:pt>
                <c:pt idx="116">
                  <c:v>2.5846450402066124E-5</c:v>
                </c:pt>
                <c:pt idx="117">
                  <c:v>0</c:v>
                </c:pt>
                <c:pt idx="118">
                  <c:v>0</c:v>
                </c:pt>
                <c:pt idx="119">
                  <c:v>1.0642382376874495E-5</c:v>
                </c:pt>
                <c:pt idx="120">
                  <c:v>0</c:v>
                </c:pt>
                <c:pt idx="121">
                  <c:v>0</c:v>
                </c:pt>
                <c:pt idx="122">
                  <c:v>1.6724242207330968E-5</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(51.4 , 14.6)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51.405743066087062</c:v>
                </c:pt>
              </c:numCache>
            </c:numRef>
          </c:xVal>
          <c:yVal>
            <c:numRef>
              <c:f>info!$W$20:$W$21</c:f>
              <c:numCache>
                <c:formatCode>General</c:formatCode>
                <c:ptCount val="2"/>
                <c:pt idx="0">
                  <c:v>50</c:v>
                </c:pt>
                <c:pt idx="1">
                  <c:v>14.631004201614797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65.028199999999998</c:v>
                      </c:pt>
                    </c:numCache>
                  </c:numRef>
                </c:xVal>
                <c:yVal>
                  <c:numRef>
                    <c:extLst>
                      <c:ext uri="{02D57815-91ED-43cb-92C2-25804820EDAC}">
                        <c15:formulaRef>
                          <c15:sqref>info!$W$18</c15:sqref>
                        </c15:formulaRef>
                      </c:ext>
                    </c:extLst>
                    <c:numCache>
                      <c:formatCode>General</c:formatCode>
                      <c:ptCount val="1"/>
                      <c:pt idx="0">
                        <c:v>29.369399999999999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(51.4 , 14.6)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51.405743066087062</c:v>
                </c:pt>
              </c:numCache>
            </c:numRef>
          </c:xVal>
          <c:yVal>
            <c:numRef>
              <c:f>info!$W$20:$W$21</c:f>
              <c:numCache>
                <c:formatCode>General</c:formatCode>
                <c:ptCount val="2"/>
                <c:pt idx="0">
                  <c:v>50</c:v>
                </c:pt>
                <c:pt idx="1">
                  <c:v>14.631004201614797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27.069700000000001</c:v>
                </c:pt>
                <c:pt idx="1">
                  <c:v>34.530299999999997</c:v>
                </c:pt>
                <c:pt idx="2">
                  <c:v>20.0122</c:v>
                </c:pt>
                <c:pt idx="3">
                  <c:v>29.078299999999999</c:v>
                </c:pt>
                <c:pt idx="4">
                  <c:v>56.441800000000001</c:v>
                </c:pt>
                <c:pt idx="5">
                  <c:v>50.895499999999998</c:v>
                </c:pt>
                <c:pt idx="6">
                  <c:v>13.5084</c:v>
                </c:pt>
                <c:pt idx="7">
                  <c:v>55.439900000000002</c:v>
                </c:pt>
                <c:pt idx="8">
                  <c:v>19.3718</c:v>
                </c:pt>
                <c:pt idx="9">
                  <c:v>28.2439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0.46123009098460915</c:v>
                </c:pt>
                <c:pt idx="1">
                  <c:v>0.28960839334654609</c:v>
                </c:pt>
                <c:pt idx="2">
                  <c:v>0.24916151566884484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2.3105009282729037E-2</c:v>
                </c:pt>
                <c:pt idx="7">
                  <c:v>0</c:v>
                </c:pt>
                <c:pt idx="8">
                  <c:v>3.6569077915582268E-2</c:v>
                </c:pt>
                <c:pt idx="9">
                  <c:v>0</c:v>
                </c:pt>
                <c:pt idx="10">
                  <c:v>0</c:v>
                </c:pt>
                <c:pt idx="11">
                  <c:v>0.30346809538745861</c:v>
                </c:pt>
                <c:pt idx="12">
                  <c:v>0</c:v>
                </c:pt>
                <c:pt idx="13">
                  <c:v>0.10111901391137749</c:v>
                </c:pt>
                <c:pt idx="14">
                  <c:v>0</c:v>
                </c:pt>
                <c:pt idx="15">
                  <c:v>0</c:v>
                </c:pt>
                <c:pt idx="16">
                  <c:v>8.8984918744330746E-2</c:v>
                </c:pt>
                <c:pt idx="17">
                  <c:v>0</c:v>
                </c:pt>
                <c:pt idx="18">
                  <c:v>0</c:v>
                </c:pt>
                <c:pt idx="19">
                  <c:v>9.1090275599562578E-2</c:v>
                </c:pt>
                <c:pt idx="20">
                  <c:v>0</c:v>
                </c:pt>
                <c:pt idx="21">
                  <c:v>7.823560329261367E-2</c:v>
                </c:pt>
                <c:pt idx="22">
                  <c:v>0</c:v>
                </c:pt>
                <c:pt idx="23">
                  <c:v>0</c:v>
                </c:pt>
                <c:pt idx="24">
                  <c:v>0.14987792575512246</c:v>
                </c:pt>
                <c:pt idx="25">
                  <c:v>0</c:v>
                </c:pt>
                <c:pt idx="26">
                  <c:v>0.20933020235501565</c:v>
                </c:pt>
                <c:pt idx="27">
                  <c:v>0</c:v>
                </c:pt>
                <c:pt idx="28">
                  <c:v>0</c:v>
                </c:pt>
                <c:pt idx="29">
                  <c:v>0.20295860496265716</c:v>
                </c:pt>
                <c:pt idx="30">
                  <c:v>0</c:v>
                </c:pt>
                <c:pt idx="31">
                  <c:v>0.27365866684751738</c:v>
                </c:pt>
                <c:pt idx="32">
                  <c:v>0</c:v>
                </c:pt>
                <c:pt idx="33">
                  <c:v>0</c:v>
                </c:pt>
                <c:pt idx="34">
                  <c:v>0.52044319732793043</c:v>
                </c:pt>
                <c:pt idx="35">
                  <c:v>0</c:v>
                </c:pt>
                <c:pt idx="36">
                  <c:v>0</c:v>
                </c:pt>
                <c:pt idx="37">
                  <c:v>1</c:v>
                </c:pt>
                <c:pt idx="38">
                  <c:v>0</c:v>
                </c:pt>
                <c:pt idx="39">
                  <c:v>0.91500156831495161</c:v>
                </c:pt>
                <c:pt idx="40">
                  <c:v>0</c:v>
                </c:pt>
                <c:pt idx="41">
                  <c:v>0</c:v>
                </c:pt>
                <c:pt idx="42">
                  <c:v>0.65331338323683252</c:v>
                </c:pt>
                <c:pt idx="43">
                  <c:v>0</c:v>
                </c:pt>
                <c:pt idx="44">
                  <c:v>0.4512423597629725</c:v>
                </c:pt>
                <c:pt idx="45">
                  <c:v>0</c:v>
                </c:pt>
                <c:pt idx="46">
                  <c:v>0</c:v>
                </c:pt>
                <c:pt idx="47">
                  <c:v>0.39267427370062985</c:v>
                </c:pt>
                <c:pt idx="48">
                  <c:v>0</c:v>
                </c:pt>
                <c:pt idx="49">
                  <c:v>0.30391103839404549</c:v>
                </c:pt>
                <c:pt idx="50">
                  <c:v>0</c:v>
                </c:pt>
                <c:pt idx="51">
                  <c:v>0</c:v>
                </c:pt>
                <c:pt idx="52">
                  <c:v>0.32923254295911364</c:v>
                </c:pt>
                <c:pt idx="53">
                  <c:v>0</c:v>
                </c:pt>
                <c:pt idx="54">
                  <c:v>0</c:v>
                </c:pt>
                <c:pt idx="55">
                  <c:v>0.32740397249938541</c:v>
                </c:pt>
                <c:pt idx="56">
                  <c:v>0</c:v>
                </c:pt>
                <c:pt idx="57">
                  <c:v>0.29327277659565448</c:v>
                </c:pt>
                <c:pt idx="58">
                  <c:v>0</c:v>
                </c:pt>
                <c:pt idx="59">
                  <c:v>0</c:v>
                </c:pt>
                <c:pt idx="60">
                  <c:v>0.42281601546273773</c:v>
                </c:pt>
                <c:pt idx="61">
                  <c:v>0</c:v>
                </c:pt>
                <c:pt idx="62">
                  <c:v>0.43711057044277352</c:v>
                </c:pt>
                <c:pt idx="63">
                  <c:v>0</c:v>
                </c:pt>
                <c:pt idx="64">
                  <c:v>0</c:v>
                </c:pt>
                <c:pt idx="65">
                  <c:v>0.4133968006374989</c:v>
                </c:pt>
                <c:pt idx="66">
                  <c:v>0</c:v>
                </c:pt>
                <c:pt idx="67">
                  <c:v>0.48825459261959464</c:v>
                </c:pt>
                <c:pt idx="68">
                  <c:v>0</c:v>
                </c:pt>
                <c:pt idx="69">
                  <c:v>0</c:v>
                </c:pt>
                <c:pt idx="70">
                  <c:v>0.35056459338255869</c:v>
                </c:pt>
                <c:pt idx="71">
                  <c:v>0</c:v>
                </c:pt>
                <c:pt idx="72">
                  <c:v>0</c:v>
                </c:pt>
                <c:pt idx="73">
                  <c:v>0.37815761141394189</c:v>
                </c:pt>
                <c:pt idx="74">
                  <c:v>0</c:v>
                </c:pt>
                <c:pt idx="75">
                  <c:v>0.39694093810666242</c:v>
                </c:pt>
                <c:pt idx="76">
                  <c:v>0</c:v>
                </c:pt>
                <c:pt idx="77">
                  <c:v>0</c:v>
                </c:pt>
                <c:pt idx="78">
                  <c:v>0.29404845669331392</c:v>
                </c:pt>
                <c:pt idx="79">
                  <c:v>0</c:v>
                </c:pt>
                <c:pt idx="80">
                  <c:v>0.39079060028314444</c:v>
                </c:pt>
                <c:pt idx="81">
                  <c:v>0</c:v>
                </c:pt>
                <c:pt idx="82">
                  <c:v>0</c:v>
                </c:pt>
                <c:pt idx="83">
                  <c:v>0.39162180720746687</c:v>
                </c:pt>
                <c:pt idx="84">
                  <c:v>0</c:v>
                </c:pt>
                <c:pt idx="85">
                  <c:v>0</c:v>
                </c:pt>
                <c:pt idx="86">
                  <c:v>0.31759691762531689</c:v>
                </c:pt>
                <c:pt idx="87">
                  <c:v>0</c:v>
                </c:pt>
                <c:pt idx="88">
                  <c:v>0.38718898619035103</c:v>
                </c:pt>
                <c:pt idx="89">
                  <c:v>0</c:v>
                </c:pt>
                <c:pt idx="90">
                  <c:v>0</c:v>
                </c:pt>
                <c:pt idx="91">
                  <c:v>0.4120115970532634</c:v>
                </c:pt>
                <c:pt idx="92">
                  <c:v>0</c:v>
                </c:pt>
                <c:pt idx="93">
                  <c:v>0.29194309983808209</c:v>
                </c:pt>
                <c:pt idx="94">
                  <c:v>0</c:v>
                </c:pt>
                <c:pt idx="95">
                  <c:v>0</c:v>
                </c:pt>
                <c:pt idx="96">
                  <c:v>0.23869626401946409</c:v>
                </c:pt>
                <c:pt idx="97">
                  <c:v>0</c:v>
                </c:pt>
                <c:pt idx="98">
                  <c:v>0.2006866676274362</c:v>
                </c:pt>
                <c:pt idx="99">
                  <c:v>0</c:v>
                </c:pt>
                <c:pt idx="100">
                  <c:v>0</c:v>
                </c:pt>
                <c:pt idx="101">
                  <c:v>0.19791626045896524</c:v>
                </c:pt>
                <c:pt idx="102">
                  <c:v>0</c:v>
                </c:pt>
                <c:pt idx="103">
                  <c:v>0</c:v>
                </c:pt>
                <c:pt idx="104">
                  <c:v>0.15037639558837243</c:v>
                </c:pt>
                <c:pt idx="105">
                  <c:v>0</c:v>
                </c:pt>
                <c:pt idx="106">
                  <c:v>0.13436347606412288</c:v>
                </c:pt>
                <c:pt idx="107">
                  <c:v>0</c:v>
                </c:pt>
                <c:pt idx="108">
                  <c:v>0</c:v>
                </c:pt>
                <c:pt idx="109">
                  <c:v>0.11796314035994948</c:v>
                </c:pt>
                <c:pt idx="110">
                  <c:v>0</c:v>
                </c:pt>
                <c:pt idx="111">
                  <c:v>7.8789599952526684E-2</c:v>
                </c:pt>
                <c:pt idx="112">
                  <c:v>0</c:v>
                </c:pt>
                <c:pt idx="113">
                  <c:v>0</c:v>
                </c:pt>
                <c:pt idx="114">
                  <c:v>4.1278727715092278E-2</c:v>
                </c:pt>
                <c:pt idx="115">
                  <c:v>0</c:v>
                </c:pt>
                <c:pt idx="116">
                  <c:v>2.1775247751375456E-2</c:v>
                </c:pt>
                <c:pt idx="117">
                  <c:v>0</c:v>
                </c:pt>
                <c:pt idx="118">
                  <c:v>0</c:v>
                </c:pt>
                <c:pt idx="119">
                  <c:v>1.4572231500241607E-2</c:v>
                </c:pt>
                <c:pt idx="120">
                  <c:v>0</c:v>
                </c:pt>
                <c:pt idx="121">
                  <c:v>0</c:v>
                </c:pt>
                <c:pt idx="122">
                  <c:v>1.0582862132399692E-2</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2.5796700000000001</c:v>
                </c:pt>
                <c:pt idx="1">
                  <c:v>2.6514600000000002</c:v>
                </c:pt>
                <c:pt idx="2">
                  <c:v>2.7165099999999995</c:v>
                </c:pt>
                <c:pt idx="3">
                  <c:v>2.7723300000000002</c:v>
                </c:pt>
                <c:pt idx="4">
                  <c:v>2.7429999999999999</c:v>
                </c:pt>
                <c:pt idx="5">
                  <c:v>2.7060499999999998</c:v>
                </c:pt>
                <c:pt idx="6">
                  <c:v>2.6606000000000001</c:v>
                </c:pt>
                <c:pt idx="7">
                  <c:v>2.6150500000000001</c:v>
                </c:pt>
                <c:pt idx="8">
                  <c:v>2.57517</c:v>
                </c:pt>
                <c:pt idx="9">
                  <c:v>2.5264500000000001</c:v>
                </c:pt>
                <c:pt idx="10">
                  <c:v>2.4727099999999997</c:v>
                </c:pt>
                <c:pt idx="11">
                  <c:v>2.41248</c:v>
                </c:pt>
                <c:pt idx="12">
                  <c:v>2.34761</c:v>
                </c:pt>
                <c:pt idx="13">
                  <c:v>2.2850000000000001</c:v>
                </c:pt>
                <c:pt idx="14">
                  <c:v>2.2273800000000001</c:v>
                </c:pt>
                <c:pt idx="15">
                  <c:v>2.17578</c:v>
                </c:pt>
                <c:pt idx="16">
                  <c:v>2.1374199999999997</c:v>
                </c:pt>
                <c:pt idx="17">
                  <c:v>2.1028199999999999</c:v>
                </c:pt>
                <c:pt idx="18">
                  <c:v>2.0760000000000001</c:v>
                </c:pt>
                <c:pt idx="19">
                  <c:v>2.06541</c:v>
                </c:pt>
                <c:pt idx="20">
                  <c:v>2.05755</c:v>
                </c:pt>
                <c:pt idx="21">
                  <c:v>2.0491599999999996</c:v>
                </c:pt>
                <c:pt idx="22">
                  <c:v>2.04087</c:v>
                </c:pt>
                <c:pt idx="23">
                  <c:v>2.0358299999999998</c:v>
                </c:pt>
                <c:pt idx="24">
                  <c:v>2.0312299999999999</c:v>
                </c:pt>
                <c:pt idx="25">
                  <c:v>2.0247699999999997</c:v>
                </c:pt>
              </c:numCache>
              <c:extLst xmlns:c15="http://schemas.microsoft.com/office/drawing/2012/chart"/>
            </c:numRef>
          </c:xVal>
          <c:yVal>
            <c:numRef>
              <c:f>[0]!FT_PH</c:f>
              <c:numCache>
                <c:formatCode>0.00</c:formatCode>
                <c:ptCount val="26"/>
                <c:pt idx="0">
                  <c:v>45.189299999999996</c:v>
                </c:pt>
                <c:pt idx="1">
                  <c:v>44.409599999999998</c:v>
                </c:pt>
                <c:pt idx="2">
                  <c:v>43.870199999999997</c:v>
                </c:pt>
                <c:pt idx="3">
                  <c:v>43.560500000000005</c:v>
                </c:pt>
                <c:pt idx="4">
                  <c:v>44.279800000000002</c:v>
                </c:pt>
                <c:pt idx="5">
                  <c:v>45.293199999999999</c:v>
                </c:pt>
                <c:pt idx="6">
                  <c:v>46.4146</c:v>
                </c:pt>
                <c:pt idx="7">
                  <c:v>47.275300000000001</c:v>
                </c:pt>
                <c:pt idx="8">
                  <c:v>47.334900000000005</c:v>
                </c:pt>
                <c:pt idx="9">
                  <c:v>47.942700000000002</c:v>
                </c:pt>
                <c:pt idx="10">
                  <c:v>48.598999999999997</c:v>
                </c:pt>
                <c:pt idx="11">
                  <c:v>49.346699999999998</c:v>
                </c:pt>
                <c:pt idx="12">
                  <c:v>50.332500000000003</c:v>
                </c:pt>
                <c:pt idx="13">
                  <c:v>51.563000000000002</c:v>
                </c:pt>
                <c:pt idx="14">
                  <c:v>53.071199999999997</c:v>
                </c:pt>
                <c:pt idx="15">
                  <c:v>54.793700000000001</c:v>
                </c:pt>
                <c:pt idx="16">
                  <c:v>56.178100000000001</c:v>
                </c:pt>
                <c:pt idx="17">
                  <c:v>57.497500000000002</c:v>
                </c:pt>
                <c:pt idx="18">
                  <c:v>58.538900000000005</c:v>
                </c:pt>
                <c:pt idx="19">
                  <c:v>58.952300000000001</c:v>
                </c:pt>
                <c:pt idx="20">
                  <c:v>59.224299999999999</c:v>
                </c:pt>
                <c:pt idx="21">
                  <c:v>59.469099999999997</c:v>
                </c:pt>
                <c:pt idx="22">
                  <c:v>59.657800000000009</c:v>
                </c:pt>
                <c:pt idx="23">
                  <c:v>59.821500000000007</c:v>
                </c:pt>
                <c:pt idx="24">
                  <c:v>59.943300000000001</c:v>
                </c:pt>
                <c:pt idx="25">
                  <c:v>60.027900000000002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2.5796700000000001</c:v>
                </c:pt>
              </c:numCache>
            </c:numRef>
          </c:xVal>
          <c:yVal>
            <c:numRef>
              <c:f>[0]!FT_PH01</c:f>
              <c:numCache>
                <c:formatCode>0.00</c:formatCode>
                <c:ptCount val="1"/>
                <c:pt idx="0">
                  <c:v>45.189299999999996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2.5796700000000001</c:v>
                </c:pt>
              </c:numCache>
            </c:numRef>
          </c:xVal>
          <c:yVal>
            <c:numRef>
              <c:f>[0]!FT_PH02</c:f>
              <c:numCache>
                <c:formatCode>0.00</c:formatCode>
                <c:ptCount val="1"/>
                <c:pt idx="0">
                  <c:v>45.189299999999996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2.5796700000000001</c:v>
                </c:pt>
              </c:numCache>
            </c:numRef>
          </c:xVal>
          <c:yVal>
            <c:numRef>
              <c:f>[0]!FT_PH03</c:f>
              <c:numCache>
                <c:formatCode>0.00</c:formatCode>
                <c:ptCount val="1"/>
                <c:pt idx="0">
                  <c:v>45.189299999999996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2.5796700000000001</c:v>
                </c:pt>
              </c:numCache>
            </c:numRef>
          </c:xVal>
          <c:yVal>
            <c:numRef>
              <c:f>[0]!FT_PH04</c:f>
              <c:numCache>
                <c:formatCode>0.00</c:formatCode>
                <c:ptCount val="1"/>
                <c:pt idx="0">
                  <c:v>45.189299999999996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2.5796700000000001</c:v>
                </c:pt>
              </c:numCache>
            </c:numRef>
          </c:xVal>
          <c:yVal>
            <c:numRef>
              <c:f>[0]!FT_PH05</c:f>
              <c:numCache>
                <c:formatCode>0.00</c:formatCode>
                <c:ptCount val="1"/>
                <c:pt idx="0">
                  <c:v>45.189299999999996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2.5796700000000001</c:v>
                </c:pt>
              </c:numCache>
            </c:numRef>
          </c:xVal>
          <c:yVal>
            <c:numRef>
              <c:f>[0]!FT_PH06</c:f>
              <c:numCache>
                <c:formatCode>0.00</c:formatCode>
                <c:ptCount val="1"/>
                <c:pt idx="0">
                  <c:v>45.189299999999996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2.5796700000000001</c:v>
                </c:pt>
              </c:numCache>
            </c:numRef>
          </c:xVal>
          <c:yVal>
            <c:numRef>
              <c:f>[0]!FT_PH07</c:f>
              <c:numCache>
                <c:formatCode>0.00</c:formatCode>
                <c:ptCount val="1"/>
                <c:pt idx="0">
                  <c:v>45.189299999999996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2.5796700000000001</c:v>
                </c:pt>
              </c:numCache>
            </c:numRef>
          </c:xVal>
          <c:yVal>
            <c:numRef>
              <c:f>[0]!FT_PH08</c:f>
              <c:numCache>
                <c:formatCode>0.00</c:formatCode>
                <c:ptCount val="1"/>
                <c:pt idx="0">
                  <c:v>45.189299999999996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2.5796700000000001</c:v>
                </c:pt>
              </c:numCache>
            </c:numRef>
          </c:xVal>
          <c:yVal>
            <c:numRef>
              <c:f>[0]!FT_PH09</c:f>
              <c:numCache>
                <c:formatCode>0.00</c:formatCode>
                <c:ptCount val="1"/>
                <c:pt idx="0">
                  <c:v>45.189299999999996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2.5796700000000001</c:v>
                </c:pt>
              </c:numCache>
            </c:numRef>
          </c:xVal>
          <c:yVal>
            <c:numRef>
              <c:f>[0]!FT_PH10</c:f>
              <c:numCache>
                <c:formatCode>0.00</c:formatCode>
                <c:ptCount val="1"/>
                <c:pt idx="0">
                  <c:v>45.189299999999996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2.5796700000000001</c:v>
                </c:pt>
              </c:numCache>
            </c:numRef>
          </c:xVal>
          <c:yVal>
            <c:numRef>
              <c:f>[0]!FT_PH11</c:f>
              <c:numCache>
                <c:formatCode>0.00</c:formatCode>
                <c:ptCount val="1"/>
                <c:pt idx="0">
                  <c:v>45.189299999999996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2.5796700000000001</c:v>
                </c:pt>
              </c:numCache>
            </c:numRef>
          </c:xVal>
          <c:yVal>
            <c:numRef>
              <c:f>[0]!FT_PH12</c:f>
              <c:numCache>
                <c:formatCode>0.00</c:formatCode>
                <c:ptCount val="1"/>
                <c:pt idx="0">
                  <c:v>45.189299999999996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2.5796700000000001</c:v>
                </c:pt>
              </c:numCache>
            </c:numRef>
          </c:xVal>
          <c:yVal>
            <c:numRef>
              <c:f>[0]!FT_PH13</c:f>
              <c:numCache>
                <c:formatCode>0.00</c:formatCode>
                <c:ptCount val="1"/>
                <c:pt idx="0">
                  <c:v>45.189299999999996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2.5796700000000001</c:v>
                </c:pt>
              </c:numCache>
            </c:numRef>
          </c:xVal>
          <c:yVal>
            <c:numRef>
              <c:f>[0]!FT_PH14</c:f>
              <c:numCache>
                <c:formatCode>0.00</c:formatCode>
                <c:ptCount val="1"/>
                <c:pt idx="0">
                  <c:v>45.189299999999996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2.5796700000000001</c:v>
                </c:pt>
              </c:numCache>
            </c:numRef>
          </c:xVal>
          <c:yVal>
            <c:numRef>
              <c:f>[0]!FT_PH15</c:f>
              <c:numCache>
                <c:formatCode>0.00</c:formatCode>
                <c:ptCount val="1"/>
                <c:pt idx="0">
                  <c:v>45.189299999999996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2.5796700000000001</c:v>
                </c:pt>
              </c:numCache>
            </c:numRef>
          </c:xVal>
          <c:yVal>
            <c:numRef>
              <c:f>[0]!FT_PH16</c:f>
              <c:numCache>
                <c:formatCode>0.00</c:formatCode>
                <c:ptCount val="1"/>
                <c:pt idx="0">
                  <c:v>45.189299999999996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2.5796700000000001</c:v>
                </c:pt>
              </c:numCache>
            </c:numRef>
          </c:xVal>
          <c:yVal>
            <c:numRef>
              <c:f>[0]!FT_PH17</c:f>
              <c:numCache>
                <c:formatCode>0.00</c:formatCode>
                <c:ptCount val="1"/>
                <c:pt idx="0">
                  <c:v>45.189299999999996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2.5796700000000001</c:v>
                </c:pt>
              </c:numCache>
            </c:numRef>
          </c:xVal>
          <c:yVal>
            <c:numRef>
              <c:f>[0]!FT_PH18</c:f>
              <c:numCache>
                <c:formatCode>0.00</c:formatCode>
                <c:ptCount val="1"/>
                <c:pt idx="0">
                  <c:v>45.189299999999996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2.5796700000000001</c:v>
                </c:pt>
              </c:numCache>
            </c:numRef>
          </c:xVal>
          <c:yVal>
            <c:numRef>
              <c:f>[0]!FT_PH19</c:f>
              <c:numCache>
                <c:formatCode>0.00</c:formatCode>
                <c:ptCount val="1"/>
                <c:pt idx="0">
                  <c:v>45.189299999999996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2.5796700000000001</c:v>
                </c:pt>
              </c:numCache>
            </c:numRef>
          </c:xVal>
          <c:yVal>
            <c:numRef>
              <c:f>[0]!FT_PH20</c:f>
              <c:numCache>
                <c:formatCode>0.00</c:formatCode>
                <c:ptCount val="1"/>
                <c:pt idx="0">
                  <c:v>45.189299999999996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2.5796700000000001</c:v>
                </c:pt>
              </c:numCache>
            </c:numRef>
          </c:xVal>
          <c:yVal>
            <c:numRef>
              <c:f>[0]!FT_PH21</c:f>
              <c:numCache>
                <c:formatCode>0.00</c:formatCode>
                <c:ptCount val="1"/>
                <c:pt idx="0">
                  <c:v>45.189299999999996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2.5796700000000001</c:v>
                </c:pt>
              </c:numCache>
            </c:numRef>
          </c:xVal>
          <c:yVal>
            <c:numRef>
              <c:f>[0]!FT_PH22</c:f>
              <c:numCache>
                <c:formatCode>0.00</c:formatCode>
                <c:ptCount val="1"/>
                <c:pt idx="0">
                  <c:v>45.189299999999996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2.5796700000000001</c:v>
                </c:pt>
              </c:numCache>
            </c:numRef>
          </c:xVal>
          <c:yVal>
            <c:numRef>
              <c:f>[0]!FT_PH23</c:f>
              <c:numCache>
                <c:formatCode>0.00</c:formatCode>
                <c:ptCount val="1"/>
                <c:pt idx="0">
                  <c:v>45.189299999999996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2.5796700000000001</c:v>
                </c:pt>
              </c:numCache>
            </c:numRef>
          </c:xVal>
          <c:yVal>
            <c:numRef>
              <c:f>[0]!FT_PH24</c:f>
              <c:numCache>
                <c:formatCode>0.00</c:formatCode>
                <c:ptCount val="1"/>
                <c:pt idx="0">
                  <c:v>45.189299999999996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2.5796700000000001</c:v>
                </c:pt>
              </c:numCache>
            </c:numRef>
          </c:xVal>
          <c:yVal>
            <c:numRef>
              <c:f>info!$H$2</c:f>
              <c:numCache>
                <c:formatCode>0.00</c:formatCode>
                <c:ptCount val="1"/>
                <c:pt idx="0">
                  <c:v>45.189299999999996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0.17907203570965707</c:v>
                </c:pt>
                <c:pt idx="1">
                  <c:v>0.32657788402877558</c:v>
                </c:pt>
                <c:pt idx="2">
                  <c:v>0.49435008026156735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0.39410000000000001</c:v>
                </c:pt>
                <c:pt idx="2">
                  <c:v>0.77986500000000003</c:v>
                </c:pt>
                <c:pt idx="3">
                  <c:v>1.18302</c:v>
                </c:pt>
                <c:pt idx="4">
                  <c:v>1.60389</c:v>
                </c:pt>
                <c:pt idx="5">
                  <c:v>2.0245000000000002</c:v>
                </c:pt>
                <c:pt idx="6">
                  <c:v>2.41452</c:v>
                </c:pt>
                <c:pt idx="7">
                  <c:v>2.8159800000000001</c:v>
                </c:pt>
                <c:pt idx="8">
                  <c:v>3.2317200000000001</c:v>
                </c:pt>
                <c:pt idx="9">
                  <c:v>3.6235300000000001</c:v>
                </c:pt>
                <c:pt idx="10">
                  <c:v>4.0581300000000002</c:v>
                </c:pt>
                <c:pt idx="11">
                  <c:v>4.4418699999999998</c:v>
                </c:pt>
                <c:pt idx="12">
                  <c:v>4.8492600000000001</c:v>
                </c:pt>
                <c:pt idx="13">
                  <c:v>5.24681</c:v>
                </c:pt>
                <c:pt idx="14">
                  <c:v>5.6741700000000002</c:v>
                </c:pt>
                <c:pt idx="15">
                  <c:v>6.0635700000000003</c:v>
                </c:pt>
                <c:pt idx="16">
                  <c:v>6.49465</c:v>
                </c:pt>
                <c:pt idx="17">
                  <c:v>6.88096</c:v>
                </c:pt>
                <c:pt idx="18">
                  <c:v>7.2925800000000001</c:v>
                </c:pt>
                <c:pt idx="19">
                  <c:v>7.6955999999999998</c:v>
                </c:pt>
                <c:pt idx="20">
                  <c:v>8.0931099999999994</c:v>
                </c:pt>
                <c:pt idx="21">
                  <c:v>8.5040999999999993</c:v>
                </c:pt>
                <c:pt idx="22">
                  <c:v>8.9024199999999993</c:v>
                </c:pt>
                <c:pt idx="23">
                  <c:v>9.3177699999999994</c:v>
                </c:pt>
                <c:pt idx="24">
                  <c:v>9.7243200000000005</c:v>
                </c:pt>
                <c:pt idx="25">
                  <c:v>10.120200000000001</c:v>
                </c:pt>
              </c:numCache>
            </c:numRef>
          </c:xVal>
          <c:yVal>
            <c:numRef>
              <c:f>[0]!FT_E</c:f>
              <c:numCache>
                <c:formatCode>0.00</c:formatCode>
                <c:ptCount val="26"/>
                <c:pt idx="0">
                  <c:v>2.5796700000000001</c:v>
                </c:pt>
                <c:pt idx="1">
                  <c:v>2.6514600000000002</c:v>
                </c:pt>
                <c:pt idx="2">
                  <c:v>2.7165099999999995</c:v>
                </c:pt>
                <c:pt idx="3">
                  <c:v>2.7723300000000002</c:v>
                </c:pt>
                <c:pt idx="4">
                  <c:v>2.7429999999999999</c:v>
                </c:pt>
                <c:pt idx="5">
                  <c:v>2.7060499999999998</c:v>
                </c:pt>
                <c:pt idx="6">
                  <c:v>2.6606000000000001</c:v>
                </c:pt>
                <c:pt idx="7">
                  <c:v>2.6150500000000001</c:v>
                </c:pt>
                <c:pt idx="8">
                  <c:v>2.57517</c:v>
                </c:pt>
                <c:pt idx="9">
                  <c:v>2.5264500000000001</c:v>
                </c:pt>
                <c:pt idx="10">
                  <c:v>2.4727099999999997</c:v>
                </c:pt>
                <c:pt idx="11">
                  <c:v>2.41248</c:v>
                </c:pt>
                <c:pt idx="12">
                  <c:v>2.34761</c:v>
                </c:pt>
                <c:pt idx="13">
                  <c:v>2.2850000000000001</c:v>
                </c:pt>
                <c:pt idx="14">
                  <c:v>2.2273800000000001</c:v>
                </c:pt>
                <c:pt idx="15">
                  <c:v>2.17578</c:v>
                </c:pt>
                <c:pt idx="16">
                  <c:v>2.1374199999999997</c:v>
                </c:pt>
                <c:pt idx="17">
                  <c:v>2.1028199999999999</c:v>
                </c:pt>
                <c:pt idx="18">
                  <c:v>2.0760000000000001</c:v>
                </c:pt>
                <c:pt idx="19">
                  <c:v>2.06541</c:v>
                </c:pt>
                <c:pt idx="20">
                  <c:v>2.05755</c:v>
                </c:pt>
                <c:pt idx="21">
                  <c:v>2.0491599999999996</c:v>
                </c:pt>
                <c:pt idx="22">
                  <c:v>2.04087</c:v>
                </c:pt>
                <c:pt idx="23">
                  <c:v>2.0358299999999998</c:v>
                </c:pt>
                <c:pt idx="24">
                  <c:v>2.0312299999999999</c:v>
                </c:pt>
                <c:pt idx="25">
                  <c:v>2.0247699999999997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2.5796700000000001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2.5796700000000001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2.5796700000000001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2.5796700000000001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2.5796700000000001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2.5796700000000001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2.5796700000000001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2.5796700000000001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2.5796700000000001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2.5796700000000001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2.5796700000000001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2.5796700000000001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2.5796700000000001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2.5796700000000001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2.5796700000000001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2.5796700000000001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2.5796700000000001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2.5796700000000001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2.5796700000000001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2.5796700000000001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2.5796700000000001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2.5796700000000001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2.5796700000000001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2.5796700000000001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0.39410000000000001</c:v>
                </c:pt>
                <c:pt idx="2">
                  <c:v>0.77986500000000003</c:v>
                </c:pt>
                <c:pt idx="3">
                  <c:v>1.18302</c:v>
                </c:pt>
                <c:pt idx="4">
                  <c:v>1.60389</c:v>
                </c:pt>
                <c:pt idx="5">
                  <c:v>2.0245000000000002</c:v>
                </c:pt>
                <c:pt idx="6">
                  <c:v>2.41452</c:v>
                </c:pt>
                <c:pt idx="7">
                  <c:v>2.8159800000000001</c:v>
                </c:pt>
                <c:pt idx="8">
                  <c:v>3.2317200000000001</c:v>
                </c:pt>
                <c:pt idx="9">
                  <c:v>3.6235300000000001</c:v>
                </c:pt>
                <c:pt idx="10">
                  <c:v>4.0581300000000002</c:v>
                </c:pt>
                <c:pt idx="11">
                  <c:v>4.4418699999999998</c:v>
                </c:pt>
                <c:pt idx="12">
                  <c:v>4.8492600000000001</c:v>
                </c:pt>
                <c:pt idx="13">
                  <c:v>5.24681</c:v>
                </c:pt>
                <c:pt idx="14">
                  <c:v>5.6741700000000002</c:v>
                </c:pt>
                <c:pt idx="15">
                  <c:v>6.0635700000000003</c:v>
                </c:pt>
                <c:pt idx="16">
                  <c:v>6.49465</c:v>
                </c:pt>
                <c:pt idx="17">
                  <c:v>6.88096</c:v>
                </c:pt>
                <c:pt idx="18">
                  <c:v>7.2925800000000001</c:v>
                </c:pt>
                <c:pt idx="19">
                  <c:v>7.6955999999999998</c:v>
                </c:pt>
                <c:pt idx="20">
                  <c:v>8.0931099999999994</c:v>
                </c:pt>
                <c:pt idx="21">
                  <c:v>8.5040999999999993</c:v>
                </c:pt>
                <c:pt idx="22">
                  <c:v>8.9024199999999993</c:v>
                </c:pt>
                <c:pt idx="23">
                  <c:v>9.3177699999999994</c:v>
                </c:pt>
                <c:pt idx="24">
                  <c:v>9.7243200000000005</c:v>
                </c:pt>
                <c:pt idx="25">
                  <c:v>10.120200000000001</c:v>
                </c:pt>
              </c:numCache>
            </c:numRef>
          </c:xVal>
          <c:yVal>
            <c:numRef>
              <c:f>[0]!FT_PH</c:f>
              <c:numCache>
                <c:formatCode>0.00</c:formatCode>
                <c:ptCount val="26"/>
                <c:pt idx="0">
                  <c:v>45.189299999999996</c:v>
                </c:pt>
                <c:pt idx="1">
                  <c:v>44.409599999999998</c:v>
                </c:pt>
                <c:pt idx="2">
                  <c:v>43.870199999999997</c:v>
                </c:pt>
                <c:pt idx="3">
                  <c:v>43.560500000000005</c:v>
                </c:pt>
                <c:pt idx="4">
                  <c:v>44.279800000000002</c:v>
                </c:pt>
                <c:pt idx="5">
                  <c:v>45.293199999999999</c:v>
                </c:pt>
                <c:pt idx="6">
                  <c:v>46.4146</c:v>
                </c:pt>
                <c:pt idx="7">
                  <c:v>47.275300000000001</c:v>
                </c:pt>
                <c:pt idx="8">
                  <c:v>47.334900000000005</c:v>
                </c:pt>
                <c:pt idx="9">
                  <c:v>47.942700000000002</c:v>
                </c:pt>
                <c:pt idx="10">
                  <c:v>48.598999999999997</c:v>
                </c:pt>
                <c:pt idx="11">
                  <c:v>49.346699999999998</c:v>
                </c:pt>
                <c:pt idx="12">
                  <c:v>50.332500000000003</c:v>
                </c:pt>
                <c:pt idx="13">
                  <c:v>51.563000000000002</c:v>
                </c:pt>
                <c:pt idx="14">
                  <c:v>53.071199999999997</c:v>
                </c:pt>
                <c:pt idx="15">
                  <c:v>54.793700000000001</c:v>
                </c:pt>
                <c:pt idx="16">
                  <c:v>56.178100000000001</c:v>
                </c:pt>
                <c:pt idx="17">
                  <c:v>57.497500000000002</c:v>
                </c:pt>
                <c:pt idx="18">
                  <c:v>58.538900000000005</c:v>
                </c:pt>
                <c:pt idx="19">
                  <c:v>58.952300000000001</c:v>
                </c:pt>
                <c:pt idx="20">
                  <c:v>59.224299999999999</c:v>
                </c:pt>
                <c:pt idx="21">
                  <c:v>59.469099999999997</c:v>
                </c:pt>
                <c:pt idx="22">
                  <c:v>59.657800000000009</c:v>
                </c:pt>
                <c:pt idx="23">
                  <c:v>59.821500000000007</c:v>
                </c:pt>
                <c:pt idx="24">
                  <c:v>59.943300000000001</c:v>
                </c:pt>
                <c:pt idx="25">
                  <c:v>60.027900000000002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45.189299999999996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45.189299999999996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45.189299999999996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45.189299999999996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45.189299999999996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45.189299999999996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45.189299999999996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45.189299999999996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45.189299999999996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45.189299999999996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45.189299999999996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45.189299999999996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45.189299999999996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45.189299999999996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45.189299999999996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45.189299999999996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45.189299999999996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45.189299999999996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45.189299999999996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45.189299999999996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45.189299999999996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45.189299999999996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45.189299999999996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45.189299999999996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0.22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-6.1335529204523667</c:v>
                </c:pt>
                <c:pt idx="1">
                  <c:v>-6.1335529204523667</c:v>
                </c:pt>
                <c:pt idx="2">
                  <c:v>-7</c:v>
                </c:pt>
              </c:numCache>
            </c:numRef>
          </c:xVal>
          <c:yVal>
            <c:numRef>
              <c:f>'R'!$I$5:$I$7</c:f>
              <c:numCache>
                <c:formatCode>0.0_ </c:formatCode>
                <c:ptCount val="3"/>
                <c:pt idx="0">
                  <c:v>0</c:v>
                </c:pt>
                <c:pt idx="1">
                  <c:v>0.22333664420814825</c:v>
                </c:pt>
                <c:pt idx="2">
                  <c:v>0.22333664420814825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-6.1335529204523667</c:v>
                </c:pt>
                <c:pt idx="1">
                  <c:v>-6.1335529204523667</c:v>
                </c:pt>
                <c:pt idx="2">
                  <c:v>-7</c:v>
                </c:pt>
              </c:numCache>
            </c:numRef>
          </c:xVal>
          <c:yVal>
            <c:numRef>
              <c:f>'R'!$I$5:$I$7</c:f>
              <c:numCache>
                <c:formatCode>0.0_ </c:formatCode>
                <c:ptCount val="3"/>
                <c:pt idx="0">
                  <c:v>0</c:v>
                </c:pt>
                <c:pt idx="1">
                  <c:v>0.22333664420814825</c:v>
                </c:pt>
                <c:pt idx="2">
                  <c:v>0.22333664420814825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-6.1335529204523667</c:v>
                </c:pt>
              </c:numCache>
            </c:numRef>
          </c:xVal>
          <c:yVal>
            <c:numRef>
              <c:f>'R'!$I$4</c:f>
              <c:numCache>
                <c:formatCode>0.00_ </c:formatCode>
                <c:ptCount val="1"/>
                <c:pt idx="0">
                  <c:v>0.22333664420814825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57.73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57.730960000000003</c:v>
                </c:pt>
                <c:pt idx="1">
                  <c:v>57.730960000000003</c:v>
                </c:pt>
                <c:pt idx="2">
                  <c:v>0</c:v>
                </c:pt>
              </c:numCache>
            </c:numRef>
          </c:xVal>
          <c:yVal>
            <c:numRef>
              <c:f>'R2'!$I$5:$I$7</c:f>
              <c:numCache>
                <c:formatCode>0.0_ </c:formatCode>
                <c:ptCount val="3"/>
                <c:pt idx="0">
                  <c:v>0</c:v>
                </c:pt>
                <c:pt idx="1">
                  <c:v>63.617056627339807</c:v>
                </c:pt>
                <c:pt idx="2">
                  <c:v>63.617056627339807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1.14974</c:v>
                </c:pt>
                <c:pt idx="1">
                  <c:v>1.14974</c:v>
                </c:pt>
                <c:pt idx="2">
                  <c:v>0</c:v>
                </c:pt>
              </c:numCache>
            </c:numRef>
          </c:xVal>
          <c:yVal>
            <c:numRef>
              <c:f>'R3'!$I$6:$I$8</c:f>
              <c:numCache>
                <c:formatCode>0.0_ </c:formatCode>
                <c:ptCount val="3"/>
                <c:pt idx="0">
                  <c:v>0</c:v>
                </c:pt>
                <c:pt idx="1">
                  <c:v>14.631004201614797</c:v>
                </c:pt>
                <c:pt idx="2">
                  <c:v>14.631004201614797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1.14974</c:v>
                </c:pt>
                <c:pt idx="1">
                  <c:v>1.14974</c:v>
                </c:pt>
                <c:pt idx="2">
                  <c:v>0</c:v>
                </c:pt>
              </c:numCache>
            </c:numRef>
          </c:xVal>
          <c:yVal>
            <c:numRef>
              <c:f>'R4'!$I$5:$I$7</c:f>
              <c:numCache>
                <c:formatCode>0.0_ </c:formatCode>
                <c:ptCount val="3"/>
                <c:pt idx="0">
                  <c:v>0</c:v>
                </c:pt>
                <c:pt idx="1">
                  <c:v>3.7577000050183877E-2</c:v>
                </c:pt>
                <c:pt idx="2">
                  <c:v>3.7577000050183877E-2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0.52686766382200645</c:v>
                </c:pt>
                <c:pt idx="1">
                  <c:v>0.33082251268560681</c:v>
                </c:pt>
                <c:pt idx="2">
                  <c:v>0.14230982349238686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0.23786676220295114</c:v>
                </c:pt>
                <c:pt idx="1">
                  <c:v>0.43380320982650467</c:v>
                </c:pt>
                <c:pt idx="2">
                  <c:v>0.32833002797054428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(51.4 , 14.6)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51.405743066087062</c:v>
                      </c:pt>
                    </c:numCache>
                  </c:numRef>
                </c:xVal>
                <c:yVal>
                  <c:numRef>
                    <c:extLst>
                      <c:ext uri="{02D57815-91ED-43cb-92C2-25804820EDAC}">
                        <c15:formulaRef>
                          <c15:sqref>info!$W$20:$W$21</c15:sqref>
                        </c15:formulaRef>
                      </c:ext>
                    </c:extLst>
                    <c:numCache>
                      <c:formatCode>General</c:formatCode>
                      <c:ptCount val="2"/>
                      <c:pt idx="0">
                        <c:v>50</c:v>
                      </c:pt>
                      <c:pt idx="1">
                        <c:v>14.631004201614797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(65 , 70.6)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65.028199999999998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29.369399999999999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Du0e%5e1%5e1%5e\2025-06-11%2018_08_0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Du0e%5e1%5e1%5e\2025-06-11%2018_08_0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00E12777-D225-2EA9-4E9B-C0D2E2E98BA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B39AF02-5021-CB1A-15F0-999A5B03577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45819.755694444444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Du0e</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45819.755694444444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Du0e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 ca="1">Measurement!CJ8</f>
        <v>10</v>
      </c>
      <c r="L12" s="234">
        <f ca="1">IF(M12=2,Measurement!CK8,"")</f>
        <v>3</v>
      </c>
      <c r="M12" s="309">
        <f ca="1">Measurement!CL8</f>
        <v>2</v>
      </c>
      <c r="N12" s="229"/>
      <c r="O12" s="229"/>
      <c r="P12" s="229"/>
      <c r="Q12" s="229"/>
      <c r="R12" s="245">
        <f>info!V45</f>
        <v>3</v>
      </c>
    </row>
    <row r="13" spans="2:18" ht="12" customHeight="1">
      <c r="C13" s="899" t="str">
        <f>lang!B255</f>
        <v>종합 검사
결과 분류</v>
      </c>
      <c r="D13" s="902" t="str">
        <f ca="1">Measurement!CJ20</f>
        <v>힐링/치유 집단에 속하며,</v>
      </c>
      <c r="E13" s="903"/>
      <c r="F13" s="903"/>
      <c r="G13" s="832" t="str">
        <f ca="1">Measurement!CJ18</f>
        <v>무기력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 ca="1">Measurement!CJ19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( 47 , 41 )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-6.1335529204523667</v>
      </c>
      <c r="I20" s="862"/>
      <c r="J20" s="311" t="str">
        <f>lang!B174</f>
        <v>정보량</v>
      </c>
      <c r="K20" s="236">
        <f ca="1">info!N9</f>
        <v>52.022573076923067</v>
      </c>
      <c r="L20" s="312" t="str">
        <f>lang!B175</f>
        <v>에너지</v>
      </c>
      <c r="M20" s="863">
        <f ca="1">info!M9</f>
        <v>2.3495503846153842</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22.029199999999999</v>
      </c>
      <c r="N32" s="816"/>
      <c r="O32" s="817">
        <f>Measurement!N7</f>
        <v>27.069700000000001</v>
      </c>
      <c r="P32" s="818"/>
      <c r="Q32" s="819">
        <f>Measurement!T7</f>
        <v>37.807299999999998</v>
      </c>
      <c r="R32" s="820"/>
    </row>
    <row r="33" spans="3:18" ht="12.75" customHeight="1">
      <c r="C33" s="77"/>
      <c r="I33" s="502">
        <f>Measurement!L8</f>
        <v>4</v>
      </c>
      <c r="J33" s="139" t="str">
        <f>lang!B15</f>
        <v>스트레스</v>
      </c>
      <c r="K33" s="90" t="s">
        <v>226</v>
      </c>
      <c r="L33" s="504" t="str">
        <f>Measurement!Y8</f>
        <v>높음</v>
      </c>
      <c r="M33" s="792">
        <f>Measurement!R8</f>
        <v>30.729500000000002</v>
      </c>
      <c r="N33" s="793"/>
      <c r="O33" s="806">
        <f>Measurement!N8</f>
        <v>34.530299999999997</v>
      </c>
      <c r="P33" s="807"/>
      <c r="Q33" s="792">
        <f>Measurement!T8</f>
        <v>43.401899999999998</v>
      </c>
      <c r="R33" s="808"/>
    </row>
    <row r="34" spans="3:18" ht="12.75" customHeight="1">
      <c r="C34" s="77"/>
      <c r="I34" s="502">
        <f>Measurement!L9</f>
        <v>3</v>
      </c>
      <c r="J34" s="139" t="str">
        <f>lang!B16</f>
        <v>불안</v>
      </c>
      <c r="K34" s="90" t="s">
        <v>227</v>
      </c>
      <c r="L34" s="504" t="str">
        <f>Measurement!Y9</f>
        <v>보통</v>
      </c>
      <c r="M34" s="792">
        <f>Measurement!R9</f>
        <v>9.2157499999999999</v>
      </c>
      <c r="N34" s="793"/>
      <c r="O34" s="806">
        <f>Measurement!N9</f>
        <v>20.0122</v>
      </c>
      <c r="P34" s="807"/>
      <c r="Q34" s="792">
        <f>Measurement!T9</f>
        <v>50.004300000000001</v>
      </c>
      <c r="R34" s="808"/>
    </row>
    <row r="35" spans="3:18" ht="12.75" customHeight="1">
      <c r="C35" s="77"/>
      <c r="I35" s="502">
        <f>Measurement!L10</f>
        <v>3</v>
      </c>
      <c r="J35" s="139" t="str">
        <f>lang!B17</f>
        <v>의심</v>
      </c>
      <c r="K35" s="90" t="s">
        <v>225</v>
      </c>
      <c r="L35" s="504" t="str">
        <f>Measurement!Y10</f>
        <v>보통</v>
      </c>
      <c r="M35" s="792">
        <f>Measurement!R10</f>
        <v>27.247299999999999</v>
      </c>
      <c r="N35" s="793"/>
      <c r="O35" s="806">
        <f>Measurement!N10</f>
        <v>29.078299999999999</v>
      </c>
      <c r="P35" s="807"/>
      <c r="Q35" s="792">
        <f>Measurement!T10</f>
        <v>31.150300000000001</v>
      </c>
      <c r="R35" s="808"/>
    </row>
    <row r="36" spans="3:18" ht="12.75" customHeight="1">
      <c r="C36" s="77"/>
      <c r="I36" s="502">
        <f>Measurement!L11</f>
        <v>3</v>
      </c>
      <c r="J36" s="139" t="str">
        <f>lang!B18</f>
        <v>밸런스</v>
      </c>
      <c r="K36" s="90" t="s">
        <v>2171</v>
      </c>
      <c r="L36" s="504" t="str">
        <f>Measurement!Y11</f>
        <v>보통</v>
      </c>
      <c r="M36" s="792">
        <f>Measurement!R11</f>
        <v>45.416899999999998</v>
      </c>
      <c r="N36" s="793"/>
      <c r="O36" s="806">
        <f>Measurement!N11</f>
        <v>56.441800000000001</v>
      </c>
      <c r="P36" s="807"/>
      <c r="Q36" s="792">
        <f>Measurement!T11</f>
        <v>68.928200000000004</v>
      </c>
      <c r="R36" s="808"/>
    </row>
    <row r="37" spans="3:18" ht="12.75" customHeight="1">
      <c r="C37" s="77"/>
      <c r="I37" s="502">
        <f>Measurement!L12</f>
        <v>2</v>
      </c>
      <c r="J37" s="139" t="str">
        <f>lang!B19</f>
        <v>카리스마</v>
      </c>
      <c r="K37" s="90" t="s">
        <v>229</v>
      </c>
      <c r="L37" s="504" t="str">
        <f>Measurement!Y12</f>
        <v>낮음</v>
      </c>
      <c r="M37" s="792">
        <f>Measurement!R12</f>
        <v>47.723300000000002</v>
      </c>
      <c r="N37" s="793"/>
      <c r="O37" s="806">
        <f>Measurement!N12</f>
        <v>50.895499999999998</v>
      </c>
      <c r="P37" s="807"/>
      <c r="Q37" s="792">
        <f>Measurement!T12</f>
        <v>57.214100000000002</v>
      </c>
      <c r="R37" s="808"/>
    </row>
    <row r="38" spans="3:18" ht="12.75" customHeight="1">
      <c r="C38" s="77"/>
      <c r="I38" s="502">
        <f>Measurement!L13</f>
        <v>1</v>
      </c>
      <c r="J38" s="139" t="str">
        <f>lang!B20</f>
        <v>에너지</v>
      </c>
      <c r="K38" s="90" t="s">
        <v>2170</v>
      </c>
      <c r="L38" s="504" t="str">
        <f>Measurement!Y13</f>
        <v>매우 낮음</v>
      </c>
      <c r="M38" s="792">
        <f>Measurement!R13</f>
        <v>12.205399999999999</v>
      </c>
      <c r="N38" s="793"/>
      <c r="O38" s="806">
        <f>Measurement!N13</f>
        <v>13.5084</v>
      </c>
      <c r="P38" s="807"/>
      <c r="Q38" s="792">
        <f>Measurement!T13</f>
        <v>16.809200000000001</v>
      </c>
      <c r="R38" s="808"/>
    </row>
    <row r="39" spans="3:18" ht="12.75" customHeight="1">
      <c r="C39" s="77"/>
      <c r="I39" s="502">
        <f>Measurement!L14</f>
        <v>3</v>
      </c>
      <c r="J39" s="139" t="str">
        <f>lang!B21</f>
        <v>자기조절</v>
      </c>
      <c r="K39" s="90" t="s">
        <v>230</v>
      </c>
      <c r="L39" s="504" t="str">
        <f>Measurement!Y14</f>
        <v>보통</v>
      </c>
      <c r="M39" s="792">
        <f>Measurement!R14</f>
        <v>47.635800000000003</v>
      </c>
      <c r="N39" s="793"/>
      <c r="O39" s="806">
        <f>Measurement!N14</f>
        <v>55.439900000000002</v>
      </c>
      <c r="P39" s="807"/>
      <c r="Q39" s="792">
        <f>Measurement!T14</f>
        <v>62.484900000000003</v>
      </c>
      <c r="R39" s="808"/>
    </row>
    <row r="40" spans="3:18" ht="12.75" customHeight="1">
      <c r="C40" s="77"/>
      <c r="I40" s="502">
        <f>Measurement!L15</f>
        <v>3</v>
      </c>
      <c r="J40" s="139" t="str">
        <f>lang!B22</f>
        <v>억제</v>
      </c>
      <c r="K40" s="91" t="s">
        <v>248</v>
      </c>
      <c r="L40" s="504" t="str">
        <f>Measurement!Y15</f>
        <v>보통</v>
      </c>
      <c r="M40" s="792">
        <f>Measurement!R15</f>
        <v>16.397099999999998</v>
      </c>
      <c r="N40" s="793"/>
      <c r="O40" s="806">
        <f>Measurement!N15</f>
        <v>19.3718</v>
      </c>
      <c r="P40" s="807"/>
      <c r="Q40" s="792">
        <f>Measurement!T15</f>
        <v>25.5045</v>
      </c>
      <c r="R40" s="808"/>
    </row>
    <row r="41" spans="3:18" ht="12.75" customHeight="1" thickBot="1">
      <c r="C41" s="77"/>
      <c r="I41" s="502">
        <f>Measurement!L16</f>
        <v>3</v>
      </c>
      <c r="J41" s="140" t="str">
        <f>lang!B23</f>
        <v>신경성</v>
      </c>
      <c r="K41" s="92" t="s">
        <v>231</v>
      </c>
      <c r="L41" s="504" t="str">
        <f>Measurement!Y16</f>
        <v>보통</v>
      </c>
      <c r="M41" s="794">
        <f>Measurement!R16</f>
        <v>1.2140500000000001</v>
      </c>
      <c r="N41" s="795"/>
      <c r="O41" s="796">
        <f>Measurement!N16</f>
        <v>28.2439</v>
      </c>
      <c r="P41" s="797"/>
      <c r="Q41" s="794">
        <f>Measurement!T16</f>
        <v>35.2622</v>
      </c>
      <c r="R41" s="798"/>
    </row>
    <row r="42" spans="3:18" ht="29.25" customHeight="1" thickBot="1">
      <c r="C42" s="77"/>
      <c r="I42" s="84"/>
      <c r="J42" s="780" t="str">
        <f>lang!B215</f>
        <v>감정변이도</v>
      </c>
      <c r="K42" s="781"/>
      <c r="L42" s="319" t="str">
        <f>info!V43</f>
        <v>보통</v>
      </c>
      <c r="M42" s="782">
        <f>info!W43</f>
        <v>16.194900000000001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1.14974</v>
      </c>
      <c r="E44" s="249" t="s">
        <v>1072</v>
      </c>
      <c r="G44" s="289"/>
      <c r="H44" s="289"/>
      <c r="I44" s="290"/>
      <c r="J44" s="802">
        <f>info!$W$36</f>
        <v>57.730960000000003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45819.755694444444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Du0e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 ca="1">Measurement!CJ8</f>
        <v>10</v>
      </c>
      <c r="L12" s="234">
        <f ca="1">IF(M12=2,Measurement!CK8,"")</f>
        <v>3</v>
      </c>
      <c r="M12" s="309">
        <f ca="1">Measurement!CL8</f>
        <v>2</v>
      </c>
      <c r="N12" s="229"/>
      <c r="O12" s="229"/>
      <c r="P12" s="229"/>
      <c r="Q12" s="229"/>
      <c r="R12" s="245">
        <f>info!V45</f>
        <v>3</v>
      </c>
    </row>
    <row r="13" spans="2:18" ht="12" customHeight="1">
      <c r="C13" s="899" t="str">
        <f>lang!B255</f>
        <v>종합 검사
결과 분류</v>
      </c>
      <c r="D13" s="902" t="str">
        <f ca="1">Measurement!CJ14</f>
        <v>힐링/치유 집단에 속하며,</v>
      </c>
      <c r="E13" s="903"/>
      <c r="F13" s="903"/>
      <c r="G13" s="832" t="str">
        <f ca="1">Measurement!CJ11</f>
        <v>무기력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 ca="1">Measurement!CJ12</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( 47 , 41 )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-6.1335529204523667</v>
      </c>
      <c r="I20" s="862"/>
      <c r="J20" s="311" t="str">
        <f>lang!B174</f>
        <v>정보량</v>
      </c>
      <c r="K20" s="236">
        <f ca="1">info!N9</f>
        <v>52.022573076923067</v>
      </c>
      <c r="L20" s="312" t="str">
        <f>lang!B175</f>
        <v>에너지</v>
      </c>
      <c r="M20" s="863">
        <f ca="1">info!M9</f>
        <v>2.3495503846153842</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22.029199999999999</v>
      </c>
      <c r="N32" s="816"/>
      <c r="O32" s="817">
        <f>Measurement!N7</f>
        <v>27.069700000000001</v>
      </c>
      <c r="P32" s="818"/>
      <c r="Q32" s="819">
        <f>Measurement!T7</f>
        <v>37.807299999999998</v>
      </c>
      <c r="R32" s="820"/>
    </row>
    <row r="33" spans="3:18" ht="12.75" customHeight="1">
      <c r="C33" s="77"/>
      <c r="I33" s="502">
        <f>Measurement!L8</f>
        <v>4</v>
      </c>
      <c r="J33" s="139" t="str">
        <f>lang!B15</f>
        <v>스트레스</v>
      </c>
      <c r="K33" s="90" t="s">
        <v>226</v>
      </c>
      <c r="L33" s="504" t="str">
        <f>Measurement!Y8</f>
        <v>높음</v>
      </c>
      <c r="M33" s="792">
        <f>Measurement!R8</f>
        <v>30.729500000000002</v>
      </c>
      <c r="N33" s="793"/>
      <c r="O33" s="806">
        <f>Measurement!N8</f>
        <v>34.530299999999997</v>
      </c>
      <c r="P33" s="807"/>
      <c r="Q33" s="792">
        <f>Measurement!T8</f>
        <v>43.401899999999998</v>
      </c>
      <c r="R33" s="808"/>
    </row>
    <row r="34" spans="3:18" ht="12.75" customHeight="1">
      <c r="C34" s="77"/>
      <c r="I34" s="502">
        <f>Measurement!L9</f>
        <v>3</v>
      </c>
      <c r="J34" s="139" t="str">
        <f>lang!B16</f>
        <v>불안</v>
      </c>
      <c r="K34" s="90" t="s">
        <v>227</v>
      </c>
      <c r="L34" s="504" t="str">
        <f>Measurement!Y9</f>
        <v>보통</v>
      </c>
      <c r="M34" s="792">
        <f>Measurement!R9</f>
        <v>9.2157499999999999</v>
      </c>
      <c r="N34" s="793"/>
      <c r="O34" s="806">
        <f>Measurement!N9</f>
        <v>20.0122</v>
      </c>
      <c r="P34" s="807"/>
      <c r="Q34" s="792">
        <f>Measurement!T9</f>
        <v>50.004300000000001</v>
      </c>
      <c r="R34" s="808"/>
    </row>
    <row r="35" spans="3:18" ht="12.75" customHeight="1">
      <c r="C35" s="77"/>
      <c r="I35" s="502">
        <f>Measurement!L10</f>
        <v>3</v>
      </c>
      <c r="J35" s="139" t="str">
        <f>lang!B17</f>
        <v>의심</v>
      </c>
      <c r="K35" s="90" t="s">
        <v>225</v>
      </c>
      <c r="L35" s="504" t="str">
        <f>Measurement!Y10</f>
        <v>보통</v>
      </c>
      <c r="M35" s="792">
        <f>Measurement!R10</f>
        <v>27.247299999999999</v>
      </c>
      <c r="N35" s="793"/>
      <c r="O35" s="806">
        <f>Measurement!N10</f>
        <v>29.078299999999999</v>
      </c>
      <c r="P35" s="807"/>
      <c r="Q35" s="792">
        <f>Measurement!T10</f>
        <v>31.150300000000001</v>
      </c>
      <c r="R35" s="808"/>
    </row>
    <row r="36" spans="3:18" ht="12.75" customHeight="1">
      <c r="C36" s="77"/>
      <c r="I36" s="502">
        <f>Measurement!L11</f>
        <v>3</v>
      </c>
      <c r="J36" s="139" t="str">
        <f>lang!B18</f>
        <v>밸런스</v>
      </c>
      <c r="K36" s="90" t="s">
        <v>2171</v>
      </c>
      <c r="L36" s="504" t="str">
        <f>Measurement!Y11</f>
        <v>보통</v>
      </c>
      <c r="M36" s="792">
        <f>Measurement!R11</f>
        <v>45.416899999999998</v>
      </c>
      <c r="N36" s="793"/>
      <c r="O36" s="806">
        <f>Measurement!N11</f>
        <v>56.441800000000001</v>
      </c>
      <c r="P36" s="807"/>
      <c r="Q36" s="792">
        <f>Measurement!T11</f>
        <v>68.928200000000004</v>
      </c>
      <c r="R36" s="808"/>
    </row>
    <row r="37" spans="3:18" ht="12.75" customHeight="1">
      <c r="C37" s="77"/>
      <c r="I37" s="502">
        <f>Measurement!L12</f>
        <v>2</v>
      </c>
      <c r="J37" s="139" t="str">
        <f>lang!B19</f>
        <v>카리스마</v>
      </c>
      <c r="K37" s="90" t="s">
        <v>229</v>
      </c>
      <c r="L37" s="504" t="str">
        <f>Measurement!Y12</f>
        <v>낮음</v>
      </c>
      <c r="M37" s="792">
        <f>Measurement!R12</f>
        <v>47.723300000000002</v>
      </c>
      <c r="N37" s="793"/>
      <c r="O37" s="806">
        <f>Measurement!N12</f>
        <v>50.895499999999998</v>
      </c>
      <c r="P37" s="807"/>
      <c r="Q37" s="792">
        <f>Measurement!T12</f>
        <v>57.214100000000002</v>
      </c>
      <c r="R37" s="808"/>
    </row>
    <row r="38" spans="3:18" ht="12.75" customHeight="1">
      <c r="C38" s="77"/>
      <c r="I38" s="502">
        <f>Measurement!L13</f>
        <v>1</v>
      </c>
      <c r="J38" s="139" t="str">
        <f>lang!B20</f>
        <v>에너지</v>
      </c>
      <c r="K38" s="90" t="s">
        <v>2170</v>
      </c>
      <c r="L38" s="504" t="str">
        <f>Measurement!Y13</f>
        <v>매우 낮음</v>
      </c>
      <c r="M38" s="792">
        <f>Measurement!R13</f>
        <v>12.205399999999999</v>
      </c>
      <c r="N38" s="793"/>
      <c r="O38" s="806">
        <f>Measurement!N13</f>
        <v>13.5084</v>
      </c>
      <c r="P38" s="807"/>
      <c r="Q38" s="792">
        <f>Measurement!T13</f>
        <v>16.809200000000001</v>
      </c>
      <c r="R38" s="808"/>
    </row>
    <row r="39" spans="3:18" ht="12.75" customHeight="1">
      <c r="C39" s="77"/>
      <c r="I39" s="502">
        <f>Measurement!L14</f>
        <v>3</v>
      </c>
      <c r="J39" s="139" t="str">
        <f>lang!B21</f>
        <v>자기조절</v>
      </c>
      <c r="K39" s="90" t="s">
        <v>230</v>
      </c>
      <c r="L39" s="504" t="str">
        <f>Measurement!Y14</f>
        <v>보통</v>
      </c>
      <c r="M39" s="792">
        <f>Measurement!R14</f>
        <v>47.635800000000003</v>
      </c>
      <c r="N39" s="793"/>
      <c r="O39" s="806">
        <f>Measurement!N14</f>
        <v>55.439900000000002</v>
      </c>
      <c r="P39" s="807"/>
      <c r="Q39" s="792">
        <f>Measurement!T14</f>
        <v>62.484900000000003</v>
      </c>
      <c r="R39" s="808"/>
    </row>
    <row r="40" spans="3:18" ht="12.75" customHeight="1">
      <c r="C40" s="77"/>
      <c r="I40" s="502">
        <f>Measurement!L15</f>
        <v>3</v>
      </c>
      <c r="J40" s="139" t="str">
        <f>lang!B22</f>
        <v>억제</v>
      </c>
      <c r="K40" s="91" t="s">
        <v>248</v>
      </c>
      <c r="L40" s="504" t="str">
        <f>Measurement!Y15</f>
        <v>보통</v>
      </c>
      <c r="M40" s="792">
        <f>Measurement!R15</f>
        <v>16.397099999999998</v>
      </c>
      <c r="N40" s="793"/>
      <c r="O40" s="806">
        <f>Measurement!N15</f>
        <v>19.3718</v>
      </c>
      <c r="P40" s="807"/>
      <c r="Q40" s="792">
        <f>Measurement!T15</f>
        <v>25.5045</v>
      </c>
      <c r="R40" s="808"/>
    </row>
    <row r="41" spans="3:18" ht="12.75" customHeight="1" thickBot="1">
      <c r="C41" s="77"/>
      <c r="I41" s="502">
        <f>Measurement!L16</f>
        <v>3</v>
      </c>
      <c r="J41" s="140" t="str">
        <f>lang!B23</f>
        <v>신경성</v>
      </c>
      <c r="K41" s="92" t="s">
        <v>231</v>
      </c>
      <c r="L41" s="504" t="str">
        <f>Measurement!Y16</f>
        <v>보통</v>
      </c>
      <c r="M41" s="794">
        <f>Measurement!R16</f>
        <v>1.2140500000000001</v>
      </c>
      <c r="N41" s="795"/>
      <c r="O41" s="796">
        <f>Measurement!N16</f>
        <v>28.2439</v>
      </c>
      <c r="P41" s="797"/>
      <c r="Q41" s="794">
        <f>Measurement!T16</f>
        <v>35.2622</v>
      </c>
      <c r="R41" s="798"/>
    </row>
    <row r="42" spans="3:18" ht="29.25" customHeight="1" thickBot="1">
      <c r="C42" s="77"/>
      <c r="I42" s="84"/>
      <c r="J42" s="780" t="str">
        <f>lang!B215</f>
        <v>감정변이도</v>
      </c>
      <c r="K42" s="781"/>
      <c r="L42" s="319" t="str">
        <f>info!V43</f>
        <v>보통</v>
      </c>
      <c r="M42" s="782">
        <f>info!W43</f>
        <v>16.194900000000001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1.14974</v>
      </c>
      <c r="E44" s="249" t="s">
        <v>1195</v>
      </c>
      <c r="G44" s="289"/>
      <c r="H44" s="289"/>
      <c r="I44" s="290"/>
      <c r="J44" s="802">
        <f>info!$W$36</f>
        <v>57.730960000000003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45819.755694444444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Du0e</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(-0.03,-0.02)</v>
      </c>
      <c r="S18" s="966"/>
      <c r="T18" s="967"/>
    </row>
    <row r="19" spans="2:22" ht="16.5" customHeight="1">
      <c r="C19" s="136" t="str">
        <f>lang!B328</f>
        <v>최소값</v>
      </c>
      <c r="D19" s="105">
        <f ca="1">info!M7</f>
        <v>43.560500000000005</v>
      </c>
      <c r="E19" s="94" t="str">
        <f>lang!B330</f>
        <v>평균값</v>
      </c>
      <c r="F19" s="971">
        <f ca="1">info!N9</f>
        <v>52.022573076923067</v>
      </c>
      <c r="G19" s="972"/>
      <c r="H19" s="912" t="str">
        <f>lang!B329</f>
        <v>최대값</v>
      </c>
      <c r="I19" s="913"/>
      <c r="J19" s="105">
        <f ca="1">info!M8</f>
        <v>60.027900000000002</v>
      </c>
      <c r="K19" s="137" t="str">
        <f>lang!B328</f>
        <v>최소값</v>
      </c>
      <c r="L19" s="105">
        <f ca="1">info!M5</f>
        <v>2.0247699999999997</v>
      </c>
      <c r="M19" s="94" t="str">
        <f>lang!B330</f>
        <v>평균값</v>
      </c>
      <c r="N19" s="971">
        <f ca="1">info!M9</f>
        <v>2.3495503846153842</v>
      </c>
      <c r="O19" s="972">
        <f>info!T9</f>
        <v>1</v>
      </c>
      <c r="P19" s="94" t="str">
        <f>lang!B329</f>
        <v>최대값</v>
      </c>
      <c r="Q19" s="105">
        <f ca="1">info!M6</f>
        <v>2.7723300000000002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22.729245812287086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1.1497409999999999</v>
      </c>
      <c r="N47" s="986"/>
      <c r="O47" s="451"/>
      <c r="P47" s="491" t="s">
        <v>1101</v>
      </c>
      <c r="Q47" s="987">
        <f>hist!M3</f>
        <v>0.31804700000000002</v>
      </c>
      <c r="R47" s="986"/>
      <c r="S47" s="451"/>
      <c r="T47" s="452"/>
    </row>
    <row r="48" spans="3:20" ht="18" customHeight="1">
      <c r="C48" s="931"/>
      <c r="D48" s="910"/>
      <c r="E48" s="910"/>
      <c r="F48" s="355"/>
      <c r="G48" s="355"/>
      <c r="H48" s="356"/>
      <c r="I48" s="356"/>
      <c r="J48" s="951"/>
      <c r="K48" s="951"/>
      <c r="L48" s="936"/>
      <c r="M48" s="988">
        <f>hist!N2</f>
        <v>0.48763600000000001</v>
      </c>
      <c r="N48" s="989"/>
      <c r="O48" s="451"/>
      <c r="P48" s="491" t="s">
        <v>1102</v>
      </c>
      <c r="Q48" s="986">
        <f>hist!N3</f>
        <v>0.32623400000000002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0.237789</v>
      </c>
      <c r="N49" s="991"/>
      <c r="O49" s="453"/>
      <c r="P49" s="454" t="s">
        <v>1588</v>
      </c>
      <c r="Q49" s="992">
        <f>hist!O3</f>
        <v>0.106429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vision^Du0e^1^1^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10</v>
      </c>
      <c r="CH4" s="305">
        <f>IF(SUM($AY$7:$AY$13)&gt;0,HLOOKUP(2,$BV$6:$CE$8,3,FALSE),"")</f>
        <v>7</v>
      </c>
      <c r="CI4" t="s">
        <v>1570</v>
      </c>
      <c r="CJ4" s="426">
        <f>DK17*100</f>
        <v>51.405743066087062</v>
      </c>
      <c r="CK4" s="422">
        <f>info!W21</f>
        <v>14.631004201614797</v>
      </c>
      <c r="CL4">
        <f>100-M!B19*100</f>
        <v>29.369399999999999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45819.755694444444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16.194900000000001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5</v>
      </c>
      <c r="BX6" s="220">
        <f t="shared" si="0"/>
        <v>3</v>
      </c>
      <c r="BY6" s="220">
        <f t="shared" si="0"/>
        <v>7</v>
      </c>
      <c r="BZ6" s="220">
        <f t="shared" si="0"/>
        <v>9</v>
      </c>
      <c r="CA6" s="220">
        <f t="shared" si="0"/>
        <v>10</v>
      </c>
      <c r="CB6" s="220">
        <f t="shared" si="0"/>
        <v>2</v>
      </c>
      <c r="CC6" s="220">
        <f t="shared" si="0"/>
        <v>4</v>
      </c>
      <c r="CD6" s="220">
        <f t="shared" si="0"/>
        <v>8</v>
      </c>
      <c r="CE6" s="220">
        <f t="shared" si="0"/>
        <v>1</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27.069700000000001</v>
      </c>
      <c r="O7" s="48">
        <f>M!C5*1</f>
        <v>4.91195</v>
      </c>
      <c r="P7" s="48">
        <f>M!D5*1</f>
        <v>18.145600000000002</v>
      </c>
      <c r="Q7" s="48">
        <f>M!E5*1</f>
        <v>20</v>
      </c>
      <c r="R7" s="48">
        <f>IF(M!B5="","",M!F5*1)</f>
        <v>22.029199999999999</v>
      </c>
      <c r="S7" s="48">
        <f>M!G5*1</f>
        <v>50</v>
      </c>
      <c r="T7" s="48">
        <f>IF(M!B5="","",M!H5*1)</f>
        <v>37.807299999999998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-2.712800466924929</v>
      </c>
      <c r="AI7" s="98">
        <v>2.5024862326905418E-2</v>
      </c>
      <c r="AJ7" s="98">
        <v>-7.7313821231156016E-2</v>
      </c>
      <c r="AK7" s="98">
        <v>0.50012525104428274</v>
      </c>
      <c r="AL7" s="98">
        <v>-8.545985269705475E-2</v>
      </c>
      <c r="AM7" s="98">
        <f>$AH7*AI7+$AH8*AI8+$AH9*AI9+$AH10*AI10+$AH11*AI11+$AH12*AI12+$AH13*AI13+$AH14*AI14+$AH15*AI15+$AH16*AI16</f>
        <v>-2.8004335724351792</v>
      </c>
      <c r="AN7" s="98">
        <f t="shared" ref="AN7:AP7" si="2">$AH7*AJ7+$AH8*AJ8+$AH9*AJ9+$AH10*AJ10+$AH11*AJ11+$AH12*AJ12+$AH13*AJ13+$AH14*AJ14+$AH15*AJ15+$AH16*AJ16</f>
        <v>0.20255196974979722</v>
      </c>
      <c r="AO7" s="98">
        <f t="shared" si="2"/>
        <v>-2.8096710328264844</v>
      </c>
      <c r="AP7" s="98">
        <f t="shared" si="2"/>
        <v>-3.0984798226863526</v>
      </c>
      <c r="AQ7" s="335">
        <f>IF(SUM(N7:N16)&gt;0, 0.8608*AM7+0.333*AN7+0.104*AO7+1.129*AP7,"")</f>
        <v>-6.1335529204523667</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27.069700000000001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204.30698032839996</v>
      </c>
      <c r="BL7" s="56">
        <f t="shared" ref="BL7:BT7" si="3">BB7*$AY7+BB8*$AY8+BB9*$AY9+BB10*$AY10+BB11*$AY11+BB12*$AY12+BB13*$AY13+BB14</f>
        <v>208.41291755339984</v>
      </c>
      <c r="BM7" s="56">
        <f t="shared" si="3"/>
        <v>210.00574787539995</v>
      </c>
      <c r="BN7" s="56">
        <f t="shared" si="3"/>
        <v>203.36523627420007</v>
      </c>
      <c r="BO7" s="56">
        <f t="shared" si="3"/>
        <v>194.43255953660002</v>
      </c>
      <c r="BP7" s="56">
        <f t="shared" si="3"/>
        <v>190.17036767099995</v>
      </c>
      <c r="BQ7" s="56">
        <f t="shared" si="3"/>
        <v>211.56646595719997</v>
      </c>
      <c r="BR7" s="56">
        <f t="shared" si="3"/>
        <v>208.8160374414</v>
      </c>
      <c r="BS7" s="56">
        <f t="shared" si="3"/>
        <v>195.70047031260009</v>
      </c>
      <c r="BT7" s="56">
        <f t="shared" si="3"/>
        <v>211.70366209079992</v>
      </c>
      <c r="BU7" s="56">
        <f>EXP(BK7)+EXP(BL7)+EXP(BM7)+EXP(BN7)+EXP(BO7)+EXP(BP7)+EXP(BQ7)+EXP(BR7)+EXP(BS7)+EXP(BT7)</f>
        <v>1.8788762543112042E+92</v>
      </c>
      <c r="BV7" s="56">
        <f>IF(SUM($AY$7:$AY$13)&gt;0,EXP(BK7)/$BU$7,"")</f>
        <v>2.8542761801353969E-4</v>
      </c>
      <c r="BW7" s="56">
        <f t="shared" ref="BW7:CE7" si="4">IF(SUM($AY$7:$AY$13)&gt;0,EXP(BL7)/$BU$7,"")</f>
        <v>1.7325344264969345E-2</v>
      </c>
      <c r="BX7" s="56">
        <f t="shared" si="4"/>
        <v>8.5199940703997237E-2</v>
      </c>
      <c r="BY7" s="56">
        <f t="shared" si="4"/>
        <v>1.1130168702843554E-4</v>
      </c>
      <c r="BZ7" s="56">
        <f t="shared" si="4"/>
        <v>1.4692291331724192E-8</v>
      </c>
      <c r="CA7" s="56">
        <f t="shared" si="4"/>
        <v>2.0703469137745514E-10</v>
      </c>
      <c r="CB7" s="56">
        <f t="shared" si="4"/>
        <v>0.40574253965608253</v>
      </c>
      <c r="CC7" s="56">
        <f t="shared" si="4"/>
        <v>2.5927140190785496E-2</v>
      </c>
      <c r="CD7" s="56">
        <f t="shared" si="4"/>
        <v>5.2207895228360072E-8</v>
      </c>
      <c r="CE7" s="56">
        <f t="shared" si="4"/>
        <v>0.46540823877190207</v>
      </c>
      <c r="CF7" s="418" t="s">
        <v>1870</v>
      </c>
      <c r="CG7" s="221">
        <f>IF(SUM($AY$7:$AY$13)&gt;0,HLOOKUP(1,$BV$6:$CE$7,2,FALSE),"")</f>
        <v>0.46540823877190207</v>
      </c>
      <c r="CH7" s="221">
        <f>IF(SUM($AY$7:$AY$13)&gt;0,HLOOKUP(2,$BV$6:$CE$7,2,FALSE),"")</f>
        <v>0.40574253965608253</v>
      </c>
      <c r="CI7" s="425" t="str">
        <f>"( "&amp;IF(CG7&lt;&gt;"",ROUND(CG7*100,0),"")&amp;" , "&amp;IF(CH7&lt;&gt;"",ROUND(CH7*100,0),"")&amp;" )"</f>
        <v>( 47 , 41 )</v>
      </c>
      <c r="CJ7" s="420">
        <f>CG7</f>
        <v>0.46540823877190207</v>
      </c>
      <c r="CK7" s="420">
        <f>CH7</f>
        <v>0.40574253965608253</v>
      </c>
      <c r="CL7" s="425" t="str">
        <f>CI7</f>
        <v>( 47 , 41 )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27.069700000000001</v>
      </c>
      <c r="DJ7" s="265">
        <f>(DI7-$DB7)/$DC7</f>
        <v>-1.3557859010537616</v>
      </c>
      <c r="DK7" s="266">
        <f>IF(DH7=1,(DJ7-DF7)^2,0)</f>
        <v>6.26080312666884</v>
      </c>
      <c r="DL7" s="267">
        <f>IF(DH7=1,(DJ7-DG7)^2,0)</f>
        <v>11.47935102347315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34.530299999999997</v>
      </c>
      <c r="O8" s="48">
        <f>M!C6*1</f>
        <v>4.0216700000000003</v>
      </c>
      <c r="P8" s="48">
        <f>M!D6*1</f>
        <v>11.646800000000001</v>
      </c>
      <c r="Q8" s="48">
        <f>M!E6*1</f>
        <v>20</v>
      </c>
      <c r="R8" s="48">
        <f>IF(M!B6="","",M!F6*1)</f>
        <v>30.729500000000002</v>
      </c>
      <c r="S8" s="48">
        <f>M!G6*1</f>
        <v>40</v>
      </c>
      <c r="T8" s="48">
        <f>IF(M!B6="","",M!H6*1)</f>
        <v>43.401899999999998</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3.2867995979335642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34.530299999999997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 ca="1">IF(CG4&lt;&gt;10,CG4,IF(info!N9&lt;30,11,IF(info!M7=0,11,10)))</f>
        <v>10</v>
      </c>
      <c r="CH8" s="222">
        <f>IF(CH4&lt;&gt;10,CH4,IF(info!N9&lt;30,11,IF(info!M7=0,11,10)))</f>
        <v>7</v>
      </c>
      <c r="CI8" t="s">
        <v>1571</v>
      </c>
      <c r="CJ8" s="421">
        <f ca="1">IF(CG8=5,IF(CK5=1,5,4),IF(CG8=8,IF(N8&gt;=38,8,3),IF(CG8=7,IF(N11&lt;=51,7,3),IF(CG8=9,IF(AQ7&lt;-1.5,IF(info!Z2&lt;-10,IF(info!W36&lt;33.3,IF(DK17&lt;0.3,12,CG8),CG8),CG8),CG8),CG8))))</f>
        <v>10</v>
      </c>
      <c r="CK8" s="305">
        <f>IF(CH8=5,IF(CK5=1,5,4),IF(CH8=8,IF(N8&gt;=38,8,3),IF(CH8=7,IF(N11&lt;=51,7,3),IF(CH8=9,IF(AQ7&lt;-1.5,IF(info!Z2&lt;-10,IF(info!W36&lt;33.3,IF(DK17&lt;0.3,12,CH8),CH8),CH8),CH8),CH8))))</f>
        <v>3</v>
      </c>
      <c r="CL8">
        <f ca="1">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34.530299999999997</v>
      </c>
      <c r="DJ8" s="265">
        <f t="shared" ref="DJ8:DJ14" si="8">(DI8-$DB8)/$DC8</f>
        <v>0.32064223613844123</v>
      </c>
      <c r="DK8" s="273">
        <f t="shared" ref="DK8:DK14" si="9">IF(DH8=1,(DJ8-DF8)^2,0)</f>
        <v>3.251825351500464</v>
      </c>
      <c r="DL8" s="274">
        <f t="shared" ref="DL8:DL14" si="10">IF(DH8=1,(DJ8-DG8)^2,0)</f>
        <v>2.4148425688059728E-3</v>
      </c>
    </row>
    <row r="9" spans="2:119" s="5" customFormat="1" ht="24.75" customHeight="1" thickBot="1">
      <c r="B9" s="62" t="str">
        <f>CONCATENATE(M7,"
(20 ~ 50)")</f>
        <v>적극/공격성
(20 ~ 50)</v>
      </c>
      <c r="C9" s="63">
        <f>R7</f>
        <v>22.029199999999999</v>
      </c>
      <c r="D9" s="64">
        <f>N7</f>
        <v>27.069700000000001</v>
      </c>
      <c r="E9" s="65">
        <f>T7</f>
        <v>37.807299999999998</v>
      </c>
      <c r="F9" s="65">
        <f>P7</f>
        <v>18.145600000000002</v>
      </c>
      <c r="G9" s="66" t="str">
        <f>CONCATENATE(M8,"
(20 ~ 40)")</f>
        <v>스트레스
(20 ~ 40)</v>
      </c>
      <c r="H9" s="63">
        <f>R8</f>
        <v>30.729500000000002</v>
      </c>
      <c r="I9" s="67">
        <f>N8</f>
        <v>34.530299999999997</v>
      </c>
      <c r="J9" s="63">
        <f>T8</f>
        <v>43.401899999999998</v>
      </c>
      <c r="K9" s="68">
        <f>P8</f>
        <v>11.646800000000001</v>
      </c>
      <c r="L9" s="1">
        <f>IF(M!B7="","",IF(N9&lt;U9,1,IF(N9&lt;V9,2,IF(N9&lt;W9,3,IF(N9&lt;X9,4,5)))))</f>
        <v>3</v>
      </c>
      <c r="M9" s="162" t="str">
        <f>lang!B16</f>
        <v>불안</v>
      </c>
      <c r="N9" s="48">
        <f>IF(M!B7="","",M!B7*1)</f>
        <v>20.0122</v>
      </c>
      <c r="O9" s="48">
        <f>M!C7*1</f>
        <v>7.3878599999999999</v>
      </c>
      <c r="P9" s="48">
        <f>M!D7*1</f>
        <v>36.916800000000002</v>
      </c>
      <c r="Q9" s="48">
        <f>M!E7*1</f>
        <v>15</v>
      </c>
      <c r="R9" s="48">
        <f>IF(M!B7="","",M!F7*1)</f>
        <v>9.2157499999999999</v>
      </c>
      <c r="S9" s="48">
        <f>M!G7*1</f>
        <v>40</v>
      </c>
      <c r="T9" s="48">
        <f>IF(M!B7="","",M!H7*1)</f>
        <v>50.004300000000001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-0.40371402483416519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20.0122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 ca="1">IF(CG8&lt;&gt;"",HLOOKUP(CG8,$CN$8:$CY$12,2,FALSE),"")</f>
        <v>힐링/치유 집단</v>
      </c>
      <c r="CH9" s="228" t="str">
        <f>IF(CH8&lt;&gt;"",HLOOKUP(CH8,$CN$8:$CY$12,2,FALSE),"")</f>
        <v>정상/휴식 집단</v>
      </c>
      <c r="CI9" t="s">
        <v>1569</v>
      </c>
      <c r="CJ9" s="516" t="str">
        <f ca="1">IF(CJ8&lt;&gt;"",HLOOKUP(CJ8,$CN$8:$CY$12,2,FALSE),"")</f>
        <v>힐링/치유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20.0122</v>
      </c>
      <c r="DJ9" s="265">
        <f t="shared" si="8"/>
        <v>-1.1584421885688352</v>
      </c>
      <c r="DK9" s="273">
        <f t="shared" si="9"/>
        <v>3.5692682550579505E-3</v>
      </c>
      <c r="DL9" s="274">
        <f t="shared" si="10"/>
        <v>1.7337695656124572</v>
      </c>
      <c r="DM9"/>
      <c r="DN9"/>
    </row>
    <row r="10" spans="2:119" s="4" customFormat="1" ht="30.3" thickBot="1">
      <c r="B10" s="57" t="str">
        <f>CONCATENATE(M9,"
(15 ~ 40)")</f>
        <v>불안
(15 ~ 40)</v>
      </c>
      <c r="C10" s="17">
        <f>R9</f>
        <v>9.2157499999999999</v>
      </c>
      <c r="D10" s="41">
        <f>N9</f>
        <v>20.0122</v>
      </c>
      <c r="E10" s="43">
        <f>T9</f>
        <v>50.004300000000001</v>
      </c>
      <c r="F10" s="43">
        <f>P9</f>
        <v>36.916800000000002</v>
      </c>
      <c r="G10" s="59" t="str">
        <f>CONCATENATE(M10,"
(20 ~ 50)")</f>
        <v>의심
(20 ~ 50)</v>
      </c>
      <c r="H10" s="17">
        <f>R10</f>
        <v>27.247299999999999</v>
      </c>
      <c r="I10" s="42">
        <f>N10</f>
        <v>29.078299999999999</v>
      </c>
      <c r="J10" s="17">
        <f>T10</f>
        <v>31.150300000000001</v>
      </c>
      <c r="K10" s="18">
        <f>P10</f>
        <v>3.5447700000000002</v>
      </c>
      <c r="L10" s="1">
        <f>IF(M!B8="","",IF(N10&lt;U10,1,IF(N10&lt;V10,2,IF(N10&lt;W10,3,IF(N10&lt;X10,4,5)))))</f>
        <v>3</v>
      </c>
      <c r="M10" s="162" t="str">
        <f>lang!B17</f>
        <v>의심</v>
      </c>
      <c r="N10" s="48">
        <f>IF(M!B8="","",M!B8*1)</f>
        <v>29.078299999999999</v>
      </c>
      <c r="O10" s="48">
        <f>M!C8*1</f>
        <v>1.0307599999999999</v>
      </c>
      <c r="P10" s="48">
        <f>M!D8*1</f>
        <v>3.5447700000000002</v>
      </c>
      <c r="Q10" s="48">
        <f>M!E8*1</f>
        <v>20</v>
      </c>
      <c r="R10" s="48">
        <f>IF(M!B8="","",M!F8*1)</f>
        <v>27.247299999999999</v>
      </c>
      <c r="S10" s="48">
        <f>M!G8*1</f>
        <v>50</v>
      </c>
      <c r="T10" s="48">
        <f>IF(M!B8="","",M!H8*1)</f>
        <v>31.150300000000001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-0.32961275582331012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56.441800000000001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 ca="1">IF(CG8&lt;&gt;"",HLOOKUP(CG8,$CN$8:$CY$12,3,FALSE),"")</f>
        <v>무기력</v>
      </c>
      <c r="CH10" s="228" t="str">
        <f>IF(CH8&lt;&gt;"",HLOOKUP(CH8,$CN$8:$CY$12,3,FALSE),"")</f>
        <v>피곤</v>
      </c>
      <c r="CI10" s="363"/>
      <c r="CJ10" s="516" t="str">
        <f ca="1">IF(CJ8&lt;&gt;"",HLOOKUP(CJ8,$CN$8:$CY$12,3,FALSE),"")</f>
        <v>무기력</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56.441800000000001</v>
      </c>
      <c r="DJ10" s="265">
        <f t="shared" si="8"/>
        <v>-1.1141283859405595</v>
      </c>
      <c r="DK10" s="273">
        <f t="shared" si="9"/>
        <v>0.73385730702862162</v>
      </c>
      <c r="DL10" s="274">
        <f t="shared" si="10"/>
        <v>0.20259388391269517</v>
      </c>
      <c r="DM10"/>
      <c r="DN10"/>
    </row>
    <row r="11" spans="2:119" s="4" customFormat="1" ht="24.75" customHeight="1" thickBot="1">
      <c r="B11" s="57" t="str">
        <f>CONCATENATE(M11,"
(50 ~ 100)")</f>
        <v>밸런스
(50 ~ 100)</v>
      </c>
      <c r="C11" s="17">
        <f>R11</f>
        <v>45.416899999999998</v>
      </c>
      <c r="D11" s="42">
        <f>N11</f>
        <v>56.441800000000001</v>
      </c>
      <c r="E11" s="17">
        <f>T11</f>
        <v>68.928200000000004</v>
      </c>
      <c r="F11" s="17">
        <f>P11</f>
        <v>12.2949</v>
      </c>
      <c r="G11" s="59" t="str">
        <f>CONCATENATE(M12,"
(40 ~ 100)")</f>
        <v>카리스마
(40 ~ 100)</v>
      </c>
      <c r="H11" s="17">
        <f>R12</f>
        <v>47.723300000000002</v>
      </c>
      <c r="I11" s="42">
        <f>N12</f>
        <v>50.895499999999998</v>
      </c>
      <c r="J11" s="17">
        <f>T12</f>
        <v>57.214100000000002</v>
      </c>
      <c r="K11" s="18">
        <f>P12</f>
        <v>5.8719599999999996</v>
      </c>
      <c r="L11" s="1">
        <f>IF(M!B9="","",IF(N11&lt;U11,1,IF(N11&lt;V11,2,IF(N11&lt;W11,3,IF(N11&lt;X11,4,5)))))</f>
        <v>3</v>
      </c>
      <c r="M11" s="162" t="str">
        <f>lang!B18</f>
        <v>밸런스</v>
      </c>
      <c r="N11" s="48">
        <f>IF(M!B9="","",M!B9*1)</f>
        <v>56.441800000000001</v>
      </c>
      <c r="O11" s="48">
        <f>M!C9*1</f>
        <v>6.9394400000000003</v>
      </c>
      <c r="P11" s="48">
        <f>M!D9*1</f>
        <v>12.2949</v>
      </c>
      <c r="Q11" s="48">
        <f>M!E9*1</f>
        <v>50</v>
      </c>
      <c r="R11" s="48">
        <f>IF(M!B9="","",M!F9*1)</f>
        <v>45.416899999999998</v>
      </c>
      <c r="S11" s="48">
        <f>M!G9*1</f>
        <v>100</v>
      </c>
      <c r="T11" s="48">
        <f>IF(M!B9="","",M!H9*1)</f>
        <v>68.928200000000004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-2.9921639896079482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50.895499999999998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 ca="1">IF(CG8&lt;&gt;"",HLOOKUP(CG8,$CN$8:$CY$12,4,FALSE),"")</f>
        <v>무기력 상태입니다.</v>
      </c>
      <c r="CH11" s="228" t="str">
        <f>IF(CH8&lt;&gt;"",HLOOKUP(CH8,$CN$8:$CY$12,4,FALSE),"")</f>
        <v>피곤 상태입니다.</v>
      </c>
      <c r="CI11" s="364" t="s">
        <v>1566</v>
      </c>
      <c r="CJ11" s="516" t="str">
        <f ca="1">IF(CJ8&lt;&gt;"",HLOOKUP(CJ8,$CN$8:$CY$12,4,FALSE),"")</f>
        <v>무기력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50.895499999999998</v>
      </c>
      <c r="DJ11" s="265">
        <f t="shared" si="8"/>
        <v>-1.0847871457718918</v>
      </c>
      <c r="DK11" s="273">
        <f t="shared" si="9"/>
        <v>4.3898977662544771</v>
      </c>
      <c r="DL11" s="274">
        <f t="shared" si="10"/>
        <v>0.50185264192695977</v>
      </c>
      <c r="DM11"/>
      <c r="DN11"/>
    </row>
    <row r="12" spans="2:119" s="4" customFormat="1" ht="24.75" customHeight="1" thickBot="1">
      <c r="B12" s="57" t="str">
        <f>CONCATENATE(M13,"
(10 ~ 50)")</f>
        <v>에너지
(10 ~ 50)</v>
      </c>
      <c r="C12" s="17">
        <f>R13</f>
        <v>12.205399999999999</v>
      </c>
      <c r="D12" s="41">
        <f>N13</f>
        <v>13.5084</v>
      </c>
      <c r="E12" s="43">
        <f>T13</f>
        <v>16.809200000000001</v>
      </c>
      <c r="F12" s="43">
        <f>P13</f>
        <v>12.479799999999999</v>
      </c>
      <c r="G12" s="59" t="str">
        <f>CONCATENATE(M14,"
(50 ~ 100)")</f>
        <v>자기조절
(50 ~ 100)</v>
      </c>
      <c r="H12" s="17">
        <f>R14</f>
        <v>47.635800000000003</v>
      </c>
      <c r="I12" s="42">
        <f>N14</f>
        <v>55.439900000000002</v>
      </c>
      <c r="J12" s="17">
        <f>T14</f>
        <v>62.484900000000003</v>
      </c>
      <c r="K12" s="18">
        <f>P14</f>
        <v>7.87561</v>
      </c>
      <c r="L12" s="1">
        <f>IF(M!B10="","",IF(N12&lt;U12,1,IF(N12&lt;V12,2,IF(N12&lt;W12,3,IF(N12&lt;X12,4,5)))))</f>
        <v>2</v>
      </c>
      <c r="M12" s="162" t="str">
        <f>lang!B19</f>
        <v>카리스마</v>
      </c>
      <c r="N12" s="48">
        <f>IF(M!B10="","",M!B10*1)</f>
        <v>50.895499999999998</v>
      </c>
      <c r="O12" s="48">
        <f>M!C10*1</f>
        <v>2.9885700000000002</v>
      </c>
      <c r="P12" s="48">
        <f>M!D10*1</f>
        <v>5.8719599999999996</v>
      </c>
      <c r="Q12" s="48">
        <f>M!E10*1</f>
        <v>40</v>
      </c>
      <c r="R12" s="48">
        <f>IF(M!B10="","",M!F10*1)</f>
        <v>47.723300000000002</v>
      </c>
      <c r="S12" s="48">
        <f>M!G10*1</f>
        <v>100</v>
      </c>
      <c r="T12" s="48">
        <f>IF(M!B10="","",M!H10*1)</f>
        <v>57.214100000000002</v>
      </c>
      <c r="U12" s="125">
        <v>50</v>
      </c>
      <c r="V12" s="125">
        <v>55</v>
      </c>
      <c r="W12" s="125">
        <v>75</v>
      </c>
      <c r="X12" s="125">
        <v>80</v>
      </c>
      <c r="Y12" s="126" t="str">
        <f>IF(M!B10="","",IF(N12&lt;U12,lang!B$210,IF(N12&lt;V12,lang!B$211,IF(N12&lt;W12,lang!B$212,IF(N12&lt;X12,lang!B$213,lang!B$214)))))</f>
        <v>낮음</v>
      </c>
      <c r="Z12" s="99">
        <v>66.3</v>
      </c>
      <c r="AA12" s="99">
        <v>10.411752</v>
      </c>
      <c r="AB12" s="99">
        <v>69.58</v>
      </c>
      <c r="AC12" s="99">
        <v>6.3178639999999993</v>
      </c>
      <c r="AD12" s="99">
        <v>72.5</v>
      </c>
      <c r="AE12" s="99">
        <v>7.1832999999999991</v>
      </c>
      <c r="AF12" s="172">
        <f t="shared" si="6"/>
        <v>72.5</v>
      </c>
      <c r="AG12" s="172">
        <f t="shared" si="7"/>
        <v>7.1832999999999991</v>
      </c>
      <c r="AH12" s="97">
        <f t="shared" si="1"/>
        <v>-3.0076009633455381</v>
      </c>
      <c r="AI12" s="98">
        <v>0.31913434649697919</v>
      </c>
      <c r="AJ12" s="98">
        <v>3.8587997439955973E-2</v>
      </c>
      <c r="AK12" s="98">
        <v>1.0272327081707585E-2</v>
      </c>
      <c r="AL12" s="98">
        <v>1.9404033844491575E-2</v>
      </c>
      <c r="AM12" s="101"/>
      <c r="AN12" s="101"/>
      <c r="AO12" s="101"/>
      <c r="AP12" s="101"/>
      <c r="AX12" s="171"/>
      <c r="AY12" s="219">
        <f>N13</f>
        <v>13.5084</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 ca="1">IF(CG8&lt;&gt;"",HLOOKUP(CG8,$CN$8:$CY$12,5,FALSE),"")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 ca="1">IF(CJ8&lt;&gt;"",HLOOKUP(CJ8,$CN$8:$CY$12,5,FALSE),"")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13.5084</v>
      </c>
      <c r="DJ12" s="265">
        <f t="shared" si="8"/>
        <v>-0.69787784557211685</v>
      </c>
      <c r="DK12" s="273">
        <f t="shared" si="9"/>
        <v>6.6857152570312968</v>
      </c>
      <c r="DL12" s="274">
        <f t="shared" si="10"/>
        <v>1.08005902010888</v>
      </c>
      <c r="DM12"/>
      <c r="DN12"/>
    </row>
    <row r="13" spans="2:119" ht="24.75" customHeight="1" thickBot="1">
      <c r="B13" s="58" t="str">
        <f>CONCATENATE(M15,"
(10 ~ 25)")</f>
        <v>억제
(10 ~ 25)</v>
      </c>
      <c r="C13" s="44">
        <f>R15</f>
        <v>16.397099999999998</v>
      </c>
      <c r="D13" s="45">
        <f>N15</f>
        <v>19.3718</v>
      </c>
      <c r="E13" s="46">
        <f>T15</f>
        <v>25.5045</v>
      </c>
      <c r="F13" s="46">
        <f>P15</f>
        <v>14.5799</v>
      </c>
      <c r="G13" s="60" t="str">
        <f>CONCATENATE(M16,"
(10 ~ 50)")</f>
        <v>신경성
(10 ~ 50)</v>
      </c>
      <c r="H13" s="44">
        <f>R16</f>
        <v>1.2140500000000001</v>
      </c>
      <c r="I13" s="45">
        <f>N16</f>
        <v>28.2439</v>
      </c>
      <c r="J13" s="46">
        <f>T16</f>
        <v>35.2622</v>
      </c>
      <c r="K13" s="47">
        <f>P16</f>
        <v>38.592799999999997</v>
      </c>
      <c r="L13" s="1">
        <f>IF(M!B11="","",IF(N13&lt;U13,1,IF(N13&lt;V13,2,IF(N13&lt;W13,3,IF(N13&lt;X13,4,5)))))</f>
        <v>1</v>
      </c>
      <c r="M13" s="162" t="str">
        <f>lang!B20</f>
        <v>에너지</v>
      </c>
      <c r="N13" s="48">
        <f>IF(M!B11="","",M!B11*1)</f>
        <v>13.5084</v>
      </c>
      <c r="O13" s="48">
        <f>M!C11*1</f>
        <v>1.68581</v>
      </c>
      <c r="P13" s="48">
        <f>M!D11*1</f>
        <v>12.479799999999999</v>
      </c>
      <c r="Q13" s="48">
        <f>M!E11*1</f>
        <v>10</v>
      </c>
      <c r="R13" s="48">
        <f>IF(M!B11="","",M!F11*1)</f>
        <v>12.205399999999999</v>
      </c>
      <c r="S13" s="48">
        <f>M!G11*1</f>
        <v>50</v>
      </c>
      <c r="T13" s="48">
        <f>IF(M!B11="","",M!H11*1)</f>
        <v>16.809200000000001</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-2.9234767020323056</v>
      </c>
      <c r="AI13" s="98">
        <v>0.16093442074971984</v>
      </c>
      <c r="AJ13" s="98">
        <v>-1.0988594420247608E-2</v>
      </c>
      <c r="AK13" s="98">
        <v>0.37151940745754808</v>
      </c>
      <c r="AL13" s="98">
        <v>8.9062029657998948E-2</v>
      </c>
      <c r="AM13" s="96"/>
      <c r="AN13" s="96"/>
      <c r="AO13" s="96"/>
      <c r="AP13" s="96"/>
      <c r="AX13" s="171"/>
      <c r="AY13" s="219">
        <f>info!W36</f>
        <v>57.730960000000003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 ca="1">IF(CG8&lt;&gt;"",HLOOKUP(CG8,$CN$8:$CY$13,6,FALSE),"")</f>
        <v>전문상담 및 치유 또는 치료 성격의 전문 힐링프로그램이 필요. 일대일 또는 소그룹 운영  프로그램이 효과적일 수있음.</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 ca="1">IF(CJ8&lt;&gt;"",HLOOKUP(CJ8,$CN$8:$CY$13,6,FALSE),"")</f>
        <v>전문상담 및 치유 또는 치료 성격의 전문 힐링프로그램이 필요. 일대일 또는 소그룹 운영  프로그램이 효과적일 수있음.</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28.2439</v>
      </c>
      <c r="DJ13" s="265">
        <f t="shared" si="8"/>
        <v>-0.10229249388743053</v>
      </c>
      <c r="DK13" s="273">
        <f>IF(DH13=1,(DJ13-DF13)^2,0)</f>
        <v>0.29390128127559362</v>
      </c>
      <c r="DL13" s="274">
        <f t="shared" si="10"/>
        <v>7.0557553140128515E-2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55.439900000000002</v>
      </c>
      <c r="O14" s="48">
        <f>M!C12*1</f>
        <v>4.3662299999999998</v>
      </c>
      <c r="P14" s="48">
        <f>M!D12*1</f>
        <v>7.87561</v>
      </c>
      <c r="Q14" s="48">
        <f>M!E12*1</f>
        <v>50</v>
      </c>
      <c r="R14" s="48">
        <f>IF(M!B12="","",M!F12*1)</f>
        <v>47.635800000000003</v>
      </c>
      <c r="S14" s="48">
        <f>M!G12*1</f>
        <v>100</v>
      </c>
      <c r="T14" s="48">
        <f>IF(M!B12="","",M!H12*1)</f>
        <v>62.484900000000003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-3.4658469083669994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 ca="1">IF(CJ8&lt;&gt;"",IF(FH_info!M2="kr",LOWER(CJ9)&amp;"에 속하며,",IF(FH_info!M2="en","Belong to " &amp; LOWER(CJ9) &amp; ",",IF(FH_info!M2="cn"," " &amp; LOWER(CJ9)&amp;","))),"")</f>
        <v>힐링/치유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65.028199999999998</v>
      </c>
      <c r="DJ14" s="265">
        <f t="shared" si="8"/>
        <v>0.78980930044131425</v>
      </c>
      <c r="DK14" s="279">
        <f t="shared" si="9"/>
        <v>0.73868499592379389</v>
      </c>
      <c r="DL14" s="280">
        <f t="shared" si="10"/>
        <v>8.5812227181721212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19.3718</v>
      </c>
      <c r="O15" s="48">
        <f>M!C13*1</f>
        <v>2.8243900000000002</v>
      </c>
      <c r="P15" s="48">
        <f>M!D13*1</f>
        <v>14.5799</v>
      </c>
      <c r="Q15" s="48">
        <f>M!E13*1</f>
        <v>10</v>
      </c>
      <c r="R15" s="48">
        <f>IF(M!B13="","",M!F13*1)</f>
        <v>16.397099999999998</v>
      </c>
      <c r="S15" s="48">
        <f>M!G13*1</f>
        <v>25</v>
      </c>
      <c r="T15" s="48">
        <f>IF(M!B13="","",M!H13*1)</f>
        <v>25.5045</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-0.16537516241644307</v>
      </c>
      <c r="AI15" s="98">
        <v>-8.3250321124619289E-2</v>
      </c>
      <c r="AJ15" s="98">
        <v>-0.44690513063775733</v>
      </c>
      <c r="AK15" s="98">
        <v>0.12052818186953573</v>
      </c>
      <c r="AL15" s="98">
        <v>-2.4174505446491225E-2</v>
      </c>
      <c r="AM15" s="96"/>
      <c r="AN15" s="96"/>
      <c r="AO15" s="96"/>
      <c r="AP15" s="96"/>
      <c r="AX15" s="171"/>
      <c r="AY15" s="50">
        <f>SUM(AY7:AY14)</f>
        <v>260.18885999999998</v>
      </c>
      <c r="CE15" t="s">
        <v>1565</v>
      </c>
      <c r="CG15" s="421" t="str">
        <f ca="1">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22.358254353938147</v>
      </c>
      <c r="DL15" s="281">
        <f>IF(SUM($DI$7:$DI$14)&gt;0,SUM(DL7:DL14),0)</f>
        <v>23.651821248915198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28.2439</v>
      </c>
      <c r="O16" s="48">
        <f>M!C14*1</f>
        <v>10.9001</v>
      </c>
      <c r="P16" s="48">
        <f>M!D14*1</f>
        <v>38.592799999999997</v>
      </c>
      <c r="Q16" s="48">
        <f>M!E14*1</f>
        <v>10</v>
      </c>
      <c r="R16" s="48">
        <f>IF(M!B14="","",M!F14*1)</f>
        <v>1.2140500000000001</v>
      </c>
      <c r="S16" s="48">
        <f>M!G14*1</f>
        <v>50</v>
      </c>
      <c r="T16" s="48">
        <f>IF(M!B14="","",M!H14*1)</f>
        <v>35.2622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-0.92034599557292107</v>
      </c>
      <c r="AI16" s="98">
        <v>-5.8734085463662121E-2</v>
      </c>
      <c r="AJ16" s="98">
        <v>-0.42054967787539155</v>
      </c>
      <c r="AK16" s="98">
        <v>-5.3564224025119218E-3</v>
      </c>
      <c r="AL16" s="98">
        <v>5.9575396609615361E-2</v>
      </c>
      <c r="AM16" s="96"/>
      <c r="AN16" s="96"/>
      <c r="AO16" s="96"/>
      <c r="AP16" s="96"/>
      <c r="AX16" s="171"/>
      <c r="CE16" t="s">
        <v>1366</v>
      </c>
      <c r="CG16" t="str">
        <f ca="1">LOWER(CG9)&amp;"에 속하며,"</f>
        <v>힐링/치유 집단에 속하며,</v>
      </c>
      <c r="CI16" s="519" t="s">
        <v>1173</v>
      </c>
      <c r="CJ16" s="517" t="str">
        <f ca="1">IF(CJ8&lt;&gt;"",HLOOKUP(CJ8,$CN$8:$CY$17,8,FALSE),"")</f>
        <v>힐링/치유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4.4726210918334133E-2</v>
      </c>
      <c r="DL16" s="281">
        <f>IF(DL15&gt;0,1/DL15,0)</f>
        <v>4.2280042178395268E-2</v>
      </c>
      <c r="DM16" t="s">
        <v>1207</v>
      </c>
    </row>
    <row r="17" spans="2:117" ht="21" customHeight="1" thickBot="1">
      <c r="B17" s="20"/>
      <c r="C17"/>
      <c r="D17"/>
      <c r="E17"/>
      <c r="F17"/>
      <c r="G17" s="1071"/>
      <c r="H17" s="827"/>
      <c r="I17" s="827"/>
      <c r="J17" s="827"/>
      <c r="K17" s="828"/>
      <c r="M17" s="163" t="str">
        <f>lang!B7</f>
        <v>긍정감정</v>
      </c>
      <c r="N17" s="54">
        <f>SUM(N11:N14)/4</f>
        <v>44.071399999999997</v>
      </c>
      <c r="O17" s="16">
        <f>N17/(N17+N18+N19)</f>
        <v>0.46123009098460915</v>
      </c>
      <c r="P17" s="54">
        <f>SUM(P11:P14)/4</f>
        <v>9.6305674999999997</v>
      </c>
      <c r="Q17" s="16">
        <f>P17/(P17+P18+P19)</f>
        <v>0.17907203570965707</v>
      </c>
      <c r="R17" s="11"/>
      <c r="S17" s="11"/>
      <c r="T17" s="11"/>
      <c r="U17" s="11"/>
      <c r="V17" s="11"/>
      <c r="W17" s="11"/>
      <c r="X17" s="11"/>
      <c r="Y17" s="11"/>
      <c r="Z17" s="11"/>
      <c r="AA17" s="11"/>
      <c r="AB17" s="11"/>
      <c r="AC17" s="11"/>
      <c r="AD17" s="11"/>
      <c r="AE17" s="11"/>
      <c r="AX17" s="171"/>
      <c r="CE17" t="s">
        <v>1367</v>
      </c>
      <c r="CG17" t="str">
        <f ca="1">"Belong to " &amp; LOWER(CG9) &amp; ","</f>
        <v>Belong to 힐링/치유 집단,</v>
      </c>
      <c r="CI17" s="519" t="s">
        <v>1174</v>
      </c>
      <c r="CJ17" s="517" t="str">
        <f ca="1">IF(CJ8&lt;&gt;"",HLOOKUP(CJ8,$CN$8:$CY$17,9,FALSE),"")</f>
        <v>무기력 상태 (R2)</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0.51405743066087062</v>
      </c>
      <c r="DL17" s="283"/>
      <c r="DM17" s="284" t="s">
        <v>1208</v>
      </c>
    </row>
    <row r="18" spans="2:117" ht="21" customHeight="1">
      <c r="B18" s="20"/>
      <c r="C18"/>
      <c r="D18"/>
      <c r="E18"/>
      <c r="F18"/>
      <c r="G18" s="1071"/>
      <c r="H18" s="827"/>
      <c r="I18" s="827"/>
      <c r="J18" s="827"/>
      <c r="K18" s="828"/>
      <c r="M18" s="163" t="str">
        <f>lang!B8</f>
        <v>부정감정</v>
      </c>
      <c r="N18" s="14">
        <f>SUM(N7:N10)/4</f>
        <v>27.672625</v>
      </c>
      <c r="O18" s="16">
        <f>N18/(N17+N18+N19)</f>
        <v>0.28960839334654609</v>
      </c>
      <c r="P18" s="14">
        <f>SUM(P7:P10)/4</f>
        <v>17.563492500000002</v>
      </c>
      <c r="Q18" s="16">
        <f>P18/(P17+P18+P19)</f>
        <v>0.32657788402877558</v>
      </c>
      <c r="R18" s="11"/>
      <c r="S18" s="11"/>
      <c r="T18" s="11"/>
      <c r="U18" s="11"/>
      <c r="V18" s="11"/>
      <c r="W18" s="11"/>
      <c r="X18" s="11"/>
      <c r="Y18" s="11"/>
      <c r="AX18" s="171"/>
      <c r="CE18" s="49" t="s">
        <v>68</v>
      </c>
      <c r="CF18" s="49"/>
      <c r="CG18" t="str">
        <f ca="1">" " &amp; LOWER(CG9)&amp;","</f>
        <v xml:space="preserve"> 힐링/치유 집단,</v>
      </c>
      <c r="CI18" s="519" t="s">
        <v>1175</v>
      </c>
      <c r="CJ18" s="517" t="str">
        <f ca="1">IF(CJ8&lt;&gt;"",HLOOKUP(CJ8,$CN$8:$CY$17,10,FALSE),"")</f>
        <v>무기력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23.807850000000002</v>
      </c>
      <c r="O19" s="16">
        <f>N19/(N17+N18+N19)</f>
        <v>0.24916151566884484</v>
      </c>
      <c r="P19" s="14">
        <f>(P15+P16)/2</f>
        <v>26.586349999999999</v>
      </c>
      <c r="Q19" s="16">
        <f>P19/(P17+P18+P19)</f>
        <v>0.49435008026156735</v>
      </c>
      <c r="R19" s="11"/>
      <c r="S19" s="11"/>
      <c r="T19" s="11"/>
      <c r="U19" s="15"/>
      <c r="V19" s="15"/>
      <c r="W19" s="15"/>
      <c r="X19" s="15"/>
      <c r="Y19" s="15"/>
      <c r="CI19" s="519" t="s">
        <v>1176</v>
      </c>
      <c r="CJ19" s="517" t="str">
        <f ca="1">IF(CJ8&lt;&gt;"",HLOOKUP(CJ8,$CN$8:$CY$17,5,FALSE),"")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 ca="1">IF(CJ8&lt;&gt;"",IF(FH_info!M2="kr",LOWER(CJ16)&amp;"에 속하며,",IF(FH_info!M2="en","Belong to " &amp; LOWER(CJ16) &amp; ",",IF(FH_info!M2="cn"," " &amp; LOWER(CJ16)&amp;","))),"")</f>
        <v>힐링/치유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1.14974</v>
      </c>
      <c r="D24" s="34" t="str">
        <f>lang!B11</f>
        <v>편차</v>
      </c>
      <c r="E24" s="1077">
        <f>FH_info!G2*1</f>
        <v>0.48763600000000001</v>
      </c>
      <c r="F24" s="1078"/>
      <c r="G24" s="1075" t="str">
        <f>lang!B12</f>
        <v>정보(I)변화량</v>
      </c>
      <c r="H24" s="1076"/>
      <c r="I24" s="51" t="str">
        <f ca="1">CONCATENATE(info!N7,"-",info!N8)</f>
        <v>43.6-60</v>
      </c>
      <c r="J24" s="32" t="str">
        <f>lang!B13</f>
        <v>Kcal/분</v>
      </c>
      <c r="K24" s="31" t="str">
        <f ca="1">CONCATENATE(info!N5,"-",info!N6)</f>
        <v>2-2.8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65.028199999999998</v>
      </c>
      <c r="F27" s="1043"/>
      <c r="G27" s="1055" t="str">
        <f>lang!B33</f>
        <v>정서안정성</v>
      </c>
      <c r="H27" s="1056"/>
      <c r="I27" s="1057"/>
      <c r="J27" s="993">
        <f>M!B19*100</f>
        <v>70.630600000000001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2.5796700000000001</v>
      </c>
      <c r="H2" s="50">
        <f>IF(FT!B2&lt;&gt;"",FT!B2*100,"")</f>
        <v>45.189299999999996</v>
      </c>
      <c r="I2" s="50">
        <f>(IF(G2&lt;&gt;"",1,""))</f>
        <v>1</v>
      </c>
      <c r="J2" t="str">
        <f>IF(FT!B2&lt;&gt;"",FT!E2,"")</f>
        <v>0 [0.000000]</v>
      </c>
      <c r="K2">
        <f>IF(FT!B2&lt;&gt;"",IF(FT!C2&lt;&gt;"",FT!C2,F2/$M$3*$M$4),"")</f>
        <v>0</v>
      </c>
      <c r="L2" t="s">
        <v>52</v>
      </c>
      <c r="M2">
        <f>FH_info!E2</f>
        <v>4.9641500000000001</v>
      </c>
      <c r="N2" s="75">
        <f>LOOKUP(O3,A2:A1000,B2:B1000)</f>
        <v>0.72028843137254905</v>
      </c>
      <c r="O2" s="50">
        <f>MAX(C2:C1000)</f>
        <v>1</v>
      </c>
      <c r="P2" t="s">
        <v>60</v>
      </c>
      <c r="Q2" t="s">
        <v>61</v>
      </c>
      <c r="R2" t="s">
        <v>62</v>
      </c>
      <c r="S2" t="s">
        <v>63</v>
      </c>
      <c r="T2" t="s">
        <v>64</v>
      </c>
      <c r="V2" s="50">
        <f>FT!G2*10</f>
        <v>2.6514600000000002</v>
      </c>
      <c r="W2" s="50">
        <f>FT!H2*100</f>
        <v>44.409599999999998</v>
      </c>
      <c r="Y2">
        <f>IF(I2=1,H2/G2,"")</f>
        <v>17.517473165172287</v>
      </c>
      <c r="Z2">
        <f>AVERAGE(Y2:Y2000)</f>
        <v>22.729245812287086</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2.6514600000000002</v>
      </c>
      <c r="H3" s="50">
        <f>IF(FT!B3&lt;&gt;"",FT!B3*100,"")</f>
        <v>44.409599999999998</v>
      </c>
      <c r="I3" s="50">
        <f t="shared" ref="I3:I66" si="2">(IF(G3&lt;&gt;"",1,""))</f>
        <v>1</v>
      </c>
      <c r="J3" t="str">
        <f>IF(FT!B3&lt;&gt;"",FT!E3,"")</f>
        <v>0 [0.394100]</v>
      </c>
      <c r="K3">
        <f>IF(FT!B3&lt;&gt;"",IF(FT!C3&lt;&gt;"",FT!C3,F3/$M$3*$M$4),"")</f>
        <v>0.39410000000000001</v>
      </c>
      <c r="L3" t="s">
        <v>53</v>
      </c>
      <c r="M3">
        <f>SUM(I2:I2005)</f>
        <v>26</v>
      </c>
      <c r="O3" s="104">
        <f>MATCH(O2,C2:C1000,0)-1</f>
        <v>37</v>
      </c>
      <c r="P3">
        <v>0</v>
      </c>
      <c r="Q3">
        <v>0</v>
      </c>
      <c r="R3">
        <f>IF(S4=0,M3,0)</f>
        <v>26</v>
      </c>
      <c r="S3">
        <f t="array" ref="S3">MAX(IF(ft_nq=0,row_n))</f>
        <v>1998</v>
      </c>
      <c r="T3">
        <f>R3-Q3</f>
        <v>26</v>
      </c>
      <c r="V3" s="50">
        <f>FT!G3*10</f>
        <v>2.04087</v>
      </c>
      <c r="W3" s="50">
        <f>FT!H3*100</f>
        <v>59.657800000000009</v>
      </c>
      <c r="Y3" s="75">
        <f t="shared" ref="Y3:Y66" si="3">IF(I3=1,H3/G3,"")</f>
        <v>16.749111810097077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2.7165099999999995</v>
      </c>
      <c r="H4" s="50">
        <f>IF(FT!B4&lt;&gt;"",FT!B4*100,"")</f>
        <v>43.870199999999997</v>
      </c>
      <c r="I4" s="50">
        <f t="shared" si="2"/>
        <v>1</v>
      </c>
      <c r="J4" t="str">
        <f>IF(FT!B4&lt;&gt;"",FT!E4,"")</f>
        <v>0 [0.779865]</v>
      </c>
      <c r="K4">
        <f>IF(FT!B4&lt;&gt;"",IF(FT!C4&lt;&gt;"",FT!C4,F4/$M$3*$M$4),"")</f>
        <v>0.77986500000000003</v>
      </c>
      <c r="L4" t="s">
        <v>246</v>
      </c>
      <c r="M4">
        <f>IF(M2&lt;&gt;0,M3/M2*2,0)</f>
        <v>10.475106513703253</v>
      </c>
      <c r="P4">
        <f>P3+1</f>
        <v>1</v>
      </c>
      <c r="Q4">
        <v>0</v>
      </c>
      <c r="R4">
        <f>IF(S4=1998,0,S4)</f>
        <v>0</v>
      </c>
      <c r="S4">
        <f t="array" ref="S4">MAX(IF(ft_nq=P4,row_n))</f>
        <v>0</v>
      </c>
      <c r="T4">
        <f>R4-Q4+1</f>
        <v>1</v>
      </c>
      <c r="V4" t="s">
        <v>209</v>
      </c>
      <c r="W4" s="23">
        <f>IF(ISERROR(V3-V2)=FALSE,(V3-V2)*10,0)</f>
        <v>-6.1059000000000019</v>
      </c>
      <c r="Y4" s="75">
        <f t="shared" si="3"/>
        <v>16.14947119649845</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0.92868589582638061</v>
      </c>
      <c r="E5" s="50">
        <f t="shared" si="1"/>
        <v>2.2805721494798475E-5</v>
      </c>
      <c r="F5">
        <f t="shared" si="6"/>
        <v>3</v>
      </c>
      <c r="G5" s="50">
        <f>IF(FT!A5&lt;&gt;"",FT!A5*10,"")</f>
        <v>2.7723300000000002</v>
      </c>
      <c r="H5" s="50">
        <f>IF(FT!B5&lt;&gt;"",FT!B5*100,"")</f>
        <v>43.560500000000005</v>
      </c>
      <c r="I5" s="50">
        <f t="shared" si="2"/>
        <v>1</v>
      </c>
      <c r="J5" t="str">
        <f>IF(FT!B5&lt;&gt;"",FT!E5,"")</f>
        <v>0 [1.183018]</v>
      </c>
      <c r="K5">
        <f>IF(FT!B5&lt;&gt;"",IF(FT!C5&lt;&gt;"",FT!C5,F5/$M$3*$M$4),"")</f>
        <v>1.18302</v>
      </c>
      <c r="L5" t="s">
        <v>54</v>
      </c>
      <c r="M5" s="52">
        <f ca="1">IF(M3&gt;0,MIN(FT_E),0)</f>
        <v>2.0247699999999997</v>
      </c>
      <c r="N5" s="52">
        <f ca="1">IF(M3&gt;0,ROUND(M5,1),0)</f>
        <v>2</v>
      </c>
      <c r="P5">
        <f t="shared" ref="P5:P27" si="10">P4+1</f>
        <v>2</v>
      </c>
      <c r="Q5">
        <f>IF(S5=1998,0,R4)</f>
        <v>0</v>
      </c>
      <c r="R5">
        <f>IF(S5=1998,0,S5)</f>
        <v>0</v>
      </c>
      <c r="S5">
        <f t="array" ref="S5">MAX(IF(ft_nq=P5,row_n))</f>
        <v>0</v>
      </c>
      <c r="T5">
        <f t="shared" ref="T5:T27" si="11">R5-Q5+1</f>
        <v>1</v>
      </c>
      <c r="V5" t="s">
        <v>210</v>
      </c>
      <c r="W5" s="23">
        <f>IF(ISERROR(W3-W2)=FALSE,W3-W2,0)</f>
        <v>15.248200000000011</v>
      </c>
      <c r="Y5" s="75">
        <f t="shared" si="3"/>
        <v>15.712595542377711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2.7429999999999999</v>
      </c>
      <c r="H6" s="50">
        <f>IF(FT!B6&lt;&gt;"",FT!B6*100,"")</f>
        <v>44.279800000000002</v>
      </c>
      <c r="I6" s="50">
        <f t="shared" si="2"/>
        <v>1</v>
      </c>
      <c r="J6" t="str">
        <f>IF(FT!B6&lt;&gt;"",FT!E6,"")</f>
        <v>0 [1.603886]</v>
      </c>
      <c r="K6">
        <f>IF(FT!B6&lt;&gt;"",IF(FT!C6&lt;&gt;"",FT!C6,F6/$M$3*$M$4),"")</f>
        <v>1.60389</v>
      </c>
      <c r="L6" t="s">
        <v>55</v>
      </c>
      <c r="M6" s="52">
        <f ca="1">IF(M3&gt;0,MAX(FT_E),0)</f>
        <v>2.7723300000000002</v>
      </c>
      <c r="N6" s="52">
        <f ca="1">IF(M3&gt;0,ROUND(M6,1),0)</f>
        <v>2.8</v>
      </c>
      <c r="P6">
        <f t="shared" si="10"/>
        <v>3</v>
      </c>
      <c r="Q6">
        <f t="shared" ref="Q6:Q27" si="12">IF(S6=1998,0,R5)</f>
        <v>0</v>
      </c>
      <c r="R6">
        <f t="shared" ref="R6:R27" si="13">IF(S6=1998,0,S6)</f>
        <v>0</v>
      </c>
      <c r="S6">
        <f t="array" ref="S6">MAX(IF(ft_nq=P6,row_n))</f>
        <v>0</v>
      </c>
      <c r="T6">
        <f t="shared" si="11"/>
        <v>1</v>
      </c>
      <c r="V6" t="s">
        <v>211</v>
      </c>
      <c r="W6" s="23">
        <f>IF(W4&lt;&gt;0,W5/W4,0)</f>
        <v>-2.4972895068704051</v>
      </c>
      <c r="Y6" s="75">
        <f t="shared" si="3"/>
        <v>16.142836310608825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2.7060499999999998</v>
      </c>
      <c r="H7" s="50">
        <f>IF(FT!B7&lt;&gt;"",FT!B7*100,"")</f>
        <v>45.293199999999999</v>
      </c>
      <c r="I7" s="50">
        <f t="shared" si="2"/>
        <v>1</v>
      </c>
      <c r="J7" t="str">
        <f>IF(FT!B7&lt;&gt;"",FT!E7,"")</f>
        <v>0 [2.024495]</v>
      </c>
      <c r="K7">
        <f>IF(FT!B7&lt;&gt;"",IF(FT!C7&lt;&gt;"",FT!C7,F7/$M$3*$M$4),"")</f>
        <v>2.0245000000000002</v>
      </c>
      <c r="L7" t="s">
        <v>56</v>
      </c>
      <c r="M7" s="366">
        <f ca="1">IF(M3&gt;0,MIN(FT_PH),0)</f>
        <v>43.560500000000005</v>
      </c>
      <c r="N7" s="52">
        <f ca="1">IF(M3&gt;0,ROUND(M7,1),0)</f>
        <v>43.6</v>
      </c>
      <c r="P7">
        <f t="shared" si="10"/>
        <v>4</v>
      </c>
      <c r="Q7">
        <f t="shared" si="12"/>
        <v>0</v>
      </c>
      <c r="R7">
        <f t="shared" si="13"/>
        <v>0</v>
      </c>
      <c r="S7">
        <f t="array" ref="S7">MAX(IF(ft_nq=P7,row_n))</f>
        <v>0</v>
      </c>
      <c r="T7">
        <f t="shared" si="11"/>
        <v>1</v>
      </c>
      <c r="V7" t="s">
        <v>212</v>
      </c>
      <c r="W7" s="23">
        <f>DEGREES(ATAN(W6))</f>
        <v>-68.177149810659046</v>
      </c>
      <c r="X7" s="106">
        <v>0.05</v>
      </c>
      <c r="Y7" s="75">
        <f t="shared" si="3"/>
        <v>16.737754291310214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2.3105009282729037E-2</v>
      </c>
      <c r="D8" s="50">
        <f>IF(hist!$D$2&gt;0,hist!B8/hist!$D$2,0)</f>
        <v>1</v>
      </c>
      <c r="E8" s="50">
        <f t="shared" si="1"/>
        <v>4.2826437159589771E-5</v>
      </c>
      <c r="F8">
        <f t="shared" si="6"/>
        <v>6</v>
      </c>
      <c r="G8" s="50">
        <f>IF(FT!A8&lt;&gt;"",FT!A8*10,"")</f>
        <v>2.6606000000000001</v>
      </c>
      <c r="H8" s="50">
        <f>IF(FT!B8&lt;&gt;"",FT!B8*100,"")</f>
        <v>46.4146</v>
      </c>
      <c r="I8" s="50">
        <f t="shared" si="2"/>
        <v>1</v>
      </c>
      <c r="J8" t="str">
        <f>IF(FT!B8&lt;&gt;"",FT!E8,"")</f>
        <v>0 [2.414517]</v>
      </c>
      <c r="K8">
        <f>IF(FT!B8&lt;&gt;"",IF(FT!C8&lt;&gt;"",FT!C8,F8/$M$3*$M$4),"")</f>
        <v>2.41452</v>
      </c>
      <c r="L8" t="s">
        <v>57</v>
      </c>
      <c r="M8" s="52">
        <f ca="1">IF(M3&gt;0,MAX(FT_PH),0)</f>
        <v>60.027900000000002</v>
      </c>
      <c r="N8" s="52">
        <f ca="1">IF(M3&gt;0,ROUND(M8,1),0)</f>
        <v>60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17.445162745245433</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2.6150500000000001</v>
      </c>
      <c r="H9" s="50">
        <f>IF(FT!B9&lt;&gt;"",FT!B9*100,"")</f>
        <v>47.275300000000001</v>
      </c>
      <c r="I9" s="50">
        <f t="shared" si="2"/>
        <v>1</v>
      </c>
      <c r="J9" t="str">
        <f>IF(FT!B9&lt;&gt;"",FT!E9,"")</f>
        <v>0 [2.815985]</v>
      </c>
      <c r="K9">
        <f>IF(FT!B9&lt;&gt;"",IF(FT!C9&lt;&gt;"",FT!C9,F9/$M$3*$M$4),"")</f>
        <v>2.8159800000000001</v>
      </c>
      <c r="L9" t="s">
        <v>222</v>
      </c>
      <c r="M9" s="74">
        <f ca="1">IF(M3&gt;0,IF(COUNT(FT_E)&gt;0,AVERAGE(FT_E),0),0)</f>
        <v>2.3495503846153842</v>
      </c>
      <c r="N9" s="365">
        <f ca="1">IF(M3&gt;0,IF(COUNT(FT_PH)&gt;0,AVERAGE(FT_PH),0),0)</f>
        <v>52.022573076923067</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18.078162941435153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3.6569077915582268E-2</v>
      </c>
      <c r="D10" s="50">
        <f>IF(hist!$D$2&gt;0,hist!B10/hist!$D$2,0)</f>
        <v>0.89456372069281698</v>
      </c>
      <c r="E10" s="50">
        <f t="shared" si="1"/>
        <v>6.4493263858228473E-5</v>
      </c>
      <c r="F10">
        <f t="shared" si="6"/>
        <v>8</v>
      </c>
      <c r="G10" s="50">
        <f>IF(FT!A10&lt;&gt;"",FT!A10*10,"")</f>
        <v>2.57517</v>
      </c>
      <c r="H10" s="50">
        <f>IF(FT!B10&lt;&gt;"",FT!B10*100,"")</f>
        <v>47.334900000000005</v>
      </c>
      <c r="I10" s="50">
        <f t="shared" si="2"/>
        <v>1</v>
      </c>
      <c r="J10" t="str">
        <f>IF(FT!B10&lt;&gt;"",FT!E10,"")</f>
        <v>0 [3.231716]</v>
      </c>
      <c r="K10">
        <f>IF(FT!B10&lt;&gt;"",IF(FT!C10&lt;&gt;"",FT!C10,F10/$M$3*$M$4),"")</f>
        <v>3.2317200000000001</v>
      </c>
      <c r="M10">
        <v>2</v>
      </c>
      <c r="P10">
        <f t="shared" si="10"/>
        <v>7</v>
      </c>
      <c r="Q10">
        <f t="shared" si="12"/>
        <v>0</v>
      </c>
      <c r="R10">
        <f t="shared" si="13"/>
        <v>0</v>
      </c>
      <c r="S10">
        <f t="array" ref="S10">MAX(IF(ft_nq=P10,row_n))</f>
        <v>0</v>
      </c>
      <c r="T10">
        <f t="shared" si="11"/>
        <v>1</v>
      </c>
      <c r="V10" t="s">
        <v>215</v>
      </c>
      <c r="X10" s="71" t="s">
        <v>270</v>
      </c>
      <c r="Y10" s="75">
        <f t="shared" si="3"/>
        <v>18.381271916028847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2.5264500000000001</v>
      </c>
      <c r="H11" s="50">
        <f>IF(FT!B11&lt;&gt;"",FT!B11*100,"")</f>
        <v>47.942700000000002</v>
      </c>
      <c r="I11" s="50">
        <f t="shared" si="2"/>
        <v>1</v>
      </c>
      <c r="J11" t="str">
        <f>IF(FT!B11&lt;&gt;"",FT!E11,"")</f>
        <v>0 [3.623532]</v>
      </c>
      <c r="K11">
        <f>IF(FT!B11&lt;&gt;"",IF(FT!C11&lt;&gt;"",FT!C11,F11/$M$3*$M$4),"")</f>
        <v>3.6235300000000001</v>
      </c>
      <c r="M11" s="49">
        <f>MAX(IF(ft_nq=1,row_n))</f>
        <v>0</v>
      </c>
      <c r="P11">
        <f t="shared" si="10"/>
        <v>8</v>
      </c>
      <c r="Q11">
        <f t="shared" si="12"/>
        <v>0</v>
      </c>
      <c r="R11">
        <f t="shared" si="13"/>
        <v>0</v>
      </c>
      <c r="S11">
        <f t="array" ref="S11">MAX(IF(ft_nq=P11,row_n))</f>
        <v>0</v>
      </c>
      <c r="T11">
        <f t="shared" si="11"/>
        <v>1</v>
      </c>
      <c r="V11" s="71" t="s">
        <v>216</v>
      </c>
      <c r="W11" s="23">
        <f>FT!H11*100</f>
        <v>43.560500000000005</v>
      </c>
      <c r="Y11" s="75">
        <f t="shared" si="3"/>
        <v>18.976310633497597</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1</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2.4727099999999997</v>
      </c>
      <c r="H12" s="50">
        <f>IF(FT!B12&lt;&gt;"",FT!B12*100,"")</f>
        <v>48.598999999999997</v>
      </c>
      <c r="I12" s="50">
        <f t="shared" si="2"/>
        <v>1</v>
      </c>
      <c r="J12" t="str">
        <f>IF(FT!B12&lt;&gt;"",FT!E12,"")</f>
        <v>0 [4.058135]</v>
      </c>
      <c r="K12">
        <f>IF(FT!B12&lt;&gt;"",IF(FT!C12&lt;&gt;"",FT!C12,F12/$M$3*$M$4),"")</f>
        <v>4.0581300000000002</v>
      </c>
      <c r="M12">
        <f>M11+1</f>
        <v>1</v>
      </c>
      <c r="P12">
        <f t="shared" si="10"/>
        <v>9</v>
      </c>
      <c r="Q12">
        <f t="shared" si="12"/>
        <v>0</v>
      </c>
      <c r="R12">
        <f t="shared" si="13"/>
        <v>0</v>
      </c>
      <c r="S12">
        <f t="array" ref="S12">MAX(IF(ft_nq=P12,row_n))</f>
        <v>0</v>
      </c>
      <c r="T12">
        <f t="shared" si="11"/>
        <v>1</v>
      </c>
      <c r="V12" s="71" t="s">
        <v>217</v>
      </c>
      <c r="W12" s="23">
        <f>FT!H12*100</f>
        <v>60.027900000000002</v>
      </c>
      <c r="Y12" s="75">
        <f t="shared" si="3"/>
        <v>19.654144642922137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0.30346809538745861</v>
      </c>
      <c r="D13" s="50">
        <f>IF(hist!$D$2&gt;0,hist!B13/hist!$D$2,0)</f>
        <v>0.48199396308940556</v>
      </c>
      <c r="E13" s="50">
        <f t="shared" si="1"/>
        <v>1.1728796676095374E-4</v>
      </c>
      <c r="F13">
        <f t="shared" si="6"/>
        <v>11</v>
      </c>
      <c r="G13" s="50">
        <f>IF(FT!A13&lt;&gt;"",FT!A13*10,"")</f>
        <v>2.41248</v>
      </c>
      <c r="H13" s="50">
        <f>IF(FT!B13&lt;&gt;"",FT!B13*100,"")</f>
        <v>49.346699999999998</v>
      </c>
      <c r="I13" s="50">
        <f t="shared" si="2"/>
        <v>1</v>
      </c>
      <c r="J13" t="str">
        <f>IF(FT!B13&lt;&gt;"",FT!E13,"")</f>
        <v>0 [4.441869]</v>
      </c>
      <c r="K13">
        <f>IF(FT!B13&lt;&gt;"",IF(FT!C13&lt;&gt;"",FT!C13,F13/$M$3*$M$4),"")</f>
        <v>4.4418699999999998</v>
      </c>
      <c r="M13" s="49">
        <f t="array" ref="M13">MAX(IF(ft_nq=2,row_n))</f>
        <v>0</v>
      </c>
      <c r="P13">
        <f t="shared" si="10"/>
        <v>10</v>
      </c>
      <c r="Q13">
        <f t="shared" si="12"/>
        <v>0</v>
      </c>
      <c r="R13">
        <f t="shared" si="13"/>
        <v>0</v>
      </c>
      <c r="S13">
        <f t="array" ref="S13">MAX(IF(ft_nq=P13,row_n))</f>
        <v>0</v>
      </c>
      <c r="T13">
        <f t="shared" si="11"/>
        <v>1</v>
      </c>
      <c r="V13" s="71" t="s">
        <v>219</v>
      </c>
      <c r="W13">
        <f>FT!H13</f>
        <v>4</v>
      </c>
      <c r="Y13" s="75">
        <f t="shared" si="3"/>
        <v>20.454760246717072</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2.34761</v>
      </c>
      <c r="H14" s="50">
        <f>IF(FT!B14&lt;&gt;"",FT!B14*100,"")</f>
        <v>50.332500000000003</v>
      </c>
      <c r="I14" s="50">
        <f t="shared" si="2"/>
        <v>1</v>
      </c>
      <c r="J14" t="str">
        <f>IF(FT!B14&lt;&gt;"",FT!E14,"")</f>
        <v>0 [4.849259]</v>
      </c>
      <c r="K14">
        <f>IF(FT!B14&lt;&gt;"",IF(FT!C14&lt;&gt;"",FT!C14,F14/$M$3*$M$4),"")</f>
        <v>4.8492600000000001</v>
      </c>
      <c r="M14">
        <f>M13+1</f>
        <v>1</v>
      </c>
      <c r="P14">
        <f t="shared" si="10"/>
        <v>11</v>
      </c>
      <c r="Q14">
        <f t="shared" si="12"/>
        <v>0</v>
      </c>
      <c r="R14">
        <f t="shared" si="13"/>
        <v>0</v>
      </c>
      <c r="S14">
        <f t="array" ref="S14">MAX(IF(ft_nq=P14,row_n))</f>
        <v>0</v>
      </c>
      <c r="T14">
        <f t="shared" si="11"/>
        <v>1</v>
      </c>
      <c r="V14" s="71" t="s">
        <v>221</v>
      </c>
      <c r="W14">
        <f>FT!H14</f>
        <v>26</v>
      </c>
      <c r="Y14" s="75">
        <f t="shared" si="3"/>
        <v>21.439889930610281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0.10111901391137749</v>
      </c>
      <c r="D15" s="50">
        <f>IF(hist!$D$2&gt;0,hist!B15/hist!$D$2,0)</f>
        <v>0.33045319333854273</v>
      </c>
      <c r="E15" s="50">
        <f t="shared" si="1"/>
        <v>1.7288999006772056E-4</v>
      </c>
      <c r="F15">
        <f t="shared" si="6"/>
        <v>13</v>
      </c>
      <c r="G15" s="50">
        <f>IF(FT!A15&lt;&gt;"",FT!A15*10,"")</f>
        <v>2.2850000000000001</v>
      </c>
      <c r="H15" s="50">
        <f>IF(FT!B15&lt;&gt;"",FT!B15*100,"")</f>
        <v>51.563000000000002</v>
      </c>
      <c r="I15" s="50">
        <f t="shared" si="2"/>
        <v>1</v>
      </c>
      <c r="J15" t="str">
        <f>IF(FT!B15&lt;&gt;"",FT!E15,"")</f>
        <v>0 [5.246809]</v>
      </c>
      <c r="K15">
        <f>IF(FT!B15&lt;&gt;"",IF(FT!C15&lt;&gt;"",FT!C15,F15/$M$3*$M$4),"")</f>
        <v>5.24681</v>
      </c>
      <c r="M15">
        <f t="array" ref="M15">MAX(IF(ft_nq=3,row_n))</f>
        <v>0</v>
      </c>
      <c r="P15">
        <f t="shared" si="10"/>
        <v>12</v>
      </c>
      <c r="Q15">
        <f t="shared" si="12"/>
        <v>0</v>
      </c>
      <c r="R15">
        <f t="shared" si="13"/>
        <v>0</v>
      </c>
      <c r="S15">
        <f t="array" ref="S15">MAX(IF(ft_nq=P15,row_n))</f>
        <v>0</v>
      </c>
      <c r="T15">
        <f t="shared" si="11"/>
        <v>1</v>
      </c>
      <c r="V15" s="23">
        <f>FT!G15*10</f>
        <v>2.7723300000000002</v>
      </c>
      <c r="W15" s="23">
        <f>FT!H15*100</f>
        <v>43.560500000000005</v>
      </c>
      <c r="Y15" s="75">
        <f t="shared" si="3"/>
        <v>22.565864332603937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2.2273800000000001</v>
      </c>
      <c r="H16" s="50">
        <f>IF(FT!B16&lt;&gt;"",FT!B16*100,"")</f>
        <v>53.071199999999997</v>
      </c>
      <c r="I16" s="50">
        <f t="shared" si="2"/>
        <v>1</v>
      </c>
      <c r="J16" t="str">
        <f>IF(FT!B16&lt;&gt;"",FT!E16,"")</f>
        <v>0 [5.674171]</v>
      </c>
      <c r="K16">
        <f>IF(FT!B16&lt;&gt;"",IF(FT!C16&lt;&gt;"",FT!C16,F16/$M$3*$M$4),"")</f>
        <v>5.6741700000000002</v>
      </c>
      <c r="M16">
        <f>M15+1</f>
        <v>1</v>
      </c>
      <c r="P16">
        <f t="shared" si="10"/>
        <v>13</v>
      </c>
      <c r="Q16">
        <f t="shared" si="12"/>
        <v>0</v>
      </c>
      <c r="R16">
        <f t="shared" si="13"/>
        <v>0</v>
      </c>
      <c r="S16">
        <f t="array" ref="S16">MAX(IF(ft_nq=P16,row_n))</f>
        <v>0</v>
      </c>
      <c r="T16">
        <f t="shared" si="11"/>
        <v>1</v>
      </c>
      <c r="V16" s="23">
        <f>FT!G16*10</f>
        <v>2.0247699999999997</v>
      </c>
      <c r="W16" s="23">
        <f>FT!H16*100</f>
        <v>60.027900000000002</v>
      </c>
      <c r="Y16" s="75">
        <f t="shared" si="3"/>
        <v>23.826738140775259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2.17578</v>
      </c>
      <c r="H17" s="50">
        <f>IF(FT!B17&lt;&gt;"",FT!B17*100,"")</f>
        <v>54.793700000000001</v>
      </c>
      <c r="I17" s="50">
        <f t="shared" si="2"/>
        <v>1</v>
      </c>
      <c r="J17" t="str">
        <f>IF(FT!B17&lt;&gt;"",FT!E17,"")</f>
        <v>0 [6.063570]</v>
      </c>
      <c r="K17">
        <f>IF(FT!B17&lt;&gt;"",IF(FT!C17&lt;&gt;"",FT!C17,F17/$M$3*$M$4),"")</f>
        <v>6.0635700000000003</v>
      </c>
      <c r="M17">
        <f>M3+1</f>
        <v>27</v>
      </c>
      <c r="P17">
        <f t="shared" si="10"/>
        <v>14</v>
      </c>
      <c r="Q17">
        <f t="shared" si="12"/>
        <v>0</v>
      </c>
      <c r="R17">
        <f t="shared" si="13"/>
        <v>0</v>
      </c>
      <c r="S17">
        <f t="array" ref="S17">MAX(IF(ft_nq=P17,row_n))</f>
        <v>0</v>
      </c>
      <c r="T17">
        <f t="shared" si="11"/>
        <v>1</v>
      </c>
      <c r="V17" t="s">
        <v>1522</v>
      </c>
      <c r="Y17" s="75">
        <f t="shared" si="3"/>
        <v>25.183474432157663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8.8984918744330746E-2</v>
      </c>
      <c r="D18" s="50">
        <f>IF(hist!$D$2&gt;0,hist!B18/hist!$D$2,0)</f>
        <v>0.26411686172352694</v>
      </c>
      <c r="E18" s="50">
        <f t="shared" si="1"/>
        <v>3.0449482981888363E-4</v>
      </c>
      <c r="F18">
        <f t="shared" si="6"/>
        <v>16</v>
      </c>
      <c r="G18" s="50">
        <f>IF(FT!A18&lt;&gt;"",FT!A18*10,"")</f>
        <v>2.1374199999999997</v>
      </c>
      <c r="H18" s="50">
        <f>IF(FT!B18&lt;&gt;"",FT!B18*100,"")</f>
        <v>56.178100000000001</v>
      </c>
      <c r="I18" s="50">
        <f t="shared" si="2"/>
        <v>1</v>
      </c>
      <c r="J18" t="str">
        <f>IF(FT!B18&lt;&gt;"",FT!E18,"")</f>
        <v>0 [6.494650]</v>
      </c>
      <c r="K18">
        <f>IF(FT!B18&lt;&gt;"",IF(FT!C18&lt;&gt;"",FT!C18,F18/$M$3*$M$4),"")</f>
        <v>6.49465</v>
      </c>
      <c r="P18">
        <f t="shared" si="10"/>
        <v>15</v>
      </c>
      <c r="Q18">
        <f t="shared" si="12"/>
        <v>0</v>
      </c>
      <c r="R18">
        <f t="shared" si="13"/>
        <v>0</v>
      </c>
      <c r="S18">
        <f t="array" ref="S18">MAX(IF(ft_nq=P18,row_n))</f>
        <v>0</v>
      </c>
      <c r="T18">
        <f t="shared" si="11"/>
        <v>1</v>
      </c>
      <c r="V18" s="288">
        <f>M!B18*100</f>
        <v>65.028199999999998</v>
      </c>
      <c r="W18" s="287">
        <f>100-M!B19*100</f>
        <v>29.369399999999999</v>
      </c>
      <c r="X18" t="str">
        <f>"(" &amp; ROUND(V18,1) &amp; " , " &amp; ROUND(100-W18,1) &amp; ")"</f>
        <v>(65 , 70.6)</v>
      </c>
      <c r="Y18" s="75">
        <f t="shared" si="3"/>
        <v>26.283135743092142</v>
      </c>
      <c r="Z18">
        <f>M!B18*100</f>
        <v>65.028199999999998</v>
      </c>
      <c r="AA18">
        <f>100-M!B19*100</f>
        <v>29.369399999999999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2.1028199999999999</v>
      </c>
      <c r="H19" s="50">
        <f>IF(FT!B19&lt;&gt;"",FT!B19*100,"")</f>
        <v>57.497500000000002</v>
      </c>
      <c r="I19" s="50">
        <f t="shared" si="2"/>
        <v>1</v>
      </c>
      <c r="J19" t="str">
        <f>IF(FT!B19&lt;&gt;"",FT!E19,"")</f>
        <v>0 [6.880961]</v>
      </c>
      <c r="K19">
        <f>IF(FT!B19&lt;&gt;"",IF(FT!C19&lt;&gt;"",FT!C19,F19/$M$3*$M$4),"")</f>
        <v>6.88096</v>
      </c>
      <c r="P19">
        <f t="shared" si="10"/>
        <v>16</v>
      </c>
      <c r="Q19">
        <f t="shared" si="12"/>
        <v>0</v>
      </c>
      <c r="R19">
        <f t="shared" si="13"/>
        <v>0</v>
      </c>
      <c r="S19">
        <f t="array" ref="S19">MAX(IF(ft_nq=P19,row_n))</f>
        <v>0</v>
      </c>
      <c r="T19">
        <f t="shared" si="11"/>
        <v>1</v>
      </c>
      <c r="V19" t="s">
        <v>1521</v>
      </c>
      <c r="Y19" s="75">
        <f t="shared" si="3"/>
        <v>27.343044102681162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2.0760000000000001</v>
      </c>
      <c r="H20" s="50">
        <f>IF(FT!B20&lt;&gt;"",FT!B20*100,"")</f>
        <v>58.538900000000005</v>
      </c>
      <c r="I20" s="50">
        <f t="shared" si="2"/>
        <v>1</v>
      </c>
      <c r="J20" t="str">
        <f>IF(FT!B20&lt;&gt;"",FT!E20,"")</f>
        <v>0 [7.292583]</v>
      </c>
      <c r="K20">
        <f>IF(FT!B20&lt;&gt;"",IF(FT!C20&lt;&gt;"",FT!C20,F20/$M$3*$M$4),"")</f>
        <v>7.2925800000000001</v>
      </c>
      <c r="P20">
        <f t="shared" si="10"/>
        <v>17</v>
      </c>
      <c r="Q20">
        <f t="shared" si="12"/>
        <v>0</v>
      </c>
      <c r="R20">
        <f t="shared" si="13"/>
        <v>0</v>
      </c>
      <c r="S20">
        <f t="array" ref="S20">MAX(IF(ft_nq=P20,row_n))</f>
        <v>0</v>
      </c>
      <c r="T20">
        <f t="shared" si="11"/>
        <v>1</v>
      </c>
      <c r="V20" s="56">
        <v>50</v>
      </c>
      <c r="W20">
        <v>50</v>
      </c>
      <c r="Y20" s="75">
        <f t="shared" si="3"/>
        <v>28.19792870905588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9.1090275599562578E-2</v>
      </c>
      <c r="D21" s="50">
        <f>IF(hist!$D$2&gt;0,hist!B21/hist!$D$2,0)</f>
        <v>0.21545057072404106</v>
      </c>
      <c r="E21" s="50">
        <f t="shared" si="1"/>
        <v>5.2605672839479056E-4</v>
      </c>
      <c r="F21">
        <f t="shared" si="6"/>
        <v>19</v>
      </c>
      <c r="G21" s="50">
        <f>IF(FT!A21&lt;&gt;"",FT!A21*10,"")</f>
        <v>2.06541</v>
      </c>
      <c r="H21" s="50">
        <f>IF(FT!B21&lt;&gt;"",FT!B21*100,"")</f>
        <v>58.952300000000001</v>
      </c>
      <c r="I21" s="50">
        <f t="shared" si="2"/>
        <v>1</v>
      </c>
      <c r="J21" t="str">
        <f>IF(FT!B21&lt;&gt;"",FT!E21,"")</f>
        <v>0 [7.695601]</v>
      </c>
      <c r="K21">
        <f>IF(FT!B21&lt;&gt;"",IF(FT!C21&lt;&gt;"",FT!C21,F21/$M$3*$M$4),"")</f>
        <v>7.6955999999999998</v>
      </c>
      <c r="P21">
        <f t="shared" si="10"/>
        <v>18</v>
      </c>
      <c r="Q21">
        <f t="shared" si="12"/>
        <v>0</v>
      </c>
      <c r="R21">
        <f t="shared" si="13"/>
        <v>0</v>
      </c>
      <c r="S21">
        <f t="array" ref="S21">MAX(IF(ft_nq=P21,row_n))</f>
        <v>0</v>
      </c>
      <c r="T21">
        <f t="shared" si="11"/>
        <v>1</v>
      </c>
      <c r="V21" s="288">
        <f>Measurement!DK17*100</f>
        <v>51.405743066087062</v>
      </c>
      <c r="W21" s="287">
        <f>'R3'!I3</f>
        <v>14.631004201614797</v>
      </c>
      <c r="X21" t="str">
        <f>"(" &amp; ROUND(V21,1) &amp; " , " &amp; ROUND(W21,1) &amp; ")" &amp; CHAR(10) &amp; AR26</f>
        <v>(51.4 , 14.6)
한가로운</v>
      </c>
      <c r="Y21" s="75">
        <f t="shared" si="3"/>
        <v>28.542662231711866</v>
      </c>
      <c r="AA21">
        <f>100-M!B19*100</f>
        <v>29.369399999999999</v>
      </c>
      <c r="AC21">
        <f>'R3'!I3</f>
        <v>14.631004201614797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2.05755</v>
      </c>
      <c r="H22" s="50">
        <f>IF(FT!B22&lt;&gt;"",FT!B22*100,"")</f>
        <v>59.224299999999999</v>
      </c>
      <c r="I22" s="50">
        <f t="shared" si="2"/>
        <v>1</v>
      </c>
      <c r="J22" t="str">
        <f>IF(FT!B22&lt;&gt;"",FT!E22,"")</f>
        <v>0 [8.093110]</v>
      </c>
      <c r="K22">
        <f>IF(FT!B22&lt;&gt;"",IF(FT!C22&lt;&gt;"",FT!C22,F22/$M$3*$M$4),"")</f>
        <v>8.0931099999999994</v>
      </c>
      <c r="P22">
        <f t="shared" si="10"/>
        <v>19</v>
      </c>
      <c r="Q22">
        <f t="shared" si="12"/>
        <v>0</v>
      </c>
      <c r="R22">
        <f t="shared" si="13"/>
        <v>0</v>
      </c>
      <c r="S22">
        <f t="array" ref="S22">MAX(IF(ft_nq=P22,row_n))</f>
        <v>0</v>
      </c>
      <c r="T22">
        <f t="shared" si="11"/>
        <v>1</v>
      </c>
      <c r="V22" s="300">
        <f>X23</f>
        <v>90</v>
      </c>
      <c r="W22" s="300">
        <f>X23</f>
        <v>90</v>
      </c>
      <c r="X22" t="s">
        <v>1188</v>
      </c>
      <c r="Y22" s="75">
        <f t="shared" si="3"/>
        <v>28.783893465529392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7.823560329261367E-2</v>
      </c>
      <c r="D23" s="50">
        <f>IF(hist!$D$2&gt;0,hist!B23/hist!$D$2,0)</f>
        <v>0.17745286795031856</v>
      </c>
      <c r="E23" s="50">
        <f t="shared" si="1"/>
        <v>7.493614396675176E-4</v>
      </c>
      <c r="F23">
        <f t="shared" si="6"/>
        <v>21</v>
      </c>
      <c r="G23" s="50">
        <f>IF(FT!A23&lt;&gt;"",FT!A23*10,"")</f>
        <v>2.0491599999999996</v>
      </c>
      <c r="H23" s="50">
        <f>IF(FT!B23&lt;&gt;"",FT!B23*100,"")</f>
        <v>59.469099999999997</v>
      </c>
      <c r="I23" s="50">
        <f t="shared" si="2"/>
        <v>1</v>
      </c>
      <c r="J23" t="str">
        <f>IF(FT!B23&lt;&gt;"",FT!E23,"")</f>
        <v>0 [8.504099]</v>
      </c>
      <c r="K23">
        <f>IF(FT!B23&lt;&gt;"",IF(FT!C23&lt;&gt;"",FT!C23,F23/$M$3*$M$4),"")</f>
        <v>8.5040999999999993</v>
      </c>
      <c r="P23">
        <f t="shared" si="10"/>
        <v>20</v>
      </c>
      <c r="Q23">
        <f t="shared" si="12"/>
        <v>0</v>
      </c>
      <c r="R23">
        <f t="shared" si="13"/>
        <v>0</v>
      </c>
      <c r="S23">
        <f t="array" ref="S23">MAX(IF(ft_nq=P23,row_n))</f>
        <v>0</v>
      </c>
      <c r="T23">
        <f t="shared" si="11"/>
        <v>1</v>
      </c>
      <c r="V23" s="300">
        <f>100-X23</f>
        <v>10</v>
      </c>
      <c r="W23" s="300">
        <f>X23</f>
        <v>90</v>
      </c>
      <c r="X23">
        <v>90</v>
      </c>
      <c r="Y23" s="75">
        <f t="shared" si="3"/>
        <v>29.021208690390214</v>
      </c>
      <c r="AQ23">
        <v>2</v>
      </c>
      <c r="AR23" s="440" t="str">
        <f t="shared" si="15"/>
        <v/>
      </c>
      <c r="AS23" s="441" t="str">
        <f t="shared" si="14"/>
        <v/>
      </c>
      <c r="AT23" s="441" t="str">
        <f t="shared" si="14"/>
        <v/>
      </c>
      <c r="AU23" s="441" t="str">
        <f t="shared" si="14"/>
        <v/>
      </c>
      <c r="AV23" s="442" t="str">
        <f t="shared" si="14"/>
        <v/>
      </c>
      <c r="AW23" s="441" t="str">
        <f t="shared" si="14"/>
        <v>한가로운</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2.04087</v>
      </c>
      <c r="H24" s="50">
        <f>IF(FT!B24&lt;&gt;"",FT!B24*100,"")</f>
        <v>59.657800000000009</v>
      </c>
      <c r="I24" s="50">
        <f t="shared" si="2"/>
        <v>1</v>
      </c>
      <c r="J24" t="str">
        <f>IF(FT!B24&lt;&gt;"",FT!E24,"")</f>
        <v>0 [8.902424]</v>
      </c>
      <c r="K24">
        <f>IF(FT!B24&lt;&gt;"",IF(FT!C24&lt;&gt;"",FT!C24,F24/$M$3*$M$4),"")</f>
        <v>8.9024199999999993</v>
      </c>
      <c r="P24">
        <f t="shared" si="10"/>
        <v>21</v>
      </c>
      <c r="Q24">
        <f t="shared" si="12"/>
        <v>0</v>
      </c>
      <c r="R24">
        <f t="shared" si="13"/>
        <v>0</v>
      </c>
      <c r="S24">
        <f t="array" ref="S24">MAX(IF(ft_nq=P24,row_n))</f>
        <v>0</v>
      </c>
      <c r="T24">
        <f t="shared" si="11"/>
        <v>1</v>
      </c>
      <c r="V24" s="300">
        <f>100-X23</f>
        <v>10</v>
      </c>
      <c r="W24" s="300">
        <f>100-X23</f>
        <v>10</v>
      </c>
      <c r="Y24" s="75">
        <f t="shared" si="3"/>
        <v>29.23155321015058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2.0358299999999998</v>
      </c>
      <c r="H25" s="50">
        <f>IF(FT!B25&lt;&gt;"",FT!B25*100,"")</f>
        <v>59.821500000000007</v>
      </c>
      <c r="I25" s="50">
        <f t="shared" si="2"/>
        <v>1</v>
      </c>
      <c r="J25" t="str">
        <f>IF(FT!B25&lt;&gt;"",FT!E25,"")</f>
        <v>0 [9.317768]</v>
      </c>
      <c r="K25">
        <f>IF(FT!B25&lt;&gt;"",IF(FT!C25&lt;&gt;"",FT!C25,F25/$M$3*$M$4),"")</f>
        <v>9.3177699999999994</v>
      </c>
      <c r="P25">
        <f t="shared" si="10"/>
        <v>22</v>
      </c>
      <c r="Q25">
        <f t="shared" si="12"/>
        <v>0</v>
      </c>
      <c r="R25">
        <f t="shared" si="13"/>
        <v>0</v>
      </c>
      <c r="S25">
        <f t="array" ref="S25">MAX(IF(ft_nq=P25,row_n))</f>
        <v>0</v>
      </c>
      <c r="T25">
        <f t="shared" si="11"/>
        <v>1</v>
      </c>
      <c r="V25" s="300">
        <f>X23</f>
        <v>90</v>
      </c>
      <c r="W25" s="300">
        <f>100-X23</f>
        <v>10</v>
      </c>
      <c r="Y25" s="75">
        <f t="shared" si="3"/>
        <v>29.384329732836246</v>
      </c>
    </row>
    <row r="26" spans="1:120">
      <c r="A26" s="50">
        <f t="shared" si="5"/>
        <v>24</v>
      </c>
      <c r="B26" s="50">
        <f t="shared" si="0"/>
        <v>0.46721411764705884</v>
      </c>
      <c r="C26" s="50">
        <f>IF(FH!$C$2&gt;0,FH!A26/FH!$C$2,0)</f>
        <v>0.14987792575512246</v>
      </c>
      <c r="D26" s="50">
        <f>IF(hist!$D$2&gt;0,hist!B26/hist!$D$2,0)</f>
        <v>0.15473054995783367</v>
      </c>
      <c r="E26" s="50">
        <f t="shared" si="1"/>
        <v>1.2537616179719071E-3</v>
      </c>
      <c r="F26">
        <f t="shared" si="6"/>
        <v>24</v>
      </c>
      <c r="G26" s="50">
        <f>IF(FT!A26&lt;&gt;"",FT!A26*10,"")</f>
        <v>2.0312299999999999</v>
      </c>
      <c r="H26" s="50">
        <f>IF(FT!B26&lt;&gt;"",FT!B26*100,"")</f>
        <v>59.943300000000001</v>
      </c>
      <c r="I26" s="50">
        <f t="shared" si="2"/>
        <v>1</v>
      </c>
      <c r="J26" t="str">
        <f>IF(FT!B26&lt;&gt;"",FT!E26,"")</f>
        <v>0 [9.724319]</v>
      </c>
      <c r="K26">
        <f>IF(FT!B26&lt;&gt;"",IF(FT!C26&lt;&gt;"",FT!C26,F26/$M$3*$M$4),"")</f>
        <v>9.7243200000000005</v>
      </c>
      <c r="P26">
        <f t="shared" si="10"/>
        <v>23</v>
      </c>
      <c r="Q26">
        <f t="shared" si="12"/>
        <v>0</v>
      </c>
      <c r="R26">
        <f t="shared" si="13"/>
        <v>0</v>
      </c>
      <c r="S26">
        <f t="array" ref="S26">MAX(IF(ft_nq=P26,row_n))</f>
        <v>0</v>
      </c>
      <c r="T26">
        <f t="shared" si="11"/>
        <v>1</v>
      </c>
      <c r="V26" s="300">
        <f>X23</f>
        <v>90</v>
      </c>
      <c r="W26" s="300">
        <f>X23</f>
        <v>90</v>
      </c>
      <c r="Y26" s="75">
        <f t="shared" si="3"/>
        <v>29.510838260561336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2.0247699999999997</v>
      </c>
      <c r="H27" s="50">
        <f>IF(FT!B27&lt;&gt;"",FT!B27*100,"")</f>
        <v>60.027900000000002</v>
      </c>
      <c r="I27" s="50">
        <f t="shared" si="2"/>
        <v>1</v>
      </c>
      <c r="J27" t="str">
        <f>IF(FT!B27&lt;&gt;"",FT!E27,"")</f>
        <v>0 [10.120224]</v>
      </c>
      <c r="K27">
        <f>IF(FT!B27&lt;&gt;"",IF(FT!C27&lt;&gt;"",FT!C27,F27/$M$3*$M$4),"")</f>
        <v>10.120200000000001</v>
      </c>
      <c r="P27">
        <f t="shared" si="10"/>
        <v>24</v>
      </c>
      <c r="Q27">
        <f t="shared" si="12"/>
        <v>0</v>
      </c>
      <c r="R27">
        <f t="shared" si="13"/>
        <v>0</v>
      </c>
      <c r="S27">
        <f t="array" ref="S27">MAX(IF(ft_nq=P27,row_n))</f>
        <v>0</v>
      </c>
      <c r="T27">
        <f t="shared" si="11"/>
        <v>1</v>
      </c>
      <c r="V27" s="288">
        <v>60</v>
      </c>
      <c r="W27" s="288">
        <v>60</v>
      </c>
      <c r="X27" t="s">
        <v>1189</v>
      </c>
      <c r="Y27" s="75">
        <f t="shared" si="3"/>
        <v>29.646774695397507</v>
      </c>
      <c r="AS27" t="s">
        <v>2144</v>
      </c>
    </row>
    <row r="28" spans="1:120">
      <c r="A28" s="50">
        <f t="shared" si="5"/>
        <v>26</v>
      </c>
      <c r="B28" s="50">
        <f t="shared" si="0"/>
        <v>0.50614862745098044</v>
      </c>
      <c r="C28" s="50">
        <f>IF(FH!$C$2&gt;0,FH!A28/FH!$C$2,0)</f>
        <v>0.20933020235501565</v>
      </c>
      <c r="D28" s="50">
        <f>IF(hist!$D$2&gt;0,hist!B28/hist!$D$2,0)</f>
        <v>0.13728098693829938</v>
      </c>
      <c r="E28" s="50">
        <f t="shared" si="1"/>
        <v>1.7481863048396636E-3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0.52561588235294121</v>
      </c>
      <c r="C29" s="50">
        <f>IF(FH!$C$2&gt;0,FH!A29/FH!$C$2,0)</f>
        <v>0</v>
      </c>
      <c r="D29" s="50">
        <f>IF(hist!$D$2&gt;0,hist!B29/hist!$D$2,0)</f>
        <v>0</v>
      </c>
      <c r="E29" s="50">
        <f t="shared" si="1"/>
        <v>2.0576958539206382E-3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0.54508313725490198</v>
      </c>
      <c r="C30" s="50">
        <f>IF(FH!$C$2&gt;0,FH!A30/FH!$C$2,0)</f>
        <v>0</v>
      </c>
      <c r="D30" s="50">
        <f>IF(hist!$D$2&gt;0,hist!B30/hist!$D$2,0)</f>
        <v>0</v>
      </c>
      <c r="E30" s="50">
        <f t="shared" si="1"/>
        <v>2.4168297011846907E-3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0.20295860496265716</v>
      </c>
      <c r="D31" s="50">
        <f>IF(hist!$D$2&gt;0,hist!B31/hist!$D$2,0)</f>
        <v>0.11589360170399174</v>
      </c>
      <c r="E31" s="50">
        <f t="shared" si="1"/>
        <v>2.8325808490806273E-3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보통이며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0.27365866684751738</v>
      </c>
      <c r="D33" s="50">
        <f>IF(hist!$D$2&gt;0,hist!B33/hist!$D$2,0)</f>
        <v>9.9582808491839994E-2</v>
      </c>
      <c r="E33" s="50">
        <f t="shared" si="1"/>
        <v>3.866064000072457E-3</v>
      </c>
      <c r="F33">
        <f t="shared" si="6"/>
        <v>31</v>
      </c>
      <c r="G33" s="50" t="str">
        <f>IF(FT!A33&lt;&gt;"",FT!A33*10,"")</f>
        <v/>
      </c>
      <c r="H33" s="50" t="str">
        <f>IF(FT!B33&lt;&gt;"",FT!B33*100,"")</f>
        <v/>
      </c>
      <c r="I33" s="50" t="str">
        <f t="shared" si="2"/>
        <v/>
      </c>
      <c r="J33" t="str">
        <f>IF(FT!B33&lt;&gt;"",FT!E33,"")</f>
        <v/>
      </c>
      <c r="K33" t="str">
        <f>IF(FT!B33&lt;&gt;"",IF(FT!C33&lt;&gt;"",FT!C33,F33/$M$3*$M$4),"")</f>
        <v/>
      </c>
      <c r="W33" s="23">
        <f>FH_info!G2</f>
        <v>0.48763600000000001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51.236400000000003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t="str">
        <f>IF(FT!A35&lt;&gt;"",FT!A35*10,"")</f>
        <v/>
      </c>
      <c r="H35" s="50" t="str">
        <f>IF(FT!B35&lt;&gt;"",FT!B35*100,"")</f>
        <v/>
      </c>
      <c r="I35" s="50" t="str">
        <f t="shared" si="2"/>
        <v/>
      </c>
      <c r="J35" t="str">
        <f>IF(FT!B35&lt;&gt;"",FT!E35,"")</f>
        <v/>
      </c>
      <c r="K35" t="str">
        <f>IF(FT!B35&lt;&gt;"",IF(FT!C35&lt;&gt;"",FT!C35,F35/$M$3*$M$4),"")</f>
        <v/>
      </c>
      <c r="V35" s="52">
        <f>IF(V36&gt;3,100,V36/3*100)</f>
        <v>38.324666666666666</v>
      </c>
      <c r="W35" s="23">
        <f>IF(FH_info!G2*1&lt;&gt;0,(1-NORMSDIST((FH_info!G2*1-0.5308)/0.1538))*100,0)</f>
        <v>61.051064375124554</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0.52044319732793043</v>
      </c>
      <c r="D36" s="50">
        <f>IF(hist!$D$2&gt;0,hist!B36/hist!$D$2,0)</f>
        <v>8.2660818025825811E-2</v>
      </c>
      <c r="E36" s="50">
        <f t="shared" si="1"/>
        <v>6.0664498559466744E-3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1.14974</v>
      </c>
      <c r="W36" s="495">
        <f>IF(W34&gt;=60,30/40*(W34-60)+70,IF(W34&gt;=35,35/25*(W34-35)+35,IF(W34&gt;=0,W34,0)))</f>
        <v>57.730960000000003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1</v>
      </c>
      <c r="D39" s="50">
        <f>IF(hist!$D$2&gt;0,hist!B39/hist!$D$2,0)</f>
        <v>6.7236410813764511E-2</v>
      </c>
      <c r="E39" s="50">
        <f t="shared" si="1"/>
        <v>9.3377613091144441E-3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0.91500156831495161</v>
      </c>
      <c r="D41" s="50">
        <f>IF(hist!$D$2&gt;0,hist!B41/hist!$D$2,0)</f>
        <v>5.9008032471274112E-2</v>
      </c>
      <c r="E41" s="50">
        <f t="shared" si="1"/>
        <v>1.2316061904930216E-2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16.194900000000001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0.65331338323683252</v>
      </c>
      <c r="D44" s="50">
        <f>IF(hist!$D$2&gt;0,hist!B44/hist!$D$2,0)</f>
        <v>5.4068274735141135E-2</v>
      </c>
      <c r="E44" s="50">
        <f t="shared" si="1"/>
        <v>1.8359083259720105E-2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0.4512423597629725</v>
      </c>
      <c r="D46" s="50">
        <f>IF(hist!$D$2&gt;0,hist!B46/hist!$D$2,0)</f>
        <v>4.8988635386009567E-2</v>
      </c>
      <c r="E46" s="50">
        <f t="shared" si="1"/>
        <v>2.3702495215149538E-2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0.39267427370062985</v>
      </c>
      <c r="D49" s="50">
        <f>IF(hist!$D$2&gt;0,hist!B49/hist!$D$2,0)</f>
        <v>4.6753653669732984E-2</v>
      </c>
      <c r="E49" s="50">
        <f t="shared" si="1"/>
        <v>3.4217176333157004E-2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0.93442823529411767</v>
      </c>
      <c r="C50" s="50">
        <f>IF(FH!$C$2&gt;0,FH!A50/FH!$C$2,0)</f>
        <v>0</v>
      </c>
      <c r="D50" s="50">
        <f>IF(hist!$D$2&gt;0,hist!B50/hist!$D$2,0)</f>
        <v>0</v>
      </c>
      <c r="E50" s="50">
        <f t="shared" si="1"/>
        <v>3.8506761721933264E-2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0.95389549019607844</v>
      </c>
      <c r="C51" s="50">
        <f>IF(FH!$C$2&gt;0,FH!A51/FH!$C$2,0)</f>
        <v>0.30391103839404549</v>
      </c>
      <c r="D51" s="50">
        <f>IF(hist!$D$2&gt;0,hist!B51/hist!$D$2,0)</f>
        <v>4.4506510559999289E-2</v>
      </c>
      <c r="E51" s="50">
        <f t="shared" si="1"/>
        <v>4.3241547262703579E-2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0.97336274509803922</v>
      </c>
      <c r="C52" s="50">
        <f>IF(FH!$C$2&gt;0,FH!A52/FH!$C$2,0)</f>
        <v>0</v>
      </c>
      <c r="D52" s="50">
        <f>IF(hist!$D$2&gt;0,hist!B52/hist!$D$2,0)</f>
        <v>0</v>
      </c>
      <c r="E52" s="50">
        <f t="shared" si="1"/>
        <v>4.8454805139651558E-2</v>
      </c>
      <c r="F52">
        <f t="shared" si="6"/>
        <v>50</v>
      </c>
      <c r="G52" s="50" t="str">
        <f>IF(FT!A52&lt;&gt;"",FT!A52*10,"")</f>
        <v/>
      </c>
      <c r="H52" s="50" t="str">
        <f>IF(FT!B52&lt;&gt;"",FT!B52*100,"")</f>
        <v/>
      </c>
      <c r="I52" s="50" t="str">
        <f t="shared" si="2"/>
        <v/>
      </c>
      <c r="J52" t="str">
        <f>IF(FT!B52&lt;&gt;"",FT!E52,"")</f>
        <v/>
      </c>
      <c r="K52" t="str">
        <f>IF(FT!B52&lt;&gt;"",IF(FT!C52&lt;&gt;"",FT!C52,F52/$M$3*$M$4),"")</f>
        <v/>
      </c>
      <c r="V52" s="288">
        <f>Measurement!DK17*100</f>
        <v>51.405743066087062</v>
      </c>
      <c r="W52" s="303">
        <f ca="1">100-N9</f>
        <v>47.977426923076933</v>
      </c>
      <c r="X52" t="str">
        <f ca="1">"(" &amp; ROUND(V52,1) &amp; " , " &amp; ROUND(100-W52,1) &amp; ")"</f>
        <v>(51.4 , 52)</v>
      </c>
      <c r="Y52" s="75" t="str">
        <f t="shared" si="3"/>
        <v/>
      </c>
    </row>
    <row r="53" spans="1:25">
      <c r="A53" s="50">
        <f t="shared" si="5"/>
        <v>51</v>
      </c>
      <c r="B53" s="50">
        <f t="shared" si="0"/>
        <v>0.9928300000000001</v>
      </c>
      <c r="C53" s="50">
        <f>IF(FH!$C$2&gt;0,FH!A53/FH!$C$2,0)</f>
        <v>0</v>
      </c>
      <c r="D53" s="50">
        <f>IF(hist!$D$2&gt;0,hist!B53/hist!$D$2,0)</f>
        <v>0</v>
      </c>
      <c r="E53" s="50">
        <f t="shared" si="1"/>
        <v>5.4180608156971566E-2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1.0122972549019609</v>
      </c>
      <c r="C54" s="50">
        <f>IF(FH!$C$2&gt;0,FH!A54/FH!$C$2,0)</f>
        <v>0.32923254295911364</v>
      </c>
      <c r="D54" s="50">
        <f>IF(hist!$D$2&gt;0,hist!B54/hist!$D$2,0)</f>
        <v>4.1997862597880645E-2</v>
      </c>
      <c r="E54" s="50">
        <f t="shared" si="1"/>
        <v>6.0453618047567548E-2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1.0317645098039216</v>
      </c>
      <c r="C55" s="50">
        <f>IF(FH!$C$2&gt;0,FH!A55/FH!$C$2,0)</f>
        <v>0</v>
      </c>
      <c r="D55" s="50">
        <f>IF(hist!$D$2&gt;0,hist!B55/hist!$D$2,0)</f>
        <v>0</v>
      </c>
      <c r="E55" s="50">
        <f t="shared" si="1"/>
        <v>6.7308841885708792E-2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1.0706990196078432</v>
      </c>
      <c r="C57" s="50">
        <f>IF(FH!$C$2&gt;0,FH!A57/FH!$C$2,0)</f>
        <v>0.32740397249938541</v>
      </c>
      <c r="D57" s="50">
        <f>IF(hist!$D$2&gt;0,hist!B57/hist!$D$2,0)</f>
        <v>3.8278974542882836E-2</v>
      </c>
      <c r="E57" s="50">
        <f t="shared" si="1"/>
        <v>8.2905998336710848E-2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1.090166274509804</v>
      </c>
      <c r="C58" s="50">
        <f>IF(FH!$C$2&gt;0,FH!A58/FH!$C$2,0)</f>
        <v>0</v>
      </c>
      <c r="D58" s="50">
        <f>IF(hist!$D$2&gt;0,hist!B58/hist!$D$2,0)</f>
        <v>0</v>
      </c>
      <c r="E58" s="50">
        <f t="shared" si="1"/>
        <v>9.1717026891860121E-2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1.1096335294117647</v>
      </c>
      <c r="C59" s="50">
        <f>IF(FH!$C$2&gt;0,FH!A59/FH!$C$2,0)</f>
        <v>0.29327277659565448</v>
      </c>
      <c r="D59" s="50">
        <f>IF(hist!$D$2&gt;0,hist!B59/hist!$D$2,0)</f>
        <v>3.5403911100181262E-2</v>
      </c>
      <c r="E59" s="50">
        <f t="shared" si="1"/>
        <v>0.10124775007010034</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1.1291007843137255</v>
      </c>
      <c r="C60" s="50">
        <f>IF(FH!$C$2&gt;0,FH!A60/FH!$C$2,0)</f>
        <v>0</v>
      </c>
      <c r="D60" s="50">
        <f>IF(hist!$D$2&gt;0,hist!B60/hist!$D$2,0)</f>
        <v>0</v>
      </c>
      <c r="E60" s="50">
        <f t="shared" si="1"/>
        <v>0.11153012582699742</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1.1485680392156863</v>
      </c>
      <c r="C61" s="50">
        <f>IF(FH!$C$2&gt;0,FH!A61/FH!$C$2,0)</f>
        <v>0</v>
      </c>
      <c r="D61" s="50">
        <f>IF(hist!$D$2&gt;0,hist!B61/hist!$D$2,0)</f>
        <v>0</v>
      </c>
      <c r="E61" s="50">
        <f t="shared" si="1"/>
        <v>0.12259433476918034</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1.1680352941176471</v>
      </c>
      <c r="C62" s="50">
        <f>IF(FH!$C$2&gt;0,FH!A62/FH!$C$2,0)</f>
        <v>0.42281601546273773</v>
      </c>
      <c r="D62" s="50">
        <f>IF(hist!$D$2&gt;0,hist!B62/hist!$D$2,0)</f>
        <v>3.3395470230100414E-2</v>
      </c>
      <c r="E62" s="50">
        <f t="shared" si="1"/>
        <v>0.13446832920843649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1.2069698039215686</v>
      </c>
      <c r="C64" s="50">
        <f>IF(FH!$C$2&gt;0,FH!A64/FH!$C$2,0)</f>
        <v>0.43711057044277352</v>
      </c>
      <c r="D64" s="50">
        <f>IF(hist!$D$2&gt;0,hist!B64/hist!$D$2,0)</f>
        <v>3.0508237252228426E-2</v>
      </c>
      <c r="E64" s="50">
        <f t="shared" si="1"/>
        <v>0.16074349907160557</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1.2264370588235294</v>
      </c>
      <c r="C65" s="50">
        <f>IF(FH!$C$2&gt;0,FH!A65/FH!$C$2,0)</f>
        <v>0</v>
      </c>
      <c r="D65" s="50">
        <f>IF(hist!$D$2&gt;0,hist!B65/hist!$D$2,0)</f>
        <v>0</v>
      </c>
      <c r="E65" s="50">
        <f t="shared" si="1"/>
        <v>0.17518512186164314</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1.2653715686274509</v>
      </c>
      <c r="C67" s="50">
        <f>IF(FH!$C$2&gt;0,FH!A67/FH!$C$2,0)</f>
        <v>0.4133968006374989</v>
      </c>
      <c r="D67" s="50">
        <f>IF(hist!$D$2&gt;0,hist!B67/hist!$D$2,0)</f>
        <v>2.7680302698478872E-2</v>
      </c>
      <c r="E67" s="50">
        <f t="shared" ref="E67:E130" si="17">NORMDIST(B67,2,0.421,FALSE)</f>
        <v>0.20674690530414291</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1.3043060784313727</v>
      </c>
      <c r="C69" s="50">
        <f>IF(FH!$C$2&gt;0,FH!A69/FH!$C$2,0)</f>
        <v>0.48825459261959464</v>
      </c>
      <c r="D69" s="50">
        <f>IF(hist!$D$2&gt;0,hist!B69/hist!$D$2,0)</f>
        <v>2.6144706948259204E-2</v>
      </c>
      <c r="E69" s="50">
        <f t="shared" si="17"/>
        <v>0.24191701103634025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1.3237733333333332</v>
      </c>
      <c r="C70" s="50">
        <f>IF(FH!$C$2&gt;0,FH!A70/FH!$C$2,0)</f>
        <v>0</v>
      </c>
      <c r="D70" s="50">
        <f>IF(hist!$D$2&gt;0,hist!B70/hist!$D$2,0)</f>
        <v>0</v>
      </c>
      <c r="E70" s="50">
        <f t="shared" si="17"/>
        <v>0.26084781335211715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1.343240588235294</v>
      </c>
      <c r="C71" s="50">
        <f>IF(FH!$C$2&gt;0,FH!A71/FH!$C$2,0)</f>
        <v>0</v>
      </c>
      <c r="D71" s="50">
        <f>IF(hist!$D$2&gt;0,hist!B71/hist!$D$2,0)</f>
        <v>0</v>
      </c>
      <c r="E71" s="50">
        <f t="shared" si="17"/>
        <v>0.28065926984641271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1.362707843137255</v>
      </c>
      <c r="C72" s="50">
        <f>IF(FH!$C$2&gt;0,FH!A72/FH!$C$2,0)</f>
        <v>0.35056459338255869</v>
      </c>
      <c r="D72" s="50">
        <f>IF(hist!$D$2&gt;0,hist!B72/hist!$D$2,0)</f>
        <v>2.3295487629755897E-2</v>
      </c>
      <c r="E72" s="50">
        <f t="shared" si="17"/>
        <v>0.30133042196576898</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1.3821750980392158</v>
      </c>
      <c r="C73" s="50">
        <f>IF(FH!$C$2&gt;0,FH!A73/FH!$C$2,0)</f>
        <v>0</v>
      </c>
      <c r="D73" s="50">
        <f>IF(hist!$D$2&gt;0,hist!B73/hist!$D$2,0)</f>
        <v>0</v>
      </c>
      <c r="E73" s="50">
        <f t="shared" si="17"/>
        <v>0.32283303321859946</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1.4016423529411766</v>
      </c>
      <c r="C74" s="50">
        <f>IF(FH!$C$2&gt;0,FH!A74/FH!$C$2,0)</f>
        <v>0</v>
      </c>
      <c r="D74" s="50">
        <f>IF(hist!$D$2&gt;0,hist!B74/hist!$D$2,0)</f>
        <v>0</v>
      </c>
      <c r="E74" s="50">
        <f t="shared" si="17"/>
        <v>0.34513130341544357</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1.4211096078431371</v>
      </c>
      <c r="C75" s="50">
        <f>IF(FH!$C$2&gt;0,FH!A75/FH!$C$2,0)</f>
        <v>0.37815761141394189</v>
      </c>
      <c r="D75" s="50">
        <f>IF(hist!$D$2&gt;0,hist!B75/hist!$D$2,0)</f>
        <v>2.0385449712948023E-2</v>
      </c>
      <c r="E75" s="50">
        <f t="shared" si="17"/>
        <v>0.36818164580299245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1.4405768627450981</v>
      </c>
      <c r="C76" s="50">
        <f>IF(FH!$C$2&gt;0,FH!A76/FH!$C$2,0)</f>
        <v>0</v>
      </c>
      <c r="D76" s="50">
        <f>IF(hist!$D$2&gt;0,hist!B76/hist!$D$2,0)</f>
        <v>0</v>
      </c>
      <c r="E76" s="50">
        <f t="shared" si="17"/>
        <v>0.39193253452801868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1.4600441176470589</v>
      </c>
      <c r="C77" s="50">
        <f>IF(FH!$C$2&gt;0,FH!A77/FH!$C$2,0)</f>
        <v>0.39694093810666242</v>
      </c>
      <c r="D77" s="50">
        <f>IF(hist!$D$2&gt;0,hist!B77/hist!$D$2,0)</f>
        <v>1.7630496314062039E-2</v>
      </c>
      <c r="E77" s="50">
        <f t="shared" si="17"/>
        <v>0.41632442930254537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1.5184458823529414</v>
      </c>
      <c r="C80" s="50">
        <f>IF(FH!$C$2&gt;0,FH!A80/FH!$C$2,0)</f>
        <v>0.29404845669331392</v>
      </c>
      <c r="D80" s="50">
        <f>IF(hist!$D$2&gt;0,hist!B80/hist!$D$2,0)</f>
        <v>1.3893366168878554E-2</v>
      </c>
      <c r="E80" s="50">
        <f t="shared" si="17"/>
        <v>0.49263132331359955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1.5573803921568627</v>
      </c>
      <c r="C82" s="50">
        <f>IF(FH!$C$2&gt;0,FH!A82/FH!$C$2,0)</f>
        <v>0.39079060028314444</v>
      </c>
      <c r="D82" s="50">
        <f>IF(hist!$D$2&gt;0,hist!B82/hist!$D$2,0)</f>
        <v>1.1664467475534328E-2</v>
      </c>
      <c r="E82" s="50">
        <f t="shared" si="17"/>
        <v>0.54526266825070935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1.6157821568627451</v>
      </c>
      <c r="C85" s="50">
        <f>IF(FH!$C$2&gt;0,FH!A85/FH!$C$2,0)</f>
        <v>0.39162180720746687</v>
      </c>
      <c r="D85" s="50">
        <f>IF(hist!$D$2&gt;0,hist!B85/hist!$D$2,0)</f>
        <v>8.7909218808110926E-3</v>
      </c>
      <c r="E85" s="50">
        <f t="shared" si="17"/>
        <v>0.62483717980633824</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1.6741839215686276</v>
      </c>
      <c r="C88" s="50">
        <f>IF(FH!$C$2&gt;0,FH!A88/FH!$C$2,0)</f>
        <v>0.31759691762531689</v>
      </c>
      <c r="D88" s="50">
        <f>IF(hist!$D$2&gt;0,hist!B88/hist!$D$2,0)</f>
        <v>6.2275371802183489E-3</v>
      </c>
      <c r="E88" s="50">
        <f t="shared" si="17"/>
        <v>0.7023774271497798</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1.7131184313725489</v>
      </c>
      <c r="C90" s="50">
        <f>IF(FH!$C$2&gt;0,FH!A90/FH!$C$2,0)</f>
        <v>0.38718898619035103</v>
      </c>
      <c r="D90" s="50">
        <f>IF(hist!$D$2&gt;0,hist!B90/hist!$D$2,0)</f>
        <v>4.6828157324982503E-3</v>
      </c>
      <c r="E90" s="50">
        <f t="shared" si="17"/>
        <v>0.75127105749767176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1.7715201960784315</v>
      </c>
      <c r="C93" s="50">
        <f>IF(FH!$C$2&gt;0,FH!A93/FH!$C$2,0)</f>
        <v>0.4120115970532634</v>
      </c>
      <c r="D93" s="50">
        <f>IF(hist!$D$2&gt;0,hist!B93/hist!$D$2,0)</f>
        <v>3.758416073039133E-3</v>
      </c>
      <c r="E93" s="50">
        <f t="shared" si="17"/>
        <v>0.81784558293661058</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1.8104547058823528</v>
      </c>
      <c r="C95" s="50">
        <f>IF(FH!$C$2&gt;0,FH!A95/FH!$C$2,0)</f>
        <v>0.29194309983808209</v>
      </c>
      <c r="D95" s="50">
        <f>IF(hist!$D$2&gt;0,hist!B95/hist!$D$2,0)</f>
        <v>2.7473536910771839E-3</v>
      </c>
      <c r="E95" s="50">
        <f t="shared" si="17"/>
        <v>0.85627133592886806</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1.8688564705882353</v>
      </c>
      <c r="C98" s="50">
        <f>IF(FH!$C$2&gt;0,FH!A98/FH!$C$2,0)</f>
        <v>0.23869626401946409</v>
      </c>
      <c r="D98" s="50">
        <f>IF(hist!$D$2&gt;0,hist!B98/hist!$D$2,0)</f>
        <v>1.8214326943340284E-3</v>
      </c>
      <c r="E98" s="50">
        <f t="shared" si="17"/>
        <v>0.90272824790152328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1.9077909803921569</v>
      </c>
      <c r="C100" s="50">
        <f>IF(FH!$C$2&gt;0,FH!A100/FH!$C$2,0)</f>
        <v>0.2006866676274362</v>
      </c>
      <c r="D100" s="50">
        <f>IF(hist!$D$2&gt;0,hist!B100/hist!$D$2,0)</f>
        <v>1.3029776966010707E-3</v>
      </c>
      <c r="E100" s="50">
        <f t="shared" si="17"/>
        <v>0.92514777239528223</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1.9661927450980392</v>
      </c>
      <c r="C103" s="50">
        <f>IF(FH!$C$2&gt;0,FH!A103/FH!$C$2,0)</f>
        <v>0.19791626045896524</v>
      </c>
      <c r="D103" s="50">
        <f>IF(hist!$D$2&gt;0,hist!B103/hist!$D$2,0)</f>
        <v>9.5024610986118294E-4</v>
      </c>
      <c r="E103" s="50">
        <f t="shared" si="17"/>
        <v>0.94455598878456259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2.0245945098039217</v>
      </c>
      <c r="C106" s="50">
        <f>IF(FH!$C$2&gt;0,FH!A106/FH!$C$2,0)</f>
        <v>0.15037639558837243</v>
      </c>
      <c r="D106" s="50">
        <f>IF(hist!$D$2&gt;0,hist!B106/hist!$D$2,0)</f>
        <v>7.2066724150496753E-4</v>
      </c>
      <c r="E106" s="50">
        <f t="shared" si="17"/>
        <v>0.94599074520370519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2.0635290196078433</v>
      </c>
      <c r="C108" s="50">
        <f>IF(FH!$C$2&gt;0,FH!A108/FH!$C$2,0)</f>
        <v>0.13436347606412288</v>
      </c>
      <c r="D108" s="50">
        <f>IF(hist!$D$2&gt;0,hist!B108/hist!$D$2,0)</f>
        <v>3.6793565476507956E-4</v>
      </c>
      <c r="E108" s="50">
        <f t="shared" si="17"/>
        <v>0.93687862978775349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2.1219307843137254</v>
      </c>
      <c r="C111" s="50">
        <f>IF(FH!$C$2&gt;0,FH!A111/FH!$C$2,0)</f>
        <v>0.11796314035994948</v>
      </c>
      <c r="D111" s="50">
        <f>IF(hist!$D$2&gt;0,hist!B111/hist!$D$2,0)</f>
        <v>1.8548800156467911E-4</v>
      </c>
      <c r="E111" s="50">
        <f t="shared" si="17"/>
        <v>0.90868526680045658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2.1608652941176469</v>
      </c>
      <c r="C113" s="50">
        <f>IF(FH!$C$2&gt;0,FH!A113/FH!$C$2,0)</f>
        <v>7.8789599952526684E-2</v>
      </c>
      <c r="D113" s="50">
        <f>IF(hist!$D$2&gt;0,hist!B113/hist!$D$2,0)</f>
        <v>9.1223245049250657E-5</v>
      </c>
      <c r="E113" s="50">
        <f t="shared" si="17"/>
        <v>0.88089452978226246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2.2192670588235295</v>
      </c>
      <c r="C116" s="50">
        <f>IF(FH!$C$2&gt;0,FH!A116/FH!$C$2,0)</f>
        <v>4.1278727715092278E-2</v>
      </c>
      <c r="D116" s="50">
        <f>IF(hist!$D$2&gt;0,hist!B116/hist!$D$2,0)</f>
        <v>5.1692900804132247E-5</v>
      </c>
      <c r="E116" s="50">
        <f t="shared" si="17"/>
        <v>0.82741814179433193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2.258201568627451</v>
      </c>
      <c r="C118" s="50">
        <f>IF(FH!$C$2&gt;0,FH!A118/FH!$C$2,0)</f>
        <v>2.1775247751375456E-2</v>
      </c>
      <c r="D118" s="50">
        <f>IF(hist!$D$2&gt;0,hist!B118/hist!$D$2,0)</f>
        <v>2.5846450402066124E-5</v>
      </c>
      <c r="E118" s="50">
        <f t="shared" si="17"/>
        <v>0.78514423612841688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2.3166033333333336</v>
      </c>
      <c r="C121" s="50">
        <f>IF(FH!$C$2&gt;0,FH!A121/FH!$C$2,0)</f>
        <v>1.4572231500241607E-2</v>
      </c>
      <c r="D121" s="50">
        <f>IF(hist!$D$2&gt;0,hist!B121/hist!$D$2,0)</f>
        <v>1.0642382376874495E-5</v>
      </c>
      <c r="E121" s="50">
        <f t="shared" si="17"/>
        <v>0.71420279373496998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2.3750050980392157</v>
      </c>
      <c r="C124" s="50">
        <f>IF(FH!$C$2&gt;0,FH!A124/FH!$C$2,0)</f>
        <v>1.0582862132399692E-2</v>
      </c>
      <c r="D124" s="50">
        <f>IF(hist!$D$2&gt;0,hist!B124/hist!$D$2,0)</f>
        <v>1.6724242207330968E-5</v>
      </c>
      <c r="E124" s="50">
        <f t="shared" si="17"/>
        <v>0.63728871155512057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2.4139396078431372</v>
      </c>
      <c r="C126" s="50">
        <f>IF(FH!$C$2&gt;0,FH!A126/FH!$C$2,0)</f>
        <v>0</v>
      </c>
      <c r="D126" s="50">
        <f>IF(hist!$D$2&gt;0,hist!B126/hist!$D$2,0)</f>
        <v>0</v>
      </c>
      <c r="E126" s="50">
        <f t="shared" si="17"/>
        <v>0.58439030698221306</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2.4723413725490198</v>
      </c>
      <c r="C129" s="50">
        <f>IF(FH!$C$2&gt;0,FH!A129/FH!$C$2,0)</f>
        <v>0</v>
      </c>
      <c r="D129" s="50">
        <f>IF(hist!$D$2&gt;0,hist!B129/hist!$D$2,0)</f>
        <v>0</v>
      </c>
      <c r="E129" s="50">
        <f t="shared" si="17"/>
        <v>0.50499683591891575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2.5112758823529413</v>
      </c>
      <c r="C131" s="50">
        <f>IF(FH!$C$2&gt;0,FH!A131/FH!$C$2,0)</f>
        <v>0</v>
      </c>
      <c r="D131" s="50">
        <f>IF(hist!$D$2&gt;0,hist!B131/hist!$D$2,0)</f>
        <v>0</v>
      </c>
      <c r="E131" s="50">
        <f t="shared" ref="E131:E194" si="23">NORMDIST(B131,2,0.421,FALSE)</f>
        <v>0.45328298432309194</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2.5696776470588238</v>
      </c>
      <c r="C134" s="50">
        <f>IF(FH!$C$2&gt;0,FH!A134/FH!$C$2,0)</f>
        <v>0</v>
      </c>
      <c r="D134" s="50">
        <f>IF(hist!$D$2&gt;0,hist!B134/hist!$D$2,0)</f>
        <v>0</v>
      </c>
      <c r="E134" s="50">
        <f t="shared" si="23"/>
        <v>0.3793377306122665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2.6086121568627454</v>
      </c>
      <c r="C136" s="50">
        <f>IF(FH!$C$2&gt;0,FH!A136/FH!$C$2,0)</f>
        <v>0</v>
      </c>
      <c r="D136" s="50">
        <f>IF(hist!$D$2&gt;0,hist!B136/hist!$D$2,0)</f>
        <v>0</v>
      </c>
      <c r="E136" s="50">
        <f t="shared" si="23"/>
        <v>0.33328884824881772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2.6670139215686275</v>
      </c>
      <c r="C139" s="50">
        <f>IF(FH!$C$2&gt;0,FH!A139/FH!$C$2,0)</f>
        <v>0</v>
      </c>
      <c r="D139" s="50">
        <f>IF(hist!$D$2&gt;0,hist!B139/hist!$D$2,0)</f>
        <v>0</v>
      </c>
      <c r="E139" s="50">
        <f t="shared" si="23"/>
        <v>0.27011479956838896</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2.72541568627451</v>
      </c>
      <c r="C142" s="50">
        <f>IF(FH!$C$2&gt;0,FH!A142/FH!$C$2,0)</f>
        <v>0</v>
      </c>
      <c r="D142" s="50">
        <f>IF(hist!$D$2&gt;0,hist!B142/hist!$D$2,0)</f>
        <v>0</v>
      </c>
      <c r="E142" s="50">
        <f t="shared" si="23"/>
        <v>0.21474277467659378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2.7643501960784316</v>
      </c>
      <c r="C144" s="50">
        <f>IF(FH!$C$2&gt;0,FH!A144/FH!$C$2,0)</f>
        <v>0</v>
      </c>
      <c r="D144" s="50">
        <f>IF(hist!$D$2&gt;0,hist!B144/hist!$D$2,0)</f>
        <v>0</v>
      </c>
      <c r="E144" s="50">
        <f t="shared" si="23"/>
        <v>0.1823289669455104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0</v>
      </c>
      <c r="D147" s="50">
        <f>IF(hist!$D$2&gt;0,hist!B147/hist!$D$2,0)</f>
        <v>0</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0</v>
      </c>
      <c r="D149" s="50">
        <f>IF(hist!$D$2&gt;0,hist!B149/hist!$D$2,0)</f>
        <v>0</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v>
      </c>
      <c r="D152" s="50">
        <f>IF(hist!$D$2&gt;0,hist!B152/hist!$D$2,0)</f>
        <v>0</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v>
      </c>
      <c r="D154" s="50">
        <f>IF(hist!$D$2&gt;0,hist!B154/hist!$D$2,0)</f>
        <v>0</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v>
      </c>
      <c r="D157" s="50">
        <f>IF(hist!$D$2&gt;0,hist!B157/hist!$D$2,0)</f>
        <v>0</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v>
      </c>
      <c r="D160" s="50">
        <f>IF(hist!$D$2&gt;0,hist!B160/hist!$D$2,0)</f>
        <v>0</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v>
      </c>
      <c r="D162" s="50">
        <f>IF(hist!$D$2&gt;0,hist!B162/hist!$D$2,0)</f>
        <v>0</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v>
      </c>
      <c r="D165" s="50">
        <f>IF(hist!$D$2&gt;0,hist!B165/hist!$D$2,0)</f>
        <v>0</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v>
      </c>
      <c r="D167" s="50">
        <f>IF(hist!$D$2&gt;0,hist!B167/hist!$D$2,0)</f>
        <v>0</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v>
      </c>
      <c r="D170" s="50">
        <f>IF(hist!$D$2&gt;0,hist!B170/hist!$D$2,0)</f>
        <v>0</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0</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v>
      </c>
      <c r="D175" s="50">
        <f>IF(hist!$D$2&gt;0,hist!B175/hist!$D$2,0)</f>
        <v>0</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0</v>
      </c>
      <c r="D178" s="50">
        <f>IF(hist!$D$2&gt;0,hist!B178/hist!$D$2,0)</f>
        <v>0</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0</v>
      </c>
      <c r="D180" s="50">
        <f>IF(hist!$D$2&gt;0,hist!B180/hist!$D$2,0)</f>
        <v>0</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0</v>
      </c>
      <c r="D183" s="50">
        <f>IF(hist!$D$2&gt;0,hist!B183/hist!$D$2,0)</f>
        <v>0</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v>
      </c>
      <c r="D185" s="50">
        <f>IF(hist!$D$2&gt;0,hist!B185/hist!$D$2,0)</f>
        <v>0</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v>
      </c>
      <c r="D188" s="50">
        <f>IF(hist!$D$2&gt;0,hist!B188/hist!$D$2,0)</f>
        <v>0</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v>
      </c>
      <c r="D191" s="50">
        <f>IF(hist!$D$2&gt;0,hist!B191/hist!$D$2,0)</f>
        <v>0</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v>
      </c>
      <c r="D193" s="50">
        <f>IF(hist!$D$2&gt;0,hist!B193/hist!$D$2,0)</f>
        <v>0</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0</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27.069700000000001</v>
      </c>
      <c r="C5" s="49">
        <v>4.91195</v>
      </c>
      <c r="D5" s="49">
        <v>18.145600000000002</v>
      </c>
      <c r="E5" s="49">
        <v>20</v>
      </c>
      <c r="F5" s="49">
        <v>22.029199999999999</v>
      </c>
      <c r="G5" s="49">
        <v>50</v>
      </c>
      <c r="H5" s="49">
        <v>37.807299999999998</v>
      </c>
    </row>
    <row r="6" spans="1:10">
      <c r="A6" t="s">
        <v>1111</v>
      </c>
      <c r="B6" s="49">
        <v>34.530299999999997</v>
      </c>
      <c r="C6" s="49">
        <v>4.0216700000000003</v>
      </c>
      <c r="D6" s="49">
        <v>11.646800000000001</v>
      </c>
      <c r="E6" s="49">
        <v>20</v>
      </c>
      <c r="F6" s="49">
        <v>30.729500000000002</v>
      </c>
      <c r="G6" s="49">
        <v>40</v>
      </c>
      <c r="H6" s="49">
        <v>43.401899999999998</v>
      </c>
    </row>
    <row r="7" spans="1:10">
      <c r="A7" t="s">
        <v>1112</v>
      </c>
      <c r="B7" s="49">
        <v>20.0122</v>
      </c>
      <c r="C7" s="49">
        <v>7.3878599999999999</v>
      </c>
      <c r="D7" s="49">
        <v>36.916800000000002</v>
      </c>
      <c r="E7" s="49">
        <v>15</v>
      </c>
      <c r="F7" s="49">
        <v>9.2157499999999999</v>
      </c>
      <c r="G7" s="49">
        <v>40</v>
      </c>
      <c r="H7" s="49">
        <v>50.004300000000001</v>
      </c>
    </row>
    <row r="8" spans="1:10">
      <c r="A8" t="s">
        <v>1113</v>
      </c>
      <c r="B8" s="49">
        <v>29.078299999999999</v>
      </c>
      <c r="C8" s="49">
        <v>1.0307599999999999</v>
      </c>
      <c r="D8" s="49">
        <v>3.5447700000000002</v>
      </c>
      <c r="E8" s="49">
        <v>20</v>
      </c>
      <c r="F8" s="49">
        <v>27.247299999999999</v>
      </c>
      <c r="G8" s="49">
        <v>50</v>
      </c>
      <c r="H8" s="49">
        <v>31.150300000000001</v>
      </c>
    </row>
    <row r="9" spans="1:10">
      <c r="A9" t="s">
        <v>1114</v>
      </c>
      <c r="B9" s="49">
        <v>56.441800000000001</v>
      </c>
      <c r="C9" s="49">
        <v>6.9394400000000003</v>
      </c>
      <c r="D9" s="49">
        <v>12.2949</v>
      </c>
      <c r="E9" s="49">
        <v>50</v>
      </c>
      <c r="F9" s="49">
        <v>45.416899999999998</v>
      </c>
      <c r="G9" s="49">
        <v>100</v>
      </c>
      <c r="H9" s="49">
        <v>68.928200000000004</v>
      </c>
    </row>
    <row r="10" spans="1:10">
      <c r="A10" t="s">
        <v>1115</v>
      </c>
      <c r="B10" s="49">
        <v>50.895499999999998</v>
      </c>
      <c r="C10" s="49">
        <v>2.9885700000000002</v>
      </c>
      <c r="D10" s="49">
        <v>5.8719599999999996</v>
      </c>
      <c r="E10" s="49">
        <v>40</v>
      </c>
      <c r="F10" s="49">
        <v>47.723300000000002</v>
      </c>
      <c r="G10" s="49">
        <v>100</v>
      </c>
      <c r="H10" s="49">
        <v>57.214100000000002</v>
      </c>
    </row>
    <row r="11" spans="1:10">
      <c r="A11" t="s">
        <v>1116</v>
      </c>
      <c r="B11" s="49">
        <v>13.5084</v>
      </c>
      <c r="C11" s="49">
        <v>1.68581</v>
      </c>
      <c r="D11" s="49">
        <v>12.479799999999999</v>
      </c>
      <c r="E11" s="49">
        <v>10</v>
      </c>
      <c r="F11" s="49">
        <v>12.205399999999999</v>
      </c>
      <c r="G11" s="49">
        <v>50</v>
      </c>
      <c r="H11" s="49">
        <v>16.809200000000001</v>
      </c>
    </row>
    <row r="12" spans="1:10">
      <c r="A12" t="s">
        <v>1117</v>
      </c>
      <c r="B12" s="49">
        <v>55.439900000000002</v>
      </c>
      <c r="C12" s="49">
        <v>4.3662299999999998</v>
      </c>
      <c r="D12" s="49">
        <v>7.87561</v>
      </c>
      <c r="E12" s="49">
        <v>50</v>
      </c>
      <c r="F12" s="49">
        <v>47.635800000000003</v>
      </c>
      <c r="G12" s="49">
        <v>100</v>
      </c>
      <c r="H12" s="49">
        <v>62.484900000000003</v>
      </c>
    </row>
    <row r="13" spans="1:10">
      <c r="A13" t="s">
        <v>1118</v>
      </c>
      <c r="B13" s="49">
        <v>19.3718</v>
      </c>
      <c r="C13" s="49">
        <v>2.8243900000000002</v>
      </c>
      <c r="D13" s="49">
        <v>14.5799</v>
      </c>
      <c r="E13" s="49">
        <v>10</v>
      </c>
      <c r="F13" s="49">
        <v>16.397099999999998</v>
      </c>
      <c r="G13" s="49">
        <v>25</v>
      </c>
      <c r="H13" s="49">
        <v>25.5045</v>
      </c>
      <c r="J13" s="49"/>
    </row>
    <row r="14" spans="1:10">
      <c r="A14" t="s">
        <v>1119</v>
      </c>
      <c r="B14" s="49">
        <v>28.2439</v>
      </c>
      <c r="C14" s="49">
        <v>10.9001</v>
      </c>
      <c r="D14" s="49">
        <v>38.592799999999997</v>
      </c>
      <c r="E14" s="49">
        <v>10</v>
      </c>
      <c r="F14" s="49">
        <v>1.2140500000000001</v>
      </c>
      <c r="G14" s="49">
        <v>50</v>
      </c>
      <c r="H14" s="49">
        <v>35.2622</v>
      </c>
    </row>
    <row r="15" spans="1:10">
      <c r="A15" t="s">
        <v>1120</v>
      </c>
      <c r="B15" s="49">
        <v>-3.37176E-2</v>
      </c>
      <c r="C15" s="49">
        <v>0</v>
      </c>
      <c r="D15" s="49">
        <v>0</v>
      </c>
      <c r="E15" s="49">
        <v>0</v>
      </c>
      <c r="F15" s="49">
        <v>0</v>
      </c>
      <c r="G15" s="49">
        <v>0</v>
      </c>
      <c r="H15" s="49">
        <v>0</v>
      </c>
    </row>
    <row r="16" spans="1:10">
      <c r="A16" t="s">
        <v>1121</v>
      </c>
      <c r="B16" s="49">
        <v>-2.00428E-2</v>
      </c>
      <c r="C16" s="49">
        <v>0</v>
      </c>
      <c r="D16" s="49">
        <v>0</v>
      </c>
      <c r="E16" s="49">
        <v>0</v>
      </c>
      <c r="F16" s="49">
        <v>0</v>
      </c>
      <c r="G16" s="49">
        <v>0</v>
      </c>
      <c r="H16" s="49">
        <v>0</v>
      </c>
    </row>
    <row r="17" spans="1:8">
      <c r="A17" t="s">
        <v>1122</v>
      </c>
      <c r="B17" s="49">
        <v>16.194900000000001</v>
      </c>
      <c r="C17" s="49">
        <v>0</v>
      </c>
      <c r="D17" s="49">
        <v>0</v>
      </c>
      <c r="E17" s="49">
        <v>0</v>
      </c>
      <c r="F17" s="49">
        <v>0</v>
      </c>
      <c r="G17" s="49">
        <v>0</v>
      </c>
      <c r="H17" s="49">
        <v>0</v>
      </c>
    </row>
    <row r="18" spans="1:8">
      <c r="A18" t="s">
        <v>1123</v>
      </c>
      <c r="B18" s="49">
        <v>0.65028200000000003</v>
      </c>
      <c r="C18" s="49">
        <v>0</v>
      </c>
      <c r="D18" s="49">
        <v>0</v>
      </c>
      <c r="E18" s="49">
        <v>0</v>
      </c>
      <c r="F18" s="49">
        <v>0</v>
      </c>
      <c r="G18" s="49">
        <v>0</v>
      </c>
      <c r="H18" s="49">
        <v>0</v>
      </c>
    </row>
    <row r="19" spans="1:8">
      <c r="A19" t="s">
        <v>1124</v>
      </c>
      <c r="B19" s="49">
        <v>0.70630599999999999</v>
      </c>
      <c r="C19" s="49">
        <v>0</v>
      </c>
      <c r="D19" s="49">
        <v>0</v>
      </c>
      <c r="E19" s="49">
        <v>0</v>
      </c>
      <c r="F19" s="49">
        <v>0</v>
      </c>
      <c r="G19" s="49">
        <v>0</v>
      </c>
      <c r="H19" s="49">
        <v>0</v>
      </c>
    </row>
    <row r="20" spans="1:8">
      <c r="A20" t="s">
        <v>1125</v>
      </c>
      <c r="B20" s="49">
        <v>5.7618499999999998E-3</v>
      </c>
      <c r="C20" s="49">
        <v>0.35572900000000002</v>
      </c>
      <c r="D20" s="49">
        <v>61.738700000000001</v>
      </c>
      <c r="E20" s="49">
        <v>0</v>
      </c>
      <c r="F20" s="49">
        <v>3.6281799999999999E-3</v>
      </c>
      <c r="G20" s="49">
        <v>0</v>
      </c>
      <c r="H20" s="49">
        <v>3.0789300000000002</v>
      </c>
    </row>
    <row r="21" spans="1:8">
      <c r="A21" t="s">
        <v>1126</v>
      </c>
      <c r="B21" s="49">
        <v>2.50446E-2</v>
      </c>
      <c r="C21" s="49">
        <v>1.5028999999999999</v>
      </c>
      <c r="D21" s="49">
        <v>60.009099999999997</v>
      </c>
      <c r="E21" s="49">
        <v>0</v>
      </c>
      <c r="F21" s="49">
        <v>5.0916700000000004E-3</v>
      </c>
      <c r="G21" s="49">
        <v>0</v>
      </c>
      <c r="H21" s="49">
        <v>7.0703100000000001</v>
      </c>
    </row>
    <row r="22" spans="1:8">
      <c r="A22" t="s">
        <v>1127</v>
      </c>
      <c r="B22" s="49">
        <v>34.146500000000003</v>
      </c>
      <c r="C22" s="49">
        <v>25.961200000000002</v>
      </c>
      <c r="D22" s="49">
        <v>0.76028899999999999</v>
      </c>
      <c r="E22" s="49">
        <v>0</v>
      </c>
      <c r="F22" s="49">
        <v>21.274799999999999</v>
      </c>
      <c r="G22" s="49">
        <v>0</v>
      </c>
      <c r="H22" s="49">
        <v>96.406000000000006</v>
      </c>
    </row>
    <row r="23" spans="1:8">
      <c r="A23" t="s">
        <v>1128</v>
      </c>
      <c r="B23" s="49">
        <v>25.1432</v>
      </c>
      <c r="C23" s="49">
        <v>2.8580000000000001</v>
      </c>
      <c r="D23" s="49">
        <v>0.11366900000000001</v>
      </c>
      <c r="E23" s="49">
        <v>0</v>
      </c>
      <c r="F23" s="49">
        <v>17.013300000000001</v>
      </c>
      <c r="G23" s="49">
        <v>0</v>
      </c>
      <c r="H23" s="49">
        <v>29.976900000000001</v>
      </c>
    </row>
    <row r="24" spans="1:8">
      <c r="A24" t="s">
        <v>1129</v>
      </c>
      <c r="B24" s="49">
        <v>6.7941800000000004E-3</v>
      </c>
      <c r="C24" s="49">
        <v>0.26041799999999998</v>
      </c>
      <c r="D24" s="49">
        <v>38.329500000000003</v>
      </c>
      <c r="E24" s="49">
        <v>0</v>
      </c>
      <c r="F24" s="49">
        <v>3.8757499999999999E-3</v>
      </c>
      <c r="G24" s="49">
        <v>0</v>
      </c>
      <c r="H24" s="49">
        <v>1.3338099999999999</v>
      </c>
    </row>
    <row r="25" spans="1:8">
      <c r="A25" t="s">
        <v>1130</v>
      </c>
      <c r="B25" s="49">
        <v>6.6613199999999997E-2</v>
      </c>
      <c r="C25" s="49">
        <v>0.75874699999999995</v>
      </c>
      <c r="D25" s="49">
        <v>11.3903</v>
      </c>
      <c r="E25" s="49">
        <v>0</v>
      </c>
      <c r="F25" s="49">
        <v>1.1041799999999999E-2</v>
      </c>
      <c r="G25" s="49">
        <v>0</v>
      </c>
      <c r="H25" s="49">
        <v>2.1739899999999999</v>
      </c>
    </row>
    <row r="26" spans="1:8">
      <c r="A26" t="s">
        <v>1131</v>
      </c>
      <c r="B26" s="49">
        <v>1.02457E-3</v>
      </c>
      <c r="C26" s="49">
        <v>1.9849100000000001E-2</v>
      </c>
      <c r="D26" s="49">
        <v>19.373100000000001</v>
      </c>
      <c r="E26" s="49">
        <v>0</v>
      </c>
      <c r="F26" s="173">
        <v>6.9177699999999997E-4</v>
      </c>
      <c r="G26" s="49">
        <v>0</v>
      </c>
      <c r="H26" s="49">
        <v>0.14924499999999999</v>
      </c>
    </row>
    <row r="27" spans="1:8">
      <c r="A27" t="s">
        <v>1132</v>
      </c>
      <c r="B27" s="173">
        <v>3.2733699999999999E-6</v>
      </c>
      <c r="C27" s="49">
        <v>9.6484399999999994E-3</v>
      </c>
      <c r="D27" s="49">
        <v>2947.56</v>
      </c>
      <c r="E27" s="49">
        <v>0</v>
      </c>
      <c r="F27" s="49">
        <v>-8.1635200000000005E-2</v>
      </c>
      <c r="G27" s="49">
        <v>0</v>
      </c>
      <c r="H27" s="49">
        <v>6.4655000000000004E-2</v>
      </c>
    </row>
    <row r="28" spans="1:8">
      <c r="A28" t="s">
        <v>1133</v>
      </c>
      <c r="B28" s="49">
        <v>3.37674E-3</v>
      </c>
      <c r="C28" s="49">
        <v>5.6756899999999999E-2</v>
      </c>
      <c r="D28" s="49">
        <v>16.808199999999999</v>
      </c>
      <c r="E28" s="49">
        <v>0</v>
      </c>
      <c r="F28" s="49">
        <v>9.1254300000000003E-4</v>
      </c>
      <c r="G28" s="49">
        <v>0</v>
      </c>
      <c r="H28" s="49">
        <v>0.263378</v>
      </c>
    </row>
    <row r="29" spans="1:8">
      <c r="A29" t="s">
        <v>1134</v>
      </c>
      <c r="B29" s="49">
        <v>59.620899999999999</v>
      </c>
      <c r="C29" s="49">
        <v>6.7435099999999997</v>
      </c>
      <c r="D29" s="49">
        <v>0.113106</v>
      </c>
      <c r="E29" s="49">
        <v>0</v>
      </c>
      <c r="F29" s="49">
        <v>38.541600000000003</v>
      </c>
      <c r="G29" s="49">
        <v>0</v>
      </c>
      <c r="H29" s="49">
        <v>70.351799999999997</v>
      </c>
    </row>
    <row r="30" spans="1:8">
      <c r="A30" t="s">
        <v>1135</v>
      </c>
      <c r="B30" s="49">
        <v>18.069299999999998</v>
      </c>
      <c r="C30" s="49">
        <v>4.1189299999999998</v>
      </c>
      <c r="D30" s="49">
        <v>0.22795199999999999</v>
      </c>
      <c r="E30" s="49">
        <v>0</v>
      </c>
      <c r="F30" s="49">
        <v>14.7399</v>
      </c>
      <c r="G30" s="49">
        <v>0</v>
      </c>
      <c r="H30" s="49">
        <v>27.774799999999999</v>
      </c>
    </row>
    <row r="31" spans="1:8">
      <c r="A31" t="s">
        <v>1136</v>
      </c>
      <c r="B31" s="49">
        <v>137.738</v>
      </c>
      <c r="C31" s="49">
        <v>20.581299999999999</v>
      </c>
      <c r="D31" s="49">
        <v>0.149424</v>
      </c>
      <c r="E31" s="49">
        <v>0</v>
      </c>
      <c r="F31" s="49">
        <v>108.428</v>
      </c>
      <c r="G31" s="49">
        <v>0</v>
      </c>
      <c r="H31" s="49">
        <v>177.78299999999999</v>
      </c>
    </row>
    <row r="32" spans="1:8">
      <c r="A32" t="s">
        <v>1137</v>
      </c>
      <c r="B32" s="49">
        <v>0.20012199999999999</v>
      </c>
      <c r="C32" s="49">
        <v>7.3878600000000003E-2</v>
      </c>
      <c r="D32" s="49">
        <v>0.369168</v>
      </c>
      <c r="E32" s="49">
        <v>0.15</v>
      </c>
      <c r="F32" s="49">
        <v>9.2157500000000003E-2</v>
      </c>
      <c r="G32" s="49">
        <v>0.4</v>
      </c>
      <c r="H32" s="49">
        <v>0.50004300000000002</v>
      </c>
    </row>
    <row r="33" spans="1:8">
      <c r="A33" t="s">
        <v>1138</v>
      </c>
      <c r="B33" s="49">
        <v>0.24559300000000001</v>
      </c>
      <c r="C33" s="49">
        <v>1.8737E-2</v>
      </c>
      <c r="D33" s="49">
        <v>7.6293E-2</v>
      </c>
      <c r="E33" s="49">
        <v>0</v>
      </c>
      <c r="F33" s="49">
        <v>0.229208</v>
      </c>
      <c r="G33" s="49">
        <v>0</v>
      </c>
      <c r="H33" s="49">
        <v>0.33013199999999998</v>
      </c>
    </row>
    <row r="34" spans="1:8">
      <c r="A34" t="s">
        <v>1139</v>
      </c>
      <c r="B34" s="49">
        <v>0.193718</v>
      </c>
      <c r="C34" s="49">
        <v>2.8243899999999999E-2</v>
      </c>
      <c r="D34" s="49">
        <v>0.14579900000000001</v>
      </c>
      <c r="E34" s="49">
        <v>0.1</v>
      </c>
      <c r="F34" s="49">
        <v>0.16397100000000001</v>
      </c>
      <c r="G34" s="49">
        <v>0.25</v>
      </c>
      <c r="H34" s="49">
        <v>0.25504500000000002</v>
      </c>
    </row>
    <row r="35" spans="1:8">
      <c r="A35" t="s">
        <v>1140</v>
      </c>
      <c r="B35" s="49">
        <v>7.8401700000000005E-2</v>
      </c>
      <c r="C35" s="49">
        <v>2.6157900000000001E-2</v>
      </c>
      <c r="D35" s="49">
        <v>0.33363999999999999</v>
      </c>
      <c r="E35" s="49">
        <v>0</v>
      </c>
      <c r="F35" s="49">
        <v>5.5354899999999999E-2</v>
      </c>
      <c r="G35" s="49">
        <v>0</v>
      </c>
      <c r="H35" s="49">
        <v>0.15085799999999999</v>
      </c>
    </row>
    <row r="36" spans="1:8">
      <c r="A36" t="s">
        <v>1141</v>
      </c>
      <c r="B36" s="49">
        <v>0.19272</v>
      </c>
      <c r="C36" s="49">
        <v>9.63952E-2</v>
      </c>
      <c r="D36" s="49">
        <v>0.50018399999999996</v>
      </c>
      <c r="E36" s="49">
        <v>0</v>
      </c>
      <c r="F36" s="49">
        <v>5.04789E-2</v>
      </c>
      <c r="G36" s="49">
        <v>0</v>
      </c>
      <c r="H36" s="49">
        <v>0.53288199999999997</v>
      </c>
    </row>
    <row r="37" spans="1:8">
      <c r="A37" t="s">
        <v>1142</v>
      </c>
      <c r="B37" s="49">
        <v>0.282439</v>
      </c>
      <c r="C37" s="49">
        <v>0.109001</v>
      </c>
      <c r="D37" s="49">
        <v>0.38592799999999999</v>
      </c>
      <c r="E37" s="49">
        <v>0.1</v>
      </c>
      <c r="F37" s="49">
        <v>1.21405E-2</v>
      </c>
      <c r="G37" s="49">
        <v>0.5</v>
      </c>
      <c r="H37" s="49">
        <v>0.35262199999999999</v>
      </c>
    </row>
    <row r="38" spans="1:8">
      <c r="A38" t="s">
        <v>1143</v>
      </c>
      <c r="B38" s="49">
        <v>0</v>
      </c>
      <c r="C38" s="49">
        <v>132.982</v>
      </c>
      <c r="D38" s="49">
        <v>0</v>
      </c>
      <c r="E38" s="49">
        <v>0</v>
      </c>
      <c r="F38" s="49">
        <v>-158.33799999999999</v>
      </c>
      <c r="G38" s="49">
        <v>0</v>
      </c>
      <c r="H38" s="49">
        <v>666.09400000000005</v>
      </c>
    </row>
    <row r="39" spans="1:8">
      <c r="A39" t="s">
        <v>1144</v>
      </c>
      <c r="B39" s="49">
        <v>-6.5667099999999996</v>
      </c>
      <c r="C39" s="49">
        <v>19.8355</v>
      </c>
      <c r="D39" s="49">
        <v>-3.02061</v>
      </c>
      <c r="E39" s="49">
        <v>0</v>
      </c>
      <c r="F39" s="49">
        <v>-49.058799999999998</v>
      </c>
      <c r="G39" s="49">
        <v>0</v>
      </c>
      <c r="H39" s="49">
        <v>58.854399999999998</v>
      </c>
    </row>
    <row r="40" spans="1:8">
      <c r="A40" t="s">
        <v>1145</v>
      </c>
      <c r="B40" s="49">
        <v>-2.5955599999999999</v>
      </c>
      <c r="C40" s="49">
        <v>7.3655600000000003</v>
      </c>
      <c r="D40" s="49">
        <v>-2.8377500000000002</v>
      </c>
      <c r="E40" s="49">
        <v>0</v>
      </c>
      <c r="F40" s="49">
        <v>-5.0112300000000003</v>
      </c>
      <c r="G40" s="49">
        <v>0</v>
      </c>
      <c r="H40" s="49">
        <v>13.8558</v>
      </c>
    </row>
    <row r="41" spans="1:8">
      <c r="A41" t="s">
        <v>1146</v>
      </c>
      <c r="B41" s="49">
        <v>-3.6781099999999997E-2</v>
      </c>
      <c r="C41" s="49">
        <v>0.45759499999999997</v>
      </c>
      <c r="D41" s="49">
        <v>-12.441000000000001</v>
      </c>
      <c r="E41" s="49">
        <v>0</v>
      </c>
      <c r="F41" s="49">
        <v>-1</v>
      </c>
      <c r="G41" s="49">
        <v>0</v>
      </c>
      <c r="H41" s="49">
        <v>1</v>
      </c>
    </row>
    <row r="42" spans="1:8">
      <c r="A42" t="s">
        <v>1147</v>
      </c>
      <c r="B42" s="49">
        <v>-0.175395</v>
      </c>
      <c r="C42" s="49">
        <v>0.26691500000000001</v>
      </c>
      <c r="D42" s="49">
        <v>-1.5218</v>
      </c>
      <c r="E42" s="49">
        <v>0</v>
      </c>
      <c r="F42" s="49">
        <v>-0.82067199999999996</v>
      </c>
      <c r="G42" s="49">
        <v>0</v>
      </c>
      <c r="H42" s="49">
        <v>0.40556599999999998</v>
      </c>
    </row>
    <row r="43" spans="1:8">
      <c r="A43" t="s">
        <v>1148</v>
      </c>
      <c r="B43" s="49">
        <v>4.9694099999999998E-2</v>
      </c>
      <c r="C43" s="49">
        <v>0.161911</v>
      </c>
      <c r="D43" s="49">
        <v>3.2581600000000002</v>
      </c>
      <c r="E43" s="49">
        <v>0</v>
      </c>
      <c r="F43" s="49">
        <v>-2.9086999999999998E-2</v>
      </c>
      <c r="G43" s="49">
        <v>0</v>
      </c>
      <c r="H43" s="49">
        <v>0.40778999999999999</v>
      </c>
    </row>
    <row r="44" spans="1:8">
      <c r="A44" t="s">
        <v>1149</v>
      </c>
      <c r="B44" s="49">
        <v>-47.576700000000002</v>
      </c>
      <c r="C44" s="49">
        <v>30.719000000000001</v>
      </c>
      <c r="D44" s="49">
        <v>-0.64567399999999997</v>
      </c>
      <c r="E44" s="49">
        <v>0</v>
      </c>
      <c r="F44" s="49">
        <v>-77.871099999999998</v>
      </c>
      <c r="G44" s="49">
        <v>0</v>
      </c>
      <c r="H44" s="49">
        <v>22.5565</v>
      </c>
    </row>
    <row r="45" spans="1:8">
      <c r="A45" t="s">
        <v>1150</v>
      </c>
      <c r="B45" s="49">
        <v>56.112499999999997</v>
      </c>
      <c r="C45" s="49">
        <v>7.0102000000000002</v>
      </c>
      <c r="D45" s="49">
        <v>0.124931</v>
      </c>
      <c r="E45" s="49">
        <v>0</v>
      </c>
      <c r="F45" s="49">
        <v>41.547699999999999</v>
      </c>
      <c r="G45" s="49">
        <v>0</v>
      </c>
      <c r="H45" s="49">
        <v>70.523700000000005</v>
      </c>
    </row>
    <row r="46" spans="1:8">
      <c r="A46" t="s">
        <v>1151</v>
      </c>
      <c r="B46" s="49">
        <v>26.2804</v>
      </c>
      <c r="C46" s="49">
        <v>2.9514999999999998</v>
      </c>
      <c r="D46" s="49">
        <v>0.11230800000000001</v>
      </c>
      <c r="E46" s="49">
        <v>0</v>
      </c>
      <c r="F46" s="49">
        <v>21.582899999999999</v>
      </c>
      <c r="G46" s="49">
        <v>0</v>
      </c>
      <c r="H46" s="49">
        <v>30.297999999999998</v>
      </c>
    </row>
    <row r="47" spans="1:8">
      <c r="A47" t="s">
        <v>1152</v>
      </c>
      <c r="B47" s="49">
        <v>0.85371399999999997</v>
      </c>
      <c r="C47" s="49">
        <v>0.30583100000000002</v>
      </c>
      <c r="D47" s="49">
        <v>0.358236</v>
      </c>
      <c r="E47" s="49">
        <v>0</v>
      </c>
      <c r="F47" s="49">
        <v>0.37802200000000002</v>
      </c>
      <c r="G47" s="49">
        <v>0</v>
      </c>
      <c r="H47" s="49">
        <v>1.5964499999999999</v>
      </c>
    </row>
    <row r="48" spans="1:8">
      <c r="A48" t="s">
        <v>1153</v>
      </c>
      <c r="B48" s="49">
        <v>0.71124500000000002</v>
      </c>
      <c r="C48" s="49">
        <v>5.30809E-2</v>
      </c>
      <c r="D48" s="49">
        <v>7.46309E-2</v>
      </c>
      <c r="E48" s="49">
        <v>0</v>
      </c>
      <c r="F48" s="49">
        <v>0.612788</v>
      </c>
      <c r="G48" s="49">
        <v>0</v>
      </c>
      <c r="H48" s="49">
        <v>0.84379999999999999</v>
      </c>
    </row>
    <row r="50" spans="1:4">
      <c r="A50" t="str">
        <f>lang!B7</f>
        <v>긍정감정</v>
      </c>
      <c r="B50" s="134">
        <f>SUM(B9:B12)</f>
        <v>176.28559999999999</v>
      </c>
      <c r="C50" s="134"/>
      <c r="D50" s="134">
        <f t="shared" ref="D50" si="0">SUM(D9:D12)</f>
        <v>38.522269999999999</v>
      </c>
    </row>
    <row r="51" spans="1:4">
      <c r="A51" t="str">
        <f>lang!B8</f>
        <v>부정감정</v>
      </c>
      <c r="B51" s="134">
        <f>SUM(B5:B8)</f>
        <v>110.6905</v>
      </c>
      <c r="C51" s="134"/>
      <c r="D51" s="134">
        <f t="shared" ref="D51" si="1">SUM(D5:D8)</f>
        <v>70.25397000000001</v>
      </c>
    </row>
    <row r="52" spans="1:4">
      <c r="A52" t="str">
        <f>lang!B9</f>
        <v>생리감정</v>
      </c>
      <c r="B52" s="134">
        <f>SUM(B13:B14)</f>
        <v>47.615700000000004</v>
      </c>
      <c r="C52" s="134"/>
      <c r="D52" s="134">
        <f t="shared" ref="D52" si="2">SUM(D13:D14)</f>
        <v>53.172699999999999</v>
      </c>
    </row>
    <row r="53" spans="1:4">
      <c r="B53" s="50">
        <f>SUM(B50:B52)</f>
        <v>334.59179999999998</v>
      </c>
      <c r="D53" s="50">
        <f>SUM(D50:D52)</f>
        <v>161.94893999999999</v>
      </c>
    </row>
    <row r="54" spans="1:4">
      <c r="A54" t="str">
        <f>lang!B7</f>
        <v>긍정감정</v>
      </c>
      <c r="B54" s="135">
        <f>IF(B$53&lt;&gt;0,B50/B$53,0)</f>
        <v>0.52686766382200645</v>
      </c>
      <c r="C54" s="135"/>
      <c r="D54" s="135">
        <f>IF(D$53&lt;&gt;0,D50/D$53,0)</f>
        <v>0.23786676220295114</v>
      </c>
    </row>
    <row r="55" spans="1:4">
      <c r="A55" t="str">
        <f>lang!B8</f>
        <v>부정감정</v>
      </c>
      <c r="B55" s="135">
        <f>IF(B$53&lt;&gt;0,B51/B$53,0)</f>
        <v>0.33082251268560681</v>
      </c>
      <c r="C55" s="135"/>
      <c r="D55" s="135">
        <f>IF(D$53&lt;&gt;0,D51/D$53,0)</f>
        <v>0.43380320982650467</v>
      </c>
    </row>
    <row r="56" spans="1:4">
      <c r="A56" t="str">
        <f>lang!B9</f>
        <v>생리감정</v>
      </c>
      <c r="B56" s="135">
        <f>IF(B$53&lt;&gt;0,B52/B$53,0)</f>
        <v>0.14230982349238686</v>
      </c>
      <c r="C56" s="135"/>
      <c r="D56" s="135">
        <f>IF(D$53&lt;&gt;0,D52/D$53,0)</f>
        <v>0.32833002797054428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23.592199999999998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0.54509799999999997</v>
      </c>
      <c r="B8" s="49">
        <v>0.54509799999999997</v>
      </c>
    </row>
    <row r="9" spans="1:3">
      <c r="A9" s="49">
        <v>0</v>
      </c>
      <c r="B9" s="49">
        <v>0</v>
      </c>
    </row>
    <row r="10" spans="1:3">
      <c r="A10" s="49">
        <v>0.86274499999999998</v>
      </c>
      <c r="B10" s="49">
        <v>0.86274499999999998</v>
      </c>
    </row>
    <row r="11" spans="1:3">
      <c r="A11" s="49">
        <v>0</v>
      </c>
      <c r="B11" s="49">
        <v>0</v>
      </c>
    </row>
    <row r="12" spans="1:3">
      <c r="A12" s="49">
        <v>0</v>
      </c>
      <c r="B12" s="49">
        <v>0</v>
      </c>
    </row>
    <row r="13" spans="1:3">
      <c r="A13" s="49">
        <v>7.1594800000000003</v>
      </c>
      <c r="B13" s="49">
        <v>7.1594800000000003</v>
      </c>
    </row>
    <row r="14" spans="1:3">
      <c r="A14" s="49">
        <v>0</v>
      </c>
      <c r="B14" s="49">
        <v>0</v>
      </c>
    </row>
    <row r="15" spans="1:3">
      <c r="A15" s="49">
        <v>2.3856199999999999</v>
      </c>
      <c r="B15" s="49">
        <v>2.3856199999999999</v>
      </c>
    </row>
    <row r="16" spans="1:3">
      <c r="A16" s="49">
        <v>0</v>
      </c>
      <c r="B16" s="49">
        <v>0</v>
      </c>
    </row>
    <row r="17" spans="1:2">
      <c r="A17" s="49">
        <v>0</v>
      </c>
      <c r="B17" s="49">
        <v>0</v>
      </c>
    </row>
    <row r="18" spans="1:2">
      <c r="A18" s="49">
        <v>2.0993499999999998</v>
      </c>
      <c r="B18" s="49">
        <v>2.0993499999999998</v>
      </c>
    </row>
    <row r="19" spans="1:2">
      <c r="A19" s="49">
        <v>0</v>
      </c>
      <c r="B19" s="49">
        <v>0</v>
      </c>
    </row>
    <row r="20" spans="1:2">
      <c r="A20" s="49">
        <v>0</v>
      </c>
      <c r="B20" s="49">
        <v>0</v>
      </c>
    </row>
    <row r="21" spans="1:2">
      <c r="A21" s="49">
        <v>2.1490200000000002</v>
      </c>
      <c r="B21" s="49">
        <v>2.1490200000000002</v>
      </c>
    </row>
    <row r="22" spans="1:2">
      <c r="A22" s="49">
        <v>0</v>
      </c>
      <c r="B22" s="49">
        <v>0</v>
      </c>
    </row>
    <row r="23" spans="1:2">
      <c r="A23" s="49">
        <v>1.84575</v>
      </c>
      <c r="B23" s="49">
        <v>1.84575</v>
      </c>
    </row>
    <row r="24" spans="1:2">
      <c r="A24" s="49">
        <v>0</v>
      </c>
      <c r="B24" s="49">
        <v>0</v>
      </c>
    </row>
    <row r="25" spans="1:2">
      <c r="A25" s="49">
        <v>0</v>
      </c>
      <c r="B25" s="49">
        <v>0</v>
      </c>
    </row>
    <row r="26" spans="1:2">
      <c r="A26" s="49">
        <v>3.5359500000000001</v>
      </c>
      <c r="B26" s="49">
        <v>3.5359500000000001</v>
      </c>
    </row>
    <row r="27" spans="1:2">
      <c r="A27" s="49">
        <v>0</v>
      </c>
      <c r="B27" s="49">
        <v>0</v>
      </c>
    </row>
    <row r="28" spans="1:2">
      <c r="A28" s="49">
        <v>4.9385599999999998</v>
      </c>
      <c r="B28" s="49">
        <v>4.9385599999999998</v>
      </c>
    </row>
    <row r="29" spans="1:2">
      <c r="A29" s="49">
        <v>0</v>
      </c>
      <c r="B29" s="49">
        <v>0</v>
      </c>
    </row>
    <row r="30" spans="1:2">
      <c r="A30" s="49">
        <v>0</v>
      </c>
      <c r="B30" s="49">
        <v>0</v>
      </c>
    </row>
    <row r="31" spans="1:2">
      <c r="A31" s="49">
        <v>4.7882400000000001</v>
      </c>
      <c r="B31" s="49">
        <v>4.7882400000000001</v>
      </c>
    </row>
    <row r="32" spans="1:2">
      <c r="A32" s="49">
        <v>0</v>
      </c>
      <c r="B32" s="49">
        <v>0</v>
      </c>
    </row>
    <row r="33" spans="1:2">
      <c r="A33" s="49">
        <v>6.4562099999999996</v>
      </c>
      <c r="B33" s="49">
        <v>6.4562099999999996</v>
      </c>
    </row>
    <row r="34" spans="1:2">
      <c r="A34" s="49">
        <v>0</v>
      </c>
      <c r="B34" s="49">
        <v>0</v>
      </c>
    </row>
    <row r="35" spans="1:2">
      <c r="A35" s="49">
        <v>0</v>
      </c>
      <c r="B35" s="49">
        <v>0</v>
      </c>
    </row>
    <row r="36" spans="1:2">
      <c r="A36" s="49">
        <v>12.2784</v>
      </c>
      <c r="B36" s="49">
        <v>12.2784</v>
      </c>
    </row>
    <row r="37" spans="1:2">
      <c r="A37" s="49">
        <v>0</v>
      </c>
      <c r="B37" s="49">
        <v>0</v>
      </c>
    </row>
    <row r="38" spans="1:2">
      <c r="A38" s="49">
        <v>0</v>
      </c>
      <c r="B38" s="49">
        <v>0</v>
      </c>
    </row>
    <row r="39" spans="1:2">
      <c r="A39" s="49">
        <v>23.592199999999998</v>
      </c>
      <c r="B39" s="49">
        <v>23.592199999999998</v>
      </c>
    </row>
    <row r="40" spans="1:2">
      <c r="A40" s="49">
        <v>0</v>
      </c>
      <c r="B40" s="49">
        <v>0</v>
      </c>
    </row>
    <row r="41" spans="1:2">
      <c r="A41" s="49">
        <v>21.5869</v>
      </c>
      <c r="B41" s="49">
        <v>21.5869</v>
      </c>
    </row>
    <row r="42" spans="1:2">
      <c r="A42" s="49">
        <v>0</v>
      </c>
      <c r="B42" s="49">
        <v>0</v>
      </c>
    </row>
    <row r="43" spans="1:2">
      <c r="A43" s="49">
        <v>0</v>
      </c>
      <c r="B43" s="49">
        <v>0</v>
      </c>
    </row>
    <row r="44" spans="1:2">
      <c r="A44" s="49">
        <v>15.4131</v>
      </c>
      <c r="B44" s="49">
        <v>15.4131</v>
      </c>
    </row>
    <row r="45" spans="1:2">
      <c r="A45" s="49">
        <v>0</v>
      </c>
      <c r="B45" s="49">
        <v>0</v>
      </c>
    </row>
    <row r="46" spans="1:2">
      <c r="A46" s="49">
        <v>10.645799999999999</v>
      </c>
      <c r="B46" s="49">
        <v>10.645799999999999</v>
      </c>
    </row>
    <row r="47" spans="1:2">
      <c r="A47" s="49">
        <v>0</v>
      </c>
      <c r="B47" s="49">
        <v>0</v>
      </c>
    </row>
    <row r="48" spans="1:2">
      <c r="A48" s="49">
        <v>0</v>
      </c>
      <c r="B48" s="49">
        <v>0</v>
      </c>
    </row>
    <row r="49" spans="1:2">
      <c r="A49" s="49">
        <v>9.2640499999999992</v>
      </c>
      <c r="B49" s="49">
        <v>9.2640499999999992</v>
      </c>
    </row>
    <row r="50" spans="1:2">
      <c r="A50" s="49">
        <v>0</v>
      </c>
      <c r="B50" s="49">
        <v>0</v>
      </c>
    </row>
    <row r="51" spans="1:2">
      <c r="A51" s="49">
        <v>7.1699299999999999</v>
      </c>
      <c r="B51" s="49">
        <v>7.1699299999999999</v>
      </c>
    </row>
    <row r="52" spans="1:2">
      <c r="A52" s="49">
        <v>0</v>
      </c>
      <c r="B52" s="49">
        <v>0</v>
      </c>
    </row>
    <row r="53" spans="1:2">
      <c r="A53" s="49">
        <v>0</v>
      </c>
      <c r="B53" s="49">
        <v>0</v>
      </c>
    </row>
    <row r="54" spans="1:2">
      <c r="A54" s="49">
        <v>7.7673199999999998</v>
      </c>
      <c r="B54" s="49">
        <v>7.7673199999999998</v>
      </c>
    </row>
    <row r="55" spans="1:2">
      <c r="A55" s="49">
        <v>0</v>
      </c>
      <c r="B55" s="49">
        <v>0</v>
      </c>
    </row>
    <row r="56" spans="1:2">
      <c r="A56" s="49">
        <v>0</v>
      </c>
      <c r="B56" s="49">
        <v>0</v>
      </c>
    </row>
    <row r="57" spans="1:2">
      <c r="A57" s="49">
        <v>7.7241799999999996</v>
      </c>
      <c r="B57" s="49">
        <v>7.7241799999999996</v>
      </c>
    </row>
    <row r="58" spans="1:2">
      <c r="A58" s="49">
        <v>0</v>
      </c>
      <c r="B58" s="49">
        <v>0</v>
      </c>
    </row>
    <row r="59" spans="1:2">
      <c r="A59" s="49">
        <v>6.9189499999999997</v>
      </c>
      <c r="B59" s="49">
        <v>6.9189499999999997</v>
      </c>
    </row>
    <row r="60" spans="1:2">
      <c r="A60" s="49">
        <v>0</v>
      </c>
      <c r="B60" s="49">
        <v>0</v>
      </c>
    </row>
    <row r="61" spans="1:2">
      <c r="A61" s="49">
        <v>0</v>
      </c>
      <c r="B61" s="49">
        <v>0</v>
      </c>
    </row>
    <row r="62" spans="1:2">
      <c r="A62" s="49">
        <v>9.9751600000000007</v>
      </c>
      <c r="B62" s="49">
        <v>9.9751600000000007</v>
      </c>
    </row>
    <row r="63" spans="1:2">
      <c r="A63" s="49">
        <v>0</v>
      </c>
      <c r="B63" s="49">
        <v>0</v>
      </c>
    </row>
    <row r="64" spans="1:2">
      <c r="A64" s="49">
        <v>10.3124</v>
      </c>
      <c r="B64" s="49">
        <v>10.3124</v>
      </c>
    </row>
    <row r="65" spans="1:2">
      <c r="A65" s="49">
        <v>0</v>
      </c>
      <c r="B65" s="49">
        <v>0</v>
      </c>
    </row>
    <row r="66" spans="1:2">
      <c r="A66" s="49">
        <v>0</v>
      </c>
      <c r="B66" s="49">
        <v>0</v>
      </c>
    </row>
    <row r="67" spans="1:2">
      <c r="A67" s="49">
        <v>9.7529400000000006</v>
      </c>
      <c r="B67" s="49">
        <v>9.7529400000000006</v>
      </c>
    </row>
    <row r="68" spans="1:2">
      <c r="A68" s="49">
        <v>0</v>
      </c>
      <c r="B68" s="49">
        <v>0</v>
      </c>
    </row>
    <row r="69" spans="1:2">
      <c r="A69" s="49">
        <v>11.519</v>
      </c>
      <c r="B69" s="49">
        <v>11.519</v>
      </c>
    </row>
    <row r="70" spans="1:2">
      <c r="A70" s="49">
        <v>0</v>
      </c>
      <c r="B70" s="49">
        <v>0</v>
      </c>
    </row>
    <row r="71" spans="1:2">
      <c r="A71" s="49">
        <v>0</v>
      </c>
      <c r="B71" s="49">
        <v>0</v>
      </c>
    </row>
    <row r="72" spans="1:2">
      <c r="A72" s="49">
        <v>8.2705900000000003</v>
      </c>
      <c r="B72" s="49">
        <v>8.2705900000000003</v>
      </c>
    </row>
    <row r="73" spans="1:2">
      <c r="A73" s="49">
        <v>0</v>
      </c>
      <c r="B73" s="49">
        <v>0</v>
      </c>
    </row>
    <row r="74" spans="1:2">
      <c r="A74" s="49">
        <v>0</v>
      </c>
      <c r="B74" s="49">
        <v>0</v>
      </c>
    </row>
    <row r="75" spans="1:2">
      <c r="A75" s="49">
        <v>8.9215699999999991</v>
      </c>
      <c r="B75" s="49">
        <v>8.9215699999999991</v>
      </c>
    </row>
    <row r="76" spans="1:2">
      <c r="A76" s="49">
        <v>0</v>
      </c>
      <c r="B76" s="49">
        <v>0</v>
      </c>
    </row>
    <row r="77" spans="1:2">
      <c r="A77" s="49">
        <v>9.3647100000000005</v>
      </c>
      <c r="B77" s="49">
        <v>9.3647100000000005</v>
      </c>
    </row>
    <row r="78" spans="1:2">
      <c r="A78" s="49">
        <v>0</v>
      </c>
      <c r="B78" s="49">
        <v>0</v>
      </c>
    </row>
    <row r="79" spans="1:2">
      <c r="A79" s="49">
        <v>0</v>
      </c>
      <c r="B79" s="49">
        <v>0</v>
      </c>
    </row>
    <row r="80" spans="1:2">
      <c r="A80" s="49">
        <v>6.9372499999999997</v>
      </c>
      <c r="B80" s="49">
        <v>6.9372499999999997</v>
      </c>
    </row>
    <row r="81" spans="1:2">
      <c r="A81" s="49">
        <v>0</v>
      </c>
      <c r="B81" s="49">
        <v>0</v>
      </c>
    </row>
    <row r="82" spans="1:2">
      <c r="A82" s="49">
        <v>9.2196099999999994</v>
      </c>
      <c r="B82" s="49">
        <v>9.2196099999999994</v>
      </c>
    </row>
    <row r="83" spans="1:2">
      <c r="A83" s="49">
        <v>0</v>
      </c>
      <c r="B83" s="49">
        <v>0</v>
      </c>
    </row>
    <row r="84" spans="1:2">
      <c r="A84" s="49">
        <v>0</v>
      </c>
      <c r="B84" s="49">
        <v>0</v>
      </c>
    </row>
    <row r="85" spans="1:2">
      <c r="A85" s="49">
        <v>9.2392199999999995</v>
      </c>
      <c r="B85" s="49">
        <v>9.2392199999999995</v>
      </c>
    </row>
    <row r="86" spans="1:2">
      <c r="A86" s="49">
        <v>0</v>
      </c>
      <c r="B86" s="49">
        <v>0</v>
      </c>
    </row>
    <row r="87" spans="1:2">
      <c r="A87" s="49">
        <v>0</v>
      </c>
      <c r="B87" s="49">
        <v>0</v>
      </c>
    </row>
    <row r="88" spans="1:2">
      <c r="A88" s="49">
        <v>7.4928100000000004</v>
      </c>
      <c r="B88" s="49">
        <v>7.4928100000000004</v>
      </c>
    </row>
    <row r="89" spans="1:2">
      <c r="A89" s="49">
        <v>0</v>
      </c>
      <c r="B89" s="49">
        <v>0</v>
      </c>
    </row>
    <row r="90" spans="1:2">
      <c r="A90" s="49">
        <v>9.1346399999999992</v>
      </c>
      <c r="B90" s="49">
        <v>9.1346399999999992</v>
      </c>
    </row>
    <row r="91" spans="1:2">
      <c r="A91" s="49">
        <v>0</v>
      </c>
      <c r="B91" s="49">
        <v>0</v>
      </c>
    </row>
    <row r="92" spans="1:2">
      <c r="A92" s="49">
        <v>0</v>
      </c>
      <c r="B92" s="49">
        <v>0</v>
      </c>
    </row>
    <row r="93" spans="1:2">
      <c r="A93" s="49">
        <v>9.7202599999999997</v>
      </c>
      <c r="B93" s="49">
        <v>9.7202599999999997</v>
      </c>
    </row>
    <row r="94" spans="1:2">
      <c r="A94" s="49">
        <v>0</v>
      </c>
      <c r="B94" s="49">
        <v>0</v>
      </c>
    </row>
    <row r="95" spans="1:2">
      <c r="A95" s="49">
        <v>6.8875799999999998</v>
      </c>
      <c r="B95" s="49">
        <v>6.8875799999999998</v>
      </c>
    </row>
    <row r="96" spans="1:2">
      <c r="A96" s="49">
        <v>0</v>
      </c>
      <c r="B96" s="49">
        <v>0</v>
      </c>
    </row>
    <row r="97" spans="1:2">
      <c r="A97" s="49">
        <v>0</v>
      </c>
      <c r="B97" s="49">
        <v>0</v>
      </c>
    </row>
    <row r="98" spans="1:2">
      <c r="A98" s="49">
        <v>5.6313700000000004</v>
      </c>
      <c r="B98" s="49">
        <v>5.6313700000000004</v>
      </c>
    </row>
    <row r="99" spans="1:2">
      <c r="A99" s="49">
        <v>0</v>
      </c>
      <c r="B99" s="49">
        <v>0</v>
      </c>
    </row>
    <row r="100" spans="1:2">
      <c r="A100" s="49">
        <v>4.7346399999999997</v>
      </c>
      <c r="B100" s="49">
        <v>4.7346399999999997</v>
      </c>
    </row>
    <row r="101" spans="1:2">
      <c r="A101" s="49">
        <v>0</v>
      </c>
      <c r="B101" s="49">
        <v>0</v>
      </c>
    </row>
    <row r="102" spans="1:2">
      <c r="A102" s="49">
        <v>0</v>
      </c>
      <c r="B102" s="49">
        <v>0</v>
      </c>
    </row>
    <row r="103" spans="1:2">
      <c r="A103" s="49">
        <v>4.6692799999999997</v>
      </c>
      <c r="B103" s="49">
        <v>4.6692799999999997</v>
      </c>
    </row>
    <row r="104" spans="1:2">
      <c r="A104" s="49">
        <v>0</v>
      </c>
      <c r="B104" s="49">
        <v>0</v>
      </c>
    </row>
    <row r="105" spans="1:2">
      <c r="A105" s="49">
        <v>0</v>
      </c>
      <c r="B105" s="49">
        <v>0</v>
      </c>
    </row>
    <row r="106" spans="1:2">
      <c r="A106" s="49">
        <v>3.5477099999999999</v>
      </c>
      <c r="B106" s="49">
        <v>3.5477099999999999</v>
      </c>
    </row>
    <row r="107" spans="1:2">
      <c r="A107" s="49">
        <v>0</v>
      </c>
      <c r="B107" s="49">
        <v>0</v>
      </c>
    </row>
    <row r="108" spans="1:2">
      <c r="A108" s="49">
        <v>3.1699299999999999</v>
      </c>
      <c r="B108" s="49">
        <v>3.1699299999999999</v>
      </c>
    </row>
    <row r="109" spans="1:2">
      <c r="A109" s="49">
        <v>0</v>
      </c>
      <c r="B109" s="49">
        <v>0</v>
      </c>
    </row>
    <row r="110" spans="1:2">
      <c r="A110" s="49">
        <v>0</v>
      </c>
      <c r="B110" s="49">
        <v>0</v>
      </c>
    </row>
    <row r="111" spans="1:2">
      <c r="A111" s="49">
        <v>2.78301</v>
      </c>
      <c r="B111" s="49">
        <v>2.78301</v>
      </c>
    </row>
    <row r="112" spans="1:2">
      <c r="A112" s="49">
        <v>0</v>
      </c>
      <c r="B112" s="49">
        <v>0</v>
      </c>
    </row>
    <row r="113" spans="1:2">
      <c r="A113" s="49">
        <v>1.8588199999999999</v>
      </c>
      <c r="B113" s="49">
        <v>1.8588199999999999</v>
      </c>
    </row>
    <row r="114" spans="1:2">
      <c r="A114" s="49">
        <v>0</v>
      </c>
      <c r="B114" s="49">
        <v>0</v>
      </c>
    </row>
    <row r="115" spans="1:2">
      <c r="A115" s="49">
        <v>0</v>
      </c>
      <c r="B115" s="49">
        <v>0</v>
      </c>
    </row>
    <row r="116" spans="1:2">
      <c r="A116" s="49">
        <v>0.97385600000000005</v>
      </c>
      <c r="B116" s="49">
        <v>0.97385600000000005</v>
      </c>
    </row>
    <row r="117" spans="1:2">
      <c r="A117" s="49">
        <v>0</v>
      </c>
      <c r="B117" s="49">
        <v>0</v>
      </c>
    </row>
    <row r="118" spans="1:2">
      <c r="A118" s="49">
        <v>0.51372600000000002</v>
      </c>
      <c r="B118" s="49">
        <v>0.51372600000000002</v>
      </c>
    </row>
    <row r="119" spans="1:2">
      <c r="A119" s="49">
        <v>0</v>
      </c>
      <c r="B119" s="49">
        <v>0</v>
      </c>
    </row>
    <row r="120" spans="1:2">
      <c r="A120" s="49">
        <v>0</v>
      </c>
      <c r="B120" s="49">
        <v>0</v>
      </c>
    </row>
    <row r="121" spans="1:2">
      <c r="A121" s="49">
        <v>0.34379100000000001</v>
      </c>
      <c r="B121" s="49">
        <v>0.34379100000000001</v>
      </c>
    </row>
    <row r="122" spans="1:2">
      <c r="A122" s="49">
        <v>0</v>
      </c>
      <c r="B122" s="49">
        <v>0</v>
      </c>
    </row>
    <row r="123" spans="1:2">
      <c r="A123" s="49">
        <v>0</v>
      </c>
      <c r="B123" s="49">
        <v>0</v>
      </c>
    </row>
    <row r="124" spans="1:2">
      <c r="A124" s="49">
        <v>0.24967300000000001</v>
      </c>
      <c r="B124" s="49">
        <v>0.24967300000000001</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0.257967</v>
      </c>
      <c r="B2" s="49">
        <v>0.45189299999999999</v>
      </c>
      <c r="C2">
        <v>0</v>
      </c>
      <c r="D2">
        <v>0</v>
      </c>
      <c r="E2" t="s">
        <v>1161</v>
      </c>
      <c r="F2" s="49">
        <f>IF(A2&lt;&gt;"",1,"")</f>
        <v>1</v>
      </c>
      <c r="G2">
        <f>IF($H8&gt;0,LOOKUP(COUNT(A2:A1000)*$H8,F2:F1000,A2:A1000),LOOKUP(1,F2:F1000,A2:A1000))</f>
        <v>0.26514599999999999</v>
      </c>
      <c r="H2">
        <f>IF($H8&gt;0,LOOKUP(COUNT(B2:B1000)*$H8,F2:F1000,B2:B1000),LOOKUP(1,F2:F1000,B2:B1000))</f>
        <v>0.44409599999999999</v>
      </c>
      <c r="J2" s="49">
        <f>IF(A2&lt;&gt;"",A2*10,"")</f>
        <v>2.5796700000000001</v>
      </c>
      <c r="K2" s="49">
        <f>IF(B2&lt;&gt;"",B2*100,"")</f>
        <v>45.189299999999996</v>
      </c>
      <c r="L2" s="49">
        <f>IF(F2&lt;&gt;"",IF(K2&lt;&gt;0,K2/J2,0),"")</f>
        <v>17.517473165172287</v>
      </c>
    </row>
    <row r="3" spans="1:12">
      <c r="A3" s="49">
        <v>0.26514599999999999</v>
      </c>
      <c r="B3" s="49">
        <v>0.44409599999999999</v>
      </c>
      <c r="C3">
        <v>0.39410000000000001</v>
      </c>
      <c r="D3">
        <v>0</v>
      </c>
      <c r="E3" t="s">
        <v>2560</v>
      </c>
      <c r="F3" s="49">
        <f>IF(A3&lt;&gt;"",F2+1,"")</f>
        <v>2</v>
      </c>
      <c r="G3">
        <f>IF($H9&gt;0,LOOKUP(COUNT(A2:A1000)*$H9,F2:F1000,A2:A1000),LOOKUP(1,F2:F1000,A2:A1000))</f>
        <v>0.20408699999999999</v>
      </c>
      <c r="H3">
        <f>IF($H9&gt;0,LOOKUP(COUNT(B2:B1000)*$H9,F2:F1000,B2:B1000),LOOKUP(1,F2:F1000,B2:B1000))</f>
        <v>0.59657800000000005</v>
      </c>
      <c r="J3" s="49">
        <f t="shared" ref="J3:J66" si="0">IF(A3&lt;&gt;"",A3*10,"")</f>
        <v>2.6514600000000002</v>
      </c>
      <c r="K3" s="49">
        <f t="shared" ref="K3:K66" si="1">IF(B3&lt;&gt;"",B3*100,"")</f>
        <v>44.409599999999998</v>
      </c>
      <c r="L3" s="49">
        <f t="shared" ref="L3:L66" si="2">IF(F3&lt;&gt;"",IF(K3&lt;&gt;0,K3/J3,0),"")</f>
        <v>16.749111810097077</v>
      </c>
    </row>
    <row r="4" spans="1:12">
      <c r="A4" s="49">
        <v>0.27165099999999998</v>
      </c>
      <c r="B4" s="49">
        <v>0.43870199999999998</v>
      </c>
      <c r="C4">
        <v>0.77986500000000003</v>
      </c>
      <c r="D4">
        <v>0</v>
      </c>
      <c r="E4" t="s">
        <v>2561</v>
      </c>
      <c r="F4" s="49">
        <f t="shared" ref="F4:F67" si="3">IF(A4&lt;&gt;"",F3+1,"")</f>
        <v>3</v>
      </c>
      <c r="G4" s="71" t="s">
        <v>209</v>
      </c>
      <c r="H4" s="23">
        <f>IF(ISERROR(G3-G2)=FALSE,(G3-G2)*10,0)</f>
        <v>-0.61058999999999997</v>
      </c>
      <c r="J4" s="49">
        <f t="shared" si="0"/>
        <v>2.7165099999999995</v>
      </c>
      <c r="K4" s="49">
        <f t="shared" si="1"/>
        <v>43.870199999999997</v>
      </c>
      <c r="L4" s="49">
        <f t="shared" si="2"/>
        <v>16.14947119649845</v>
      </c>
    </row>
    <row r="5" spans="1:12">
      <c r="A5" s="49">
        <v>0.27723300000000001</v>
      </c>
      <c r="B5" s="49">
        <v>0.43560500000000002</v>
      </c>
      <c r="C5">
        <v>1.18302</v>
      </c>
      <c r="D5">
        <v>0</v>
      </c>
      <c r="E5" t="s">
        <v>2562</v>
      </c>
      <c r="F5" s="49">
        <f t="shared" si="3"/>
        <v>4</v>
      </c>
      <c r="G5" s="71" t="s">
        <v>210</v>
      </c>
      <c r="H5" s="23">
        <f>IF(ISERROR(H3-H2)=FALSE,H3-H2,0)</f>
        <v>0.15248200000000006</v>
      </c>
      <c r="J5" s="49">
        <f t="shared" si="0"/>
        <v>2.7723300000000002</v>
      </c>
      <c r="K5" s="49">
        <f t="shared" si="1"/>
        <v>43.560500000000005</v>
      </c>
      <c r="L5" s="49">
        <f t="shared" si="2"/>
        <v>15.712595542377711</v>
      </c>
    </row>
    <row r="6" spans="1:12">
      <c r="A6" s="49">
        <v>0.27429999999999999</v>
      </c>
      <c r="B6" s="49">
        <v>0.44279800000000002</v>
      </c>
      <c r="C6">
        <v>1.60389</v>
      </c>
      <c r="D6">
        <v>0</v>
      </c>
      <c r="E6" t="s">
        <v>2563</v>
      </c>
      <c r="F6" s="49">
        <f t="shared" si="3"/>
        <v>5</v>
      </c>
      <c r="G6" s="71" t="s">
        <v>211</v>
      </c>
      <c r="H6" s="23">
        <f>IF(H4&lt;&gt;0,H5/H4,0)</f>
        <v>-0.24972895068704051</v>
      </c>
      <c r="J6" s="49">
        <f t="shared" si="0"/>
        <v>2.7429999999999999</v>
      </c>
      <c r="K6" s="49">
        <f t="shared" si="1"/>
        <v>44.279800000000002</v>
      </c>
      <c r="L6" s="49">
        <f t="shared" si="2"/>
        <v>16.142836310608825</v>
      </c>
    </row>
    <row r="7" spans="1:12">
      <c r="A7" s="49">
        <v>0.27060499999999998</v>
      </c>
      <c r="B7" s="49">
        <v>0.452932</v>
      </c>
      <c r="C7">
        <v>2.0245000000000002</v>
      </c>
      <c r="D7">
        <v>0</v>
      </c>
      <c r="E7" t="s">
        <v>2564</v>
      </c>
      <c r="F7" s="49">
        <f t="shared" si="3"/>
        <v>6</v>
      </c>
      <c r="G7" s="71" t="s">
        <v>212</v>
      </c>
      <c r="H7" s="23">
        <f>DEGREES(ATAN(H6))</f>
        <v>-14.021626082661891</v>
      </c>
      <c r="J7" s="49">
        <f t="shared" si="0"/>
        <v>2.7060499999999998</v>
      </c>
      <c r="K7" s="49">
        <f t="shared" si="1"/>
        <v>45.293199999999999</v>
      </c>
      <c r="L7" s="49">
        <f t="shared" si="2"/>
        <v>16.737754291310214</v>
      </c>
    </row>
    <row r="8" spans="1:12">
      <c r="A8" s="49">
        <v>0.26606000000000002</v>
      </c>
      <c r="B8" s="49">
        <v>0.464146</v>
      </c>
      <c r="C8">
        <v>2.41452</v>
      </c>
      <c r="D8">
        <v>0</v>
      </c>
      <c r="E8" t="s">
        <v>2565</v>
      </c>
      <c r="F8" s="49">
        <f t="shared" si="3"/>
        <v>7</v>
      </c>
      <c r="G8" s="71" t="s">
        <v>213</v>
      </c>
      <c r="H8" s="72">
        <v>0.1</v>
      </c>
      <c r="J8" s="49">
        <f t="shared" si="0"/>
        <v>2.6606000000000001</v>
      </c>
      <c r="K8" s="49">
        <f t="shared" si="1"/>
        <v>46.4146</v>
      </c>
      <c r="L8" s="49">
        <f t="shared" si="2"/>
        <v>17.445162745245433</v>
      </c>
    </row>
    <row r="9" spans="1:12">
      <c r="A9" s="49">
        <v>0.26150499999999999</v>
      </c>
      <c r="B9" s="49">
        <v>0.47275299999999998</v>
      </c>
      <c r="C9">
        <v>2.8159800000000001</v>
      </c>
      <c r="D9">
        <v>0</v>
      </c>
      <c r="E9" t="s">
        <v>2566</v>
      </c>
      <c r="F9" s="49">
        <f t="shared" si="3"/>
        <v>8</v>
      </c>
      <c r="G9" s="71" t="s">
        <v>214</v>
      </c>
      <c r="H9" s="72">
        <v>0.9</v>
      </c>
      <c r="J9" s="49">
        <f t="shared" si="0"/>
        <v>2.6150500000000001</v>
      </c>
      <c r="K9" s="49">
        <f t="shared" si="1"/>
        <v>47.275300000000001</v>
      </c>
      <c r="L9" s="49">
        <f t="shared" si="2"/>
        <v>18.078162941435153</v>
      </c>
    </row>
    <row r="10" spans="1:12">
      <c r="A10" s="49">
        <v>0.257517</v>
      </c>
      <c r="B10" s="49">
        <v>0.47334900000000002</v>
      </c>
      <c r="C10">
        <v>3.2317200000000001</v>
      </c>
      <c r="D10">
        <v>0</v>
      </c>
      <c r="E10" t="s">
        <v>2567</v>
      </c>
      <c r="F10" s="49">
        <f t="shared" si="3"/>
        <v>9</v>
      </c>
      <c r="G10" t="s">
        <v>215</v>
      </c>
      <c r="J10" s="49">
        <f t="shared" si="0"/>
        <v>2.57517</v>
      </c>
      <c r="K10" s="49">
        <f t="shared" si="1"/>
        <v>47.334900000000005</v>
      </c>
      <c r="L10" s="49">
        <f t="shared" si="2"/>
        <v>18.381271916028847</v>
      </c>
    </row>
    <row r="11" spans="1:12">
      <c r="A11" s="49">
        <v>0.25264500000000001</v>
      </c>
      <c r="B11" s="49">
        <v>0.47942699999999999</v>
      </c>
      <c r="C11">
        <v>3.6235300000000001</v>
      </c>
      <c r="D11">
        <v>0</v>
      </c>
      <c r="E11" t="s">
        <v>2568</v>
      </c>
      <c r="F11" s="49">
        <f t="shared" si="3"/>
        <v>10</v>
      </c>
      <c r="G11" s="71" t="s">
        <v>216</v>
      </c>
      <c r="H11" s="73">
        <f>MIN(B2:B1000)</f>
        <v>0.43560500000000002</v>
      </c>
      <c r="J11" s="49">
        <f t="shared" si="0"/>
        <v>2.5264500000000001</v>
      </c>
      <c r="K11" s="49">
        <f t="shared" si="1"/>
        <v>47.942700000000002</v>
      </c>
      <c r="L11" s="49">
        <f t="shared" si="2"/>
        <v>18.976310633497597</v>
      </c>
    </row>
    <row r="12" spans="1:12">
      <c r="A12" s="49">
        <v>0.24727099999999999</v>
      </c>
      <c r="B12" s="49">
        <v>0.48598999999999998</v>
      </c>
      <c r="C12">
        <v>4.0581300000000002</v>
      </c>
      <c r="D12">
        <v>0</v>
      </c>
      <c r="E12" t="s">
        <v>2569</v>
      </c>
      <c r="F12" s="49">
        <f t="shared" si="3"/>
        <v>11</v>
      </c>
      <c r="G12" s="71" t="s">
        <v>218</v>
      </c>
      <c r="H12" s="73">
        <f>MAX(B2:B1000)</f>
        <v>0.60027900000000001</v>
      </c>
      <c r="J12" s="49">
        <f t="shared" si="0"/>
        <v>2.4727099999999997</v>
      </c>
      <c r="K12" s="49">
        <f t="shared" si="1"/>
        <v>48.598999999999997</v>
      </c>
      <c r="L12" s="49">
        <f t="shared" si="2"/>
        <v>19.654144642922137</v>
      </c>
    </row>
    <row r="13" spans="1:12">
      <c r="A13" s="49">
        <v>0.24124799999999999</v>
      </c>
      <c r="B13" s="49">
        <v>0.49346699999999999</v>
      </c>
      <c r="C13">
        <v>4.4418699999999998</v>
      </c>
      <c r="D13">
        <v>0</v>
      </c>
      <c r="E13" t="s">
        <v>2570</v>
      </c>
      <c r="F13" s="49">
        <f t="shared" si="3"/>
        <v>12</v>
      </c>
      <c r="G13" s="71" t="s">
        <v>220</v>
      </c>
      <c r="H13">
        <f>MATCH($H$11,B2:B1000,0)</f>
        <v>4</v>
      </c>
      <c r="J13" s="49">
        <f t="shared" si="0"/>
        <v>2.41248</v>
      </c>
      <c r="K13" s="49">
        <f t="shared" si="1"/>
        <v>49.346699999999998</v>
      </c>
      <c r="L13" s="49">
        <f t="shared" si="2"/>
        <v>20.454760246717072</v>
      </c>
    </row>
    <row r="14" spans="1:12">
      <c r="A14" s="49">
        <v>0.234761</v>
      </c>
      <c r="B14" s="49">
        <v>0.50332500000000002</v>
      </c>
      <c r="C14">
        <v>4.8492600000000001</v>
      </c>
      <c r="D14">
        <v>0</v>
      </c>
      <c r="E14" t="s">
        <v>2571</v>
      </c>
      <c r="F14" s="49">
        <f t="shared" si="3"/>
        <v>13</v>
      </c>
      <c r="G14" s="71" t="s">
        <v>221</v>
      </c>
      <c r="H14">
        <f>MATCH($H$12,B2:B1000,0)</f>
        <v>26</v>
      </c>
      <c r="J14" s="49">
        <f t="shared" si="0"/>
        <v>2.34761</v>
      </c>
      <c r="K14" s="49">
        <f t="shared" si="1"/>
        <v>50.332500000000003</v>
      </c>
      <c r="L14" s="49">
        <f t="shared" si="2"/>
        <v>21.439889930610281</v>
      </c>
    </row>
    <row r="15" spans="1:12">
      <c r="A15" s="49">
        <v>0.22850000000000001</v>
      </c>
      <c r="B15" s="49">
        <v>0.51563000000000003</v>
      </c>
      <c r="C15">
        <v>5.24681</v>
      </c>
      <c r="D15">
        <v>0</v>
      </c>
      <c r="E15" t="s">
        <v>2572</v>
      </c>
      <c r="F15" s="49">
        <f t="shared" si="3"/>
        <v>14</v>
      </c>
      <c r="G15">
        <f>LOOKUP($H13,F2:F1000,A2:A1000)</f>
        <v>0.27723300000000001</v>
      </c>
      <c r="H15">
        <f>LOOKUP($H13,F2:F1000,B2:B1000)</f>
        <v>0.43560500000000002</v>
      </c>
      <c r="J15" s="49">
        <f t="shared" si="0"/>
        <v>2.2850000000000001</v>
      </c>
      <c r="K15" s="49">
        <f t="shared" si="1"/>
        <v>51.563000000000002</v>
      </c>
      <c r="L15" s="49">
        <f t="shared" si="2"/>
        <v>22.565864332603937</v>
      </c>
    </row>
    <row r="16" spans="1:12">
      <c r="A16" s="49">
        <v>0.22273799999999999</v>
      </c>
      <c r="B16" s="49">
        <v>0.53071199999999996</v>
      </c>
      <c r="C16">
        <v>5.6741700000000002</v>
      </c>
      <c r="D16">
        <v>0</v>
      </c>
      <c r="E16" t="s">
        <v>2573</v>
      </c>
      <c r="F16" s="49">
        <f t="shared" si="3"/>
        <v>15</v>
      </c>
      <c r="G16">
        <f>LOOKUP($H14,F2:F1000,A2:A1000)</f>
        <v>0.20247699999999999</v>
      </c>
      <c r="H16">
        <f>LOOKUP($H14,F2:F1000,B2:B1000)</f>
        <v>0.60027900000000001</v>
      </c>
      <c r="J16" s="49">
        <f t="shared" si="0"/>
        <v>2.2273800000000001</v>
      </c>
      <c r="K16" s="49">
        <f t="shared" si="1"/>
        <v>53.071199999999997</v>
      </c>
      <c r="L16" s="49">
        <f t="shared" si="2"/>
        <v>23.826738140775259</v>
      </c>
    </row>
    <row r="17" spans="1:12">
      <c r="A17" s="49">
        <v>0.21757799999999999</v>
      </c>
      <c r="B17" s="49">
        <v>0.54793700000000001</v>
      </c>
      <c r="C17">
        <v>6.0635700000000003</v>
      </c>
      <c r="D17">
        <v>0</v>
      </c>
      <c r="E17" t="s">
        <v>2574</v>
      </c>
      <c r="F17" s="49">
        <f t="shared" si="3"/>
        <v>16</v>
      </c>
      <c r="J17" s="49">
        <f t="shared" si="0"/>
        <v>2.17578</v>
      </c>
      <c r="K17" s="49">
        <f t="shared" si="1"/>
        <v>54.793700000000001</v>
      </c>
      <c r="L17" s="49">
        <f t="shared" si="2"/>
        <v>25.183474432157663</v>
      </c>
    </row>
    <row r="18" spans="1:12">
      <c r="A18" s="49">
        <v>0.21374199999999999</v>
      </c>
      <c r="B18" s="49">
        <v>0.56178099999999997</v>
      </c>
      <c r="C18">
        <v>6.49465</v>
      </c>
      <c r="D18">
        <v>0</v>
      </c>
      <c r="E18" t="s">
        <v>2575</v>
      </c>
      <c r="F18" s="49">
        <f t="shared" si="3"/>
        <v>17</v>
      </c>
      <c r="J18" s="49">
        <f t="shared" si="0"/>
        <v>2.1374199999999997</v>
      </c>
      <c r="K18" s="49">
        <f t="shared" si="1"/>
        <v>56.178100000000001</v>
      </c>
      <c r="L18" s="49">
        <f t="shared" si="2"/>
        <v>26.283135743092142</v>
      </c>
    </row>
    <row r="19" spans="1:12">
      <c r="A19" s="49">
        <v>0.210282</v>
      </c>
      <c r="B19" s="49">
        <v>0.57497500000000001</v>
      </c>
      <c r="C19">
        <v>6.88096</v>
      </c>
      <c r="D19">
        <v>0</v>
      </c>
      <c r="E19" t="s">
        <v>2576</v>
      </c>
      <c r="F19" s="49">
        <f t="shared" si="3"/>
        <v>18</v>
      </c>
      <c r="J19" s="49">
        <f t="shared" si="0"/>
        <v>2.1028199999999999</v>
      </c>
      <c r="K19" s="49">
        <f t="shared" si="1"/>
        <v>57.497500000000002</v>
      </c>
      <c r="L19" s="49">
        <f t="shared" si="2"/>
        <v>27.343044102681162</v>
      </c>
    </row>
    <row r="20" spans="1:12">
      <c r="A20" s="49">
        <v>0.20760000000000001</v>
      </c>
      <c r="B20" s="49">
        <v>0.58538900000000005</v>
      </c>
      <c r="C20">
        <v>7.2925800000000001</v>
      </c>
      <c r="D20">
        <v>0</v>
      </c>
      <c r="E20" t="s">
        <v>2577</v>
      </c>
      <c r="F20" s="49">
        <f t="shared" si="3"/>
        <v>19</v>
      </c>
      <c r="J20" s="49">
        <f t="shared" si="0"/>
        <v>2.0760000000000001</v>
      </c>
      <c r="K20" s="49">
        <f t="shared" si="1"/>
        <v>58.538900000000005</v>
      </c>
      <c r="L20" s="49">
        <f t="shared" si="2"/>
        <v>28.19792870905588</v>
      </c>
    </row>
    <row r="21" spans="1:12">
      <c r="A21" s="49">
        <v>0.206541</v>
      </c>
      <c r="B21" s="49">
        <v>0.58952300000000002</v>
      </c>
      <c r="C21">
        <v>7.6955999999999998</v>
      </c>
      <c r="D21">
        <v>0</v>
      </c>
      <c r="E21" t="s">
        <v>2578</v>
      </c>
      <c r="F21" s="49">
        <f t="shared" si="3"/>
        <v>20</v>
      </c>
      <c r="J21" s="49">
        <f t="shared" si="0"/>
        <v>2.06541</v>
      </c>
      <c r="K21" s="49">
        <f t="shared" si="1"/>
        <v>58.952300000000001</v>
      </c>
      <c r="L21" s="49">
        <f t="shared" si="2"/>
        <v>28.542662231711866</v>
      </c>
    </row>
    <row r="22" spans="1:12">
      <c r="A22" s="49">
        <v>0.20575499999999999</v>
      </c>
      <c r="B22" s="49">
        <v>0.59224299999999996</v>
      </c>
      <c r="C22">
        <v>8.0931099999999994</v>
      </c>
      <c r="D22">
        <v>0</v>
      </c>
      <c r="E22" t="s">
        <v>2579</v>
      </c>
      <c r="F22" s="49">
        <f t="shared" si="3"/>
        <v>21</v>
      </c>
      <c r="J22" s="49">
        <f t="shared" si="0"/>
        <v>2.05755</v>
      </c>
      <c r="K22" s="49">
        <f t="shared" si="1"/>
        <v>59.224299999999999</v>
      </c>
      <c r="L22" s="49">
        <f t="shared" si="2"/>
        <v>28.783893465529392</v>
      </c>
    </row>
    <row r="23" spans="1:12">
      <c r="A23" s="49">
        <v>0.20491599999999999</v>
      </c>
      <c r="B23" s="49">
        <v>0.59469099999999997</v>
      </c>
      <c r="C23">
        <v>8.5040999999999993</v>
      </c>
      <c r="D23">
        <v>0</v>
      </c>
      <c r="E23" t="s">
        <v>2580</v>
      </c>
      <c r="F23" s="49">
        <f t="shared" si="3"/>
        <v>22</v>
      </c>
      <c r="J23" s="49">
        <f t="shared" si="0"/>
        <v>2.0491599999999996</v>
      </c>
      <c r="K23" s="49">
        <f t="shared" si="1"/>
        <v>59.469099999999997</v>
      </c>
      <c r="L23" s="49">
        <f t="shared" si="2"/>
        <v>29.021208690390214</v>
      </c>
    </row>
    <row r="24" spans="1:12">
      <c r="A24" s="49">
        <v>0.20408699999999999</v>
      </c>
      <c r="B24" s="49">
        <v>0.59657800000000005</v>
      </c>
      <c r="C24">
        <v>8.9024199999999993</v>
      </c>
      <c r="D24">
        <v>0</v>
      </c>
      <c r="E24" t="s">
        <v>2581</v>
      </c>
      <c r="F24" s="49">
        <f t="shared" si="3"/>
        <v>23</v>
      </c>
      <c r="G24" t="s">
        <v>245</v>
      </c>
      <c r="H24">
        <f>COUNT(A2:A2000)</f>
        <v>26</v>
      </c>
      <c r="J24" s="49">
        <f t="shared" si="0"/>
        <v>2.04087</v>
      </c>
      <c r="K24" s="49">
        <f t="shared" si="1"/>
        <v>59.657800000000009</v>
      </c>
      <c r="L24" s="49">
        <f t="shared" si="2"/>
        <v>29.23155321015058</v>
      </c>
    </row>
    <row r="25" spans="1:12">
      <c r="A25" s="49">
        <v>0.20358299999999999</v>
      </c>
      <c r="B25" s="49">
        <v>0.59821500000000005</v>
      </c>
      <c r="C25">
        <v>9.3177699999999994</v>
      </c>
      <c r="D25">
        <v>0</v>
      </c>
      <c r="E25" t="s">
        <v>2582</v>
      </c>
      <c r="F25" s="49">
        <f t="shared" si="3"/>
        <v>24</v>
      </c>
      <c r="J25" s="49">
        <f t="shared" si="0"/>
        <v>2.0358299999999998</v>
      </c>
      <c r="K25" s="49">
        <f t="shared" si="1"/>
        <v>59.821500000000007</v>
      </c>
      <c r="L25" s="49">
        <f t="shared" si="2"/>
        <v>29.384329732836246</v>
      </c>
    </row>
    <row r="26" spans="1:12">
      <c r="A26" s="49">
        <v>0.203123</v>
      </c>
      <c r="B26" s="49">
        <v>0.59943299999999999</v>
      </c>
      <c r="C26">
        <v>9.7243200000000005</v>
      </c>
      <c r="D26">
        <v>0</v>
      </c>
      <c r="E26" t="s">
        <v>2583</v>
      </c>
      <c r="F26" s="49">
        <f t="shared" si="3"/>
        <v>25</v>
      </c>
      <c r="J26" s="49">
        <f t="shared" si="0"/>
        <v>2.0312299999999999</v>
      </c>
      <c r="K26" s="49">
        <f t="shared" si="1"/>
        <v>59.943300000000001</v>
      </c>
      <c r="L26" s="49">
        <f t="shared" si="2"/>
        <v>29.510838260561336</v>
      </c>
    </row>
    <row r="27" spans="1:12">
      <c r="A27" s="49">
        <v>0.20247699999999999</v>
      </c>
      <c r="B27" s="49">
        <v>0.60027900000000001</v>
      </c>
      <c r="C27">
        <v>10.120200000000001</v>
      </c>
      <c r="D27">
        <v>0</v>
      </c>
      <c r="E27" t="s">
        <v>2584</v>
      </c>
      <c r="F27" s="49">
        <f t="shared" si="3"/>
        <v>26</v>
      </c>
      <c r="J27" s="49">
        <f t="shared" si="0"/>
        <v>2.0247699999999997</v>
      </c>
      <c r="K27" s="49">
        <f t="shared" si="1"/>
        <v>60.027900000000002</v>
      </c>
      <c r="L27" s="49">
        <f t="shared" si="2"/>
        <v>29.646774695397507</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45819.755694444444</v>
      </c>
      <c r="B2" t="s">
        <v>2585</v>
      </c>
      <c r="C2" s="49"/>
      <c r="D2" s="49"/>
      <c r="E2" s="49">
        <v>4.9641500000000001</v>
      </c>
      <c r="F2" s="49">
        <v>1.14974</v>
      </c>
      <c r="G2" s="49">
        <v>0.48763600000000001</v>
      </c>
      <c r="H2" s="49">
        <v>0</v>
      </c>
      <c r="I2" s="49">
        <v>23.592199999999998</v>
      </c>
      <c r="J2" s="49">
        <v>37</v>
      </c>
      <c r="K2" s="49">
        <v>37</v>
      </c>
      <c r="L2" s="49">
        <v>100</v>
      </c>
      <c r="M2" s="521" t="s">
        <v>1549</v>
      </c>
      <c r="O2" s="565" t="str">
        <f>IF(FH_info!B2="","",TRIM(MID(SUBSTITUTE(FH_info!B2,"^",REPT(" ",LEN(FH_info!B2))),LEN(FH_info!B2)*2-LEN(FH_info!B2)+1,LEN(FH_info!B2))))</f>
        <v>Du0e</v>
      </c>
      <c r="P2" s="565" t="str">
        <f>IF(FH_info!O2="","",TRIM(MID(SUBSTITUTE(FH_info!O2," ",REPT(" ",LEN(FH_info!O2))),LEN(FH_info!O2)*1-LEN(FH_info!O2)+1,LEN(FH_info!O2))))</f>
        <v>Du0e</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23.592155000000002</v>
      </c>
      <c r="D2">
        <f>MAX(B2:B257)</f>
        <v>859.76989700000001</v>
      </c>
      <c r="G2" t="s">
        <v>1590</v>
      </c>
      <c r="H2">
        <v>4.9641479999999998</v>
      </c>
      <c r="I2">
        <v>23.592155000000002</v>
      </c>
      <c r="J2">
        <v>0</v>
      </c>
      <c r="K2">
        <v>37</v>
      </c>
      <c r="L2">
        <v>37</v>
      </c>
      <c r="M2">
        <v>1.1497409999999999</v>
      </c>
      <c r="N2">
        <v>0.48763600000000001</v>
      </c>
      <c r="O2">
        <v>0.237789</v>
      </c>
    </row>
    <row r="3" spans="1:15">
      <c r="A3">
        <v>0</v>
      </c>
      <c r="B3">
        <v>0</v>
      </c>
      <c r="G3" t="s">
        <v>1591</v>
      </c>
      <c r="H3">
        <v>4.9641479999999998</v>
      </c>
      <c r="I3">
        <v>859.76989700000001</v>
      </c>
      <c r="J3">
        <v>0</v>
      </c>
      <c r="K3">
        <v>6</v>
      </c>
      <c r="L3">
        <v>6</v>
      </c>
      <c r="M3">
        <v>0.31804700000000002</v>
      </c>
      <c r="N3">
        <v>0.32623400000000002</v>
      </c>
      <c r="O3">
        <v>0.106429</v>
      </c>
    </row>
    <row r="4" spans="1:15">
      <c r="A4">
        <v>0</v>
      </c>
      <c r="B4">
        <v>0</v>
      </c>
    </row>
    <row r="5" spans="1:15">
      <c r="A5">
        <v>9.8039000000000001E-2</v>
      </c>
      <c r="B5">
        <v>798.45617700000003</v>
      </c>
    </row>
    <row r="6" spans="1:15">
      <c r="A6">
        <v>0</v>
      </c>
      <c r="B6">
        <v>0</v>
      </c>
    </row>
    <row r="7" spans="1:15">
      <c r="A7">
        <v>0</v>
      </c>
      <c r="B7">
        <v>0</v>
      </c>
    </row>
    <row r="8" spans="1:15">
      <c r="A8">
        <v>0.54509799999999997</v>
      </c>
      <c r="B8">
        <v>859.76989700000001</v>
      </c>
    </row>
    <row r="9" spans="1:15">
      <c r="A9">
        <v>0</v>
      </c>
      <c r="B9">
        <v>0</v>
      </c>
    </row>
    <row r="10" spans="1:15">
      <c r="A10">
        <v>0.86274499999999998</v>
      </c>
      <c r="B10">
        <v>769.11895800000002</v>
      </c>
    </row>
    <row r="11" spans="1:15">
      <c r="A11">
        <v>0</v>
      </c>
      <c r="B11">
        <v>0</v>
      </c>
    </row>
    <row r="12" spans="1:15">
      <c r="A12">
        <v>0</v>
      </c>
      <c r="B12">
        <v>0</v>
      </c>
    </row>
    <row r="13" spans="1:15">
      <c r="A13">
        <v>7.1594769999999999</v>
      </c>
      <c r="B13">
        <v>414.40390000000002</v>
      </c>
    </row>
    <row r="14" spans="1:15">
      <c r="A14">
        <v>0</v>
      </c>
      <c r="B14">
        <v>0</v>
      </c>
    </row>
    <row r="15" spans="1:15">
      <c r="A15">
        <v>2.385621</v>
      </c>
      <c r="B15">
        <v>284.11370799999997</v>
      </c>
    </row>
    <row r="16" spans="1:15">
      <c r="A16">
        <v>0</v>
      </c>
      <c r="B16">
        <v>0</v>
      </c>
    </row>
    <row r="17" spans="1:2">
      <c r="A17">
        <v>0</v>
      </c>
      <c r="B17">
        <v>0</v>
      </c>
    </row>
    <row r="18" spans="1:2">
      <c r="A18">
        <v>2.0993460000000002</v>
      </c>
      <c r="B18">
        <v>227.07972699999999</v>
      </c>
    </row>
    <row r="19" spans="1:2">
      <c r="A19">
        <v>0</v>
      </c>
      <c r="B19">
        <v>0</v>
      </c>
    </row>
    <row r="20" spans="1:2">
      <c r="A20">
        <v>0</v>
      </c>
      <c r="B20">
        <v>0</v>
      </c>
    </row>
    <row r="21" spans="1:2">
      <c r="A21">
        <v>2.149019</v>
      </c>
      <c r="B21">
        <v>185.23791499999999</v>
      </c>
    </row>
    <row r="22" spans="1:2">
      <c r="A22">
        <v>0</v>
      </c>
      <c r="B22">
        <v>0</v>
      </c>
    </row>
    <row r="23" spans="1:2">
      <c r="A23">
        <v>1.8457520000000001</v>
      </c>
      <c r="B23">
        <v>152.568634</v>
      </c>
    </row>
    <row r="24" spans="1:2">
      <c r="A24">
        <v>0</v>
      </c>
      <c r="B24">
        <v>0</v>
      </c>
    </row>
    <row r="25" spans="1:2">
      <c r="A25">
        <v>0</v>
      </c>
      <c r="B25">
        <v>0</v>
      </c>
    </row>
    <row r="26" spans="1:2">
      <c r="A26">
        <v>3.5359479999999999</v>
      </c>
      <c r="B26">
        <v>133.032669</v>
      </c>
    </row>
    <row r="27" spans="1:2">
      <c r="A27">
        <v>0</v>
      </c>
      <c r="B27">
        <v>0</v>
      </c>
    </row>
    <row r="28" spans="1:2">
      <c r="A28">
        <v>4.9385620000000001</v>
      </c>
      <c r="B28">
        <v>118.03006000000001</v>
      </c>
    </row>
    <row r="29" spans="1:2">
      <c r="A29">
        <v>0</v>
      </c>
      <c r="B29">
        <v>0</v>
      </c>
    </row>
    <row r="30" spans="1:2">
      <c r="A30">
        <v>0</v>
      </c>
      <c r="B30">
        <v>0</v>
      </c>
    </row>
    <row r="31" spans="1:2">
      <c r="A31">
        <v>4.7882350000000002</v>
      </c>
      <c r="B31">
        <v>99.641829999999999</v>
      </c>
    </row>
    <row r="32" spans="1:2">
      <c r="A32">
        <v>0</v>
      </c>
      <c r="B32">
        <v>0</v>
      </c>
    </row>
    <row r="33" spans="1:2">
      <c r="A33">
        <v>6.4562090000000003</v>
      </c>
      <c r="B33">
        <v>85.618301000000002</v>
      </c>
    </row>
    <row r="34" spans="1:2">
      <c r="A34">
        <v>0</v>
      </c>
      <c r="B34">
        <v>0</v>
      </c>
    </row>
    <row r="35" spans="1:2">
      <c r="A35">
        <v>0</v>
      </c>
      <c r="B35">
        <v>0</v>
      </c>
    </row>
    <row r="36" spans="1:2">
      <c r="A36">
        <v>12.278432</v>
      </c>
      <c r="B36">
        <v>71.069282999999999</v>
      </c>
    </row>
    <row r="37" spans="1:2">
      <c r="A37">
        <v>0</v>
      </c>
      <c r="B37">
        <v>0</v>
      </c>
    </row>
    <row r="38" spans="1:2">
      <c r="A38">
        <v>0</v>
      </c>
      <c r="B38">
        <v>0</v>
      </c>
    </row>
    <row r="39" spans="1:2">
      <c r="A39">
        <v>23.592155000000002</v>
      </c>
      <c r="B39">
        <v>57.807842000000001</v>
      </c>
    </row>
    <row r="40" spans="1:2">
      <c r="A40">
        <v>0</v>
      </c>
      <c r="B40">
        <v>0</v>
      </c>
    </row>
    <row r="41" spans="1:2">
      <c r="A41">
        <v>21.586929000000001</v>
      </c>
      <c r="B41">
        <v>50.733330000000002</v>
      </c>
    </row>
    <row r="42" spans="1:2">
      <c r="A42">
        <v>0</v>
      </c>
      <c r="B42">
        <v>0</v>
      </c>
    </row>
    <row r="43" spans="1:2">
      <c r="A43">
        <v>0</v>
      </c>
      <c r="B43">
        <v>0</v>
      </c>
    </row>
    <row r="44" spans="1:2">
      <c r="A44">
        <v>15.413072</v>
      </c>
      <c r="B44">
        <v>46.486274999999999</v>
      </c>
    </row>
    <row r="45" spans="1:2">
      <c r="A45">
        <v>0</v>
      </c>
      <c r="B45">
        <v>0</v>
      </c>
    </row>
    <row r="46" spans="1:2">
      <c r="A46">
        <v>10.645752</v>
      </c>
      <c r="B46">
        <v>42.118954000000002</v>
      </c>
    </row>
    <row r="47" spans="1:2">
      <c r="A47">
        <v>0</v>
      </c>
      <c r="B47">
        <v>0</v>
      </c>
    </row>
    <row r="48" spans="1:2">
      <c r="A48">
        <v>0</v>
      </c>
      <c r="B48">
        <v>0</v>
      </c>
    </row>
    <row r="49" spans="1:2">
      <c r="A49">
        <v>9.2640519999999995</v>
      </c>
      <c r="B49">
        <v>40.197384</v>
      </c>
    </row>
    <row r="50" spans="1:2">
      <c r="A50">
        <v>0</v>
      </c>
      <c r="B50">
        <v>0</v>
      </c>
    </row>
    <row r="51" spans="1:2">
      <c r="A51">
        <v>7.1699339999999996</v>
      </c>
      <c r="B51">
        <v>38.265357999999999</v>
      </c>
    </row>
    <row r="52" spans="1:2">
      <c r="A52">
        <v>0</v>
      </c>
      <c r="B52">
        <v>0</v>
      </c>
    </row>
    <row r="53" spans="1:2">
      <c r="A53">
        <v>0</v>
      </c>
      <c r="B53">
        <v>0</v>
      </c>
    </row>
    <row r="54" spans="1:2">
      <c r="A54">
        <v>7.7673199999999998</v>
      </c>
      <c r="B54">
        <v>36.108497999999997</v>
      </c>
    </row>
    <row r="55" spans="1:2">
      <c r="A55">
        <v>0</v>
      </c>
      <c r="B55">
        <v>0</v>
      </c>
    </row>
    <row r="56" spans="1:2">
      <c r="A56">
        <v>0</v>
      </c>
      <c r="B56">
        <v>0</v>
      </c>
    </row>
    <row r="57" spans="1:2">
      <c r="A57">
        <v>7.724183</v>
      </c>
      <c r="B57">
        <v>32.911110000000001</v>
      </c>
    </row>
    <row r="58" spans="1:2">
      <c r="A58">
        <v>0</v>
      </c>
      <c r="B58">
        <v>0</v>
      </c>
    </row>
    <row r="59" spans="1:2">
      <c r="A59">
        <v>6.9189540000000003</v>
      </c>
      <c r="B59">
        <v>30.439216999999999</v>
      </c>
    </row>
    <row r="60" spans="1:2">
      <c r="A60">
        <v>0</v>
      </c>
      <c r="B60">
        <v>0</v>
      </c>
    </row>
    <row r="61" spans="1:2">
      <c r="A61">
        <v>0</v>
      </c>
      <c r="B61">
        <v>0</v>
      </c>
    </row>
    <row r="62" spans="1:2">
      <c r="A62">
        <v>9.9751630000000002</v>
      </c>
      <c r="B62">
        <v>28.712420000000002</v>
      </c>
    </row>
    <row r="63" spans="1:2">
      <c r="A63">
        <v>0</v>
      </c>
      <c r="B63">
        <v>0</v>
      </c>
    </row>
    <row r="64" spans="1:2">
      <c r="A64">
        <v>10.312419</v>
      </c>
      <c r="B64">
        <v>26.230063999999999</v>
      </c>
    </row>
    <row r="65" spans="1:2">
      <c r="A65">
        <v>0</v>
      </c>
      <c r="B65">
        <v>0</v>
      </c>
    </row>
    <row r="66" spans="1:2">
      <c r="A66">
        <v>0</v>
      </c>
      <c r="B66">
        <v>0</v>
      </c>
    </row>
    <row r="67" spans="1:2">
      <c r="A67">
        <v>9.7529409999999999</v>
      </c>
      <c r="B67">
        <v>23.798691000000002</v>
      </c>
    </row>
    <row r="68" spans="1:2">
      <c r="A68">
        <v>0</v>
      </c>
      <c r="B68">
        <v>0</v>
      </c>
    </row>
    <row r="69" spans="1:2">
      <c r="A69">
        <v>11.518954000000001</v>
      </c>
      <c r="B69">
        <v>22.478432000000002</v>
      </c>
    </row>
    <row r="70" spans="1:2">
      <c r="A70">
        <v>0</v>
      </c>
      <c r="B70">
        <v>0</v>
      </c>
    </row>
    <row r="71" spans="1:2">
      <c r="A71">
        <v>0</v>
      </c>
      <c r="B71">
        <v>0</v>
      </c>
    </row>
    <row r="72" spans="1:2">
      <c r="A72">
        <v>8.2705880000000001</v>
      </c>
      <c r="B72">
        <v>20.028759000000001</v>
      </c>
    </row>
    <row r="73" spans="1:2">
      <c r="A73">
        <v>0</v>
      </c>
      <c r="B73">
        <v>0</v>
      </c>
    </row>
    <row r="74" spans="1:2">
      <c r="A74">
        <v>0</v>
      </c>
      <c r="B74">
        <v>0</v>
      </c>
    </row>
    <row r="75" spans="1:2">
      <c r="A75">
        <v>8.9215689999999999</v>
      </c>
      <c r="B75">
        <v>17.526796000000001</v>
      </c>
    </row>
    <row r="76" spans="1:2">
      <c r="A76">
        <v>0</v>
      </c>
      <c r="B76">
        <v>0</v>
      </c>
    </row>
    <row r="77" spans="1:2">
      <c r="A77">
        <v>9.364706</v>
      </c>
      <c r="B77">
        <v>15.15817</v>
      </c>
    </row>
    <row r="78" spans="1:2">
      <c r="A78">
        <v>0</v>
      </c>
      <c r="B78">
        <v>0</v>
      </c>
    </row>
    <row r="79" spans="1:2">
      <c r="A79">
        <v>0</v>
      </c>
      <c r="B79">
        <v>0</v>
      </c>
    </row>
    <row r="80" spans="1:2">
      <c r="A80">
        <v>6.9372540000000003</v>
      </c>
      <c r="B80">
        <v>11.945098</v>
      </c>
    </row>
    <row r="81" spans="1:2">
      <c r="A81">
        <v>0</v>
      </c>
      <c r="B81">
        <v>0</v>
      </c>
    </row>
    <row r="82" spans="1:2">
      <c r="A82">
        <v>9.2196079999999991</v>
      </c>
      <c r="B82">
        <v>10.028758</v>
      </c>
    </row>
    <row r="83" spans="1:2">
      <c r="A83">
        <v>0</v>
      </c>
      <c r="B83">
        <v>0</v>
      </c>
    </row>
    <row r="84" spans="1:2">
      <c r="A84">
        <v>0</v>
      </c>
      <c r="B84">
        <v>0</v>
      </c>
    </row>
    <row r="85" spans="1:2">
      <c r="A85">
        <v>9.2392160000000008</v>
      </c>
      <c r="B85">
        <v>7.5581699999999996</v>
      </c>
    </row>
    <row r="86" spans="1:2">
      <c r="A86">
        <v>0</v>
      </c>
      <c r="B86">
        <v>0</v>
      </c>
    </row>
    <row r="87" spans="1:2">
      <c r="A87">
        <v>0</v>
      </c>
      <c r="B87">
        <v>0</v>
      </c>
    </row>
    <row r="88" spans="1:2">
      <c r="A88">
        <v>7.4928100000000004</v>
      </c>
      <c r="B88">
        <v>5.3542490000000003</v>
      </c>
    </row>
    <row r="89" spans="1:2">
      <c r="A89">
        <v>0</v>
      </c>
      <c r="B89">
        <v>0</v>
      </c>
    </row>
    <row r="90" spans="1:2">
      <c r="A90">
        <v>9.1346410000000002</v>
      </c>
      <c r="B90">
        <v>4.0261440000000004</v>
      </c>
    </row>
    <row r="91" spans="1:2">
      <c r="A91">
        <v>0</v>
      </c>
      <c r="B91">
        <v>0</v>
      </c>
    </row>
    <row r="92" spans="1:2">
      <c r="A92">
        <v>0</v>
      </c>
      <c r="B92">
        <v>0</v>
      </c>
    </row>
    <row r="93" spans="1:2">
      <c r="A93">
        <v>9.720262</v>
      </c>
      <c r="B93">
        <v>3.2313730000000001</v>
      </c>
    </row>
    <row r="94" spans="1:2">
      <c r="A94">
        <v>0</v>
      </c>
      <c r="B94">
        <v>0</v>
      </c>
    </row>
    <row r="95" spans="1:2">
      <c r="A95">
        <v>6.8875820000000001</v>
      </c>
      <c r="B95">
        <v>2.3620920000000001</v>
      </c>
    </row>
    <row r="96" spans="1:2">
      <c r="A96">
        <v>0</v>
      </c>
      <c r="B96">
        <v>0</v>
      </c>
    </row>
    <row r="97" spans="1:2">
      <c r="A97">
        <v>0</v>
      </c>
      <c r="B97">
        <v>0</v>
      </c>
    </row>
    <row r="98" spans="1:2">
      <c r="A98">
        <v>5.631373</v>
      </c>
      <c r="B98">
        <v>1.5660130000000001</v>
      </c>
    </row>
    <row r="99" spans="1:2">
      <c r="A99">
        <v>0</v>
      </c>
      <c r="B99">
        <v>0</v>
      </c>
    </row>
    <row r="100" spans="1:2">
      <c r="A100">
        <v>4.7346409999999999</v>
      </c>
      <c r="B100">
        <v>1.120261</v>
      </c>
    </row>
    <row r="101" spans="1:2">
      <c r="A101">
        <v>0</v>
      </c>
      <c r="B101">
        <v>0</v>
      </c>
    </row>
    <row r="102" spans="1:2">
      <c r="A102">
        <v>0</v>
      </c>
      <c r="B102">
        <v>0</v>
      </c>
    </row>
    <row r="103" spans="1:2">
      <c r="A103">
        <v>4.6692809999999998</v>
      </c>
      <c r="B103">
        <v>0.81699299999999997</v>
      </c>
    </row>
    <row r="104" spans="1:2">
      <c r="A104">
        <v>0</v>
      </c>
      <c r="B104">
        <v>0</v>
      </c>
    </row>
    <row r="105" spans="1:2">
      <c r="A105">
        <v>0</v>
      </c>
      <c r="B105">
        <v>0</v>
      </c>
    </row>
    <row r="106" spans="1:2">
      <c r="A106">
        <v>3.5477120000000002</v>
      </c>
      <c r="B106">
        <v>0.61960800000000005</v>
      </c>
    </row>
    <row r="107" spans="1:2">
      <c r="A107">
        <v>0</v>
      </c>
      <c r="B107">
        <v>0</v>
      </c>
    </row>
    <row r="108" spans="1:2">
      <c r="A108">
        <v>3.1699350000000002</v>
      </c>
      <c r="B108">
        <v>0.31634000000000001</v>
      </c>
    </row>
    <row r="109" spans="1:2">
      <c r="A109">
        <v>0</v>
      </c>
      <c r="B109">
        <v>0</v>
      </c>
    </row>
    <row r="110" spans="1:2">
      <c r="A110">
        <v>0</v>
      </c>
      <c r="B110">
        <v>0</v>
      </c>
    </row>
    <row r="111" spans="1:2">
      <c r="A111">
        <v>2.783007</v>
      </c>
      <c r="B111">
        <v>0.15947700000000001</v>
      </c>
    </row>
    <row r="112" spans="1:2">
      <c r="A112">
        <v>0</v>
      </c>
      <c r="B112">
        <v>0</v>
      </c>
    </row>
    <row r="113" spans="1:2">
      <c r="A113">
        <v>1.858824</v>
      </c>
      <c r="B113">
        <v>7.8431000000000001E-2</v>
      </c>
    </row>
    <row r="114" spans="1:2">
      <c r="A114">
        <v>0</v>
      </c>
      <c r="B114">
        <v>0</v>
      </c>
    </row>
    <row r="115" spans="1:2">
      <c r="A115">
        <v>0</v>
      </c>
      <c r="B115">
        <v>0</v>
      </c>
    </row>
    <row r="116" spans="1:2">
      <c r="A116">
        <v>0.97385600000000005</v>
      </c>
      <c r="B116">
        <v>4.4443999999999997E-2</v>
      </c>
    </row>
    <row r="117" spans="1:2">
      <c r="A117">
        <v>0</v>
      </c>
      <c r="B117">
        <v>0</v>
      </c>
    </row>
    <row r="118" spans="1:2">
      <c r="A118">
        <v>0.51372600000000002</v>
      </c>
      <c r="B118">
        <v>2.2221999999999999E-2</v>
      </c>
    </row>
    <row r="119" spans="1:2">
      <c r="A119">
        <v>0</v>
      </c>
      <c r="B119">
        <v>0</v>
      </c>
    </row>
    <row r="120" spans="1:2">
      <c r="A120">
        <v>0</v>
      </c>
      <c r="B120">
        <v>0</v>
      </c>
    </row>
    <row r="121" spans="1:2">
      <c r="A121">
        <v>0.34379100000000001</v>
      </c>
      <c r="B121">
        <v>9.1500000000000001E-3</v>
      </c>
    </row>
    <row r="122" spans="1:2">
      <c r="A122">
        <v>0</v>
      </c>
      <c r="B122">
        <v>0</v>
      </c>
    </row>
    <row r="123" spans="1:2">
      <c r="A123">
        <v>0</v>
      </c>
      <c r="B123">
        <v>0</v>
      </c>
    </row>
    <row r="124" spans="1:2">
      <c r="A124">
        <v>0.24967300000000001</v>
      </c>
      <c r="B124">
        <v>1.4378999999999999E-2</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-6.13355292045237
-6.13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-6.1335529204523667</v>
      </c>
      <c r="I4" s="322">
        <f>IF(Measurement!AQ7&lt;&gt;"",NORMSDIST((H6-$B$2)/$B$3)*100,"")</f>
        <v>0.22333664420814825</v>
      </c>
      <c r="J4" t="str">
        <f>Measurement!AR7</f>
        <v>위험</v>
      </c>
    </row>
    <row r="5" spans="1:11">
      <c r="B5" s="171">
        <v>-10</v>
      </c>
      <c r="C5" s="171">
        <f>NORMSDIST(($B5-$B$2)/$B$3)*100</f>
        <v>7.1097265868555281E-5</v>
      </c>
      <c r="G5" t="s">
        <v>1539</v>
      </c>
      <c r="H5" s="320">
        <f>IF(Measurement!AQ7&lt;-7,-7,Measurement!AQ7)</f>
        <v>-6.1335529204523667</v>
      </c>
      <c r="I5" s="321">
        <f>IF(Measurement!AQ7&lt;&gt;"",0,"")</f>
        <v>0</v>
      </c>
    </row>
    <row r="6" spans="1:11">
      <c r="B6" s="171">
        <f>B5+0.1</f>
        <v>-9.9</v>
      </c>
      <c r="C6" s="171">
        <f t="shared" ref="C6:C57" si="0">NORMSDIST(($B6-$B$2)/$B$3)*100</f>
        <v>9.1781224195367343E-5</v>
      </c>
      <c r="H6" s="320">
        <f>IF(Measurement!AQ7&lt;-7,-7,Measurement!AQ7)</f>
        <v>-6.1335529204523667</v>
      </c>
      <c r="I6" s="321">
        <f>IF(Measurement!AQ7&lt;&gt;"",NORMSDIST((H6-$B$2)/$B$3)*100,"")</f>
        <v>0.22333664420814825</v>
      </c>
    </row>
    <row r="7" spans="1:11">
      <c r="B7" s="171">
        <f t="shared" ref="B7:B70" si="1">B6+0.1</f>
        <v>-9.8000000000000007</v>
      </c>
      <c r="C7" s="171">
        <f t="shared" si="0"/>
        <v>1.1818368021892541E-4</v>
      </c>
      <c r="D7" s="171"/>
      <c r="H7" s="320">
        <f>IF(Measurement!AQ7&lt;&gt;"",-7,"")</f>
        <v>-7</v>
      </c>
      <c r="I7" s="321">
        <f>IF(Measurement!AQ7&lt;&gt;"",NORMSDIST((H6-$B$2)/$B$3)*100,"")</f>
        <v>0.22333664420814825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57.73</v>
      </c>
      <c r="V4" t="s">
        <v>1218</v>
      </c>
    </row>
    <row r="5" spans="1:29">
      <c r="B5" s="171">
        <v>0</v>
      </c>
      <c r="C5" s="171">
        <f>NORMSDIST(($B5-$B$2)/$B$3)*100</f>
        <v>1.2153167836658598</v>
      </c>
      <c r="H5">
        <f>info!W36</f>
        <v>57.730960000000003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57.730960000000003</v>
      </c>
      <c r="I6" s="171">
        <f>NORMSDIST((H6-$B$2)/$B$3)*100</f>
        <v>63.617056627339807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63.617056627339807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1.14974</v>
      </c>
    </row>
    <row r="3" spans="1:11" ht="18">
      <c r="A3" s="71" t="s">
        <v>1065</v>
      </c>
      <c r="B3" s="557">
        <v>0.71290976993199895</v>
      </c>
      <c r="C3" s="523"/>
      <c r="H3" s="561" t="s">
        <v>2223</v>
      </c>
      <c r="I3" s="562">
        <f>IF(I2=0,0,NORMSDIST((I2-$B$2)/$B$3)*100)</f>
        <v>14.631004201614797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1.15</v>
      </c>
    </row>
    <row r="6" spans="1:11">
      <c r="B6" s="23">
        <v>0</v>
      </c>
      <c r="C6" s="23">
        <f>NORMSDIST(($B6-$B$2)/$B$3)*100</f>
        <v>0.38478836223957635</v>
      </c>
      <c r="H6" s="205">
        <f>IF(info!V36&gt;I1,I1,info!V36)</f>
        <v>1.14974</v>
      </c>
      <c r="I6" s="560">
        <v>0</v>
      </c>
    </row>
    <row r="7" spans="1:11">
      <c r="B7" s="23">
        <f>B5+0.05</f>
        <v>0</v>
      </c>
      <c r="C7" s="23">
        <f t="shared" ref="C7:E58" si="0">NORMSDIST(($B7-$B$2)/$B$3)*100</f>
        <v>0.38478836223957635</v>
      </c>
      <c r="H7" s="205">
        <f>IF(info!V36&gt;I1,I1,info!V36)</f>
        <v>1.14974</v>
      </c>
      <c r="I7" s="560">
        <f>NORMSDIST((H7-$B$2)/$B$3)*100</f>
        <v>14.631004201614797</v>
      </c>
    </row>
    <row r="8" spans="1:11">
      <c r="B8" s="23">
        <f t="shared" ref="B8:B71" si="1">B7+0.05</f>
        <v>0.05</v>
      </c>
      <c r="C8" s="23">
        <f t="shared" si="0"/>
        <v>0.47295624138584591</v>
      </c>
      <c r="D8" s="171"/>
      <c r="H8" s="205">
        <v>0</v>
      </c>
      <c r="I8" s="560">
        <f>NORMSDIST((H7-$B$2)/$B$3)*100</f>
        <v>14.631004201614797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감정변이도1.15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1.14974</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1.14974</v>
      </c>
      <c r="I6" s="171">
        <f>NORMSDIST((H6-$B$2)/$B$3)*100</f>
        <v>3.7577000050183877E-2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3.7577000050183877E-2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45819.755694444444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Du0e</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 ca="1">Measurement!CG8</f>
        <v>10</v>
      </c>
      <c r="N12" s="234">
        <f>IF(O12=1,Measurement!CH8,"")</f>
        <v>7</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45819.755694444444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Du0e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 ca="1">Measurement!CG8</f>
        <v>10</v>
      </c>
      <c r="M12" s="234">
        <f>IF(N12=1,Measurement!CH8,"")</f>
        <v>7</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2025-06-11T09:08:28Z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