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7\vision^CVEY^1^1^\"/>
    </mc:Choice>
  </mc:AlternateContent>
  <xr:revisionPtr revIDLastSave="0" documentId="13_ncr:1_{E868BDA2-F8F0-44A7-8064-34848B12CCBA}"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7" i="33" l="1"/>
  <c r="H8" i="36"/>
  <c r="Q8" i="37"/>
  <c r="L7" i="39"/>
  <c r="H8" i="40"/>
  <c r="Q8" i="41"/>
  <c r="L7" i="43"/>
  <c r="H8" i="44"/>
  <c r="Q8" i="45"/>
  <c r="Q8" i="30"/>
  <c r="H8" i="37"/>
  <c r="Q8" i="38"/>
  <c r="H8" i="41"/>
  <c r="L8" i="36"/>
  <c r="L8" i="40"/>
  <c r="L8" i="44"/>
  <c r="L7" i="30"/>
  <c r="H8" i="33"/>
  <c r="Q8" i="36"/>
  <c r="L7" i="38"/>
  <c r="H8" i="39"/>
  <c r="Q8" i="40"/>
  <c r="L7" i="42"/>
  <c r="H8" i="43"/>
  <c r="Q8" i="44"/>
  <c r="L7" i="46"/>
  <c r="L8" i="41"/>
  <c r="L8" i="45"/>
  <c r="L8" i="33"/>
  <c r="L8" i="39"/>
  <c r="L8" i="43"/>
  <c r="L7" i="40"/>
  <c r="L8" i="37"/>
  <c r="Q8" i="33"/>
  <c r="H8" i="38"/>
  <c r="Q8" i="39"/>
  <c r="L7" i="41"/>
  <c r="H8" i="42"/>
  <c r="Q8" i="43"/>
  <c r="L7" i="45"/>
  <c r="Q2" i="14"/>
  <c r="H8" i="49"/>
  <c r="H8" i="30"/>
  <c r="L7" i="37"/>
  <c r="P2" i="14"/>
  <c r="L8" i="30"/>
  <c r="L8" i="38"/>
  <c r="L8" i="42"/>
  <c r="L8" i="46"/>
  <c r="L7" i="36"/>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0" i="1" l="1"/>
  <c r="I35" i="48" s="1"/>
  <c r="L7" i="1"/>
  <c r="I32" i="48" s="1"/>
  <c r="L8" i="1"/>
  <c r="I33" i="48" s="1"/>
  <c r="L16" i="1"/>
  <c r="I41" i="48" s="1"/>
  <c r="L15" i="1"/>
  <c r="I40" i="48" s="1"/>
  <c r="L11" i="1"/>
  <c r="I36"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V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B7" i="1"/>
  <c r="CA7" i="1"/>
  <c r="CA6" i="1" s="1"/>
  <c r="CD7" i="1"/>
  <c r="CC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4"/>
  <c r="O7" i="46"/>
  <c r="O7" i="42"/>
  <c r="O7" i="38"/>
  <c r="O7" i="30"/>
  <c r="O7" i="33"/>
  <c r="O7" i="43"/>
  <c r="O7" i="39"/>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9" i="1" l="1"/>
  <c r="Y8" i="1"/>
  <c r="A212" i="17"/>
  <c r="C211" i="17"/>
  <c r="B211" i="17" s="1"/>
  <c r="F209" i="11"/>
  <c r="B209" i="11"/>
  <c r="E209" i="11" s="1"/>
  <c r="A210" i="11"/>
  <c r="L33" i="48" l="1"/>
  <c r="L33" i="18"/>
  <c r="L34" i="48"/>
  <c r="L34" i="18"/>
  <c r="C212" i="17"/>
  <c r="B212" i="17" s="1"/>
  <c r="A213" i="17"/>
  <c r="F210" i="11"/>
  <c r="B210" i="11"/>
  <c r="E210" i="11" s="1"/>
  <c r="A211" i="11"/>
  <c r="Y10" i="1" l="1"/>
  <c r="Y14" i="1"/>
  <c r="Y16" i="1"/>
  <c r="Y11" i="1"/>
  <c r="C213" i="17"/>
  <c r="B213" i="17" s="1"/>
  <c r="A214" i="17"/>
  <c r="F211" i="11"/>
  <c r="A212" i="11"/>
  <c r="B211" i="11"/>
  <c r="E211" i="11" s="1"/>
  <c r="L36" i="48" l="1"/>
  <c r="L36" i="18"/>
  <c r="L41" i="48"/>
  <c r="L41" i="18"/>
  <c r="Y13" i="1"/>
  <c r="Y7" i="1"/>
  <c r="L39" i="48"/>
  <c r="L39" i="18"/>
  <c r="L35" i="48"/>
  <c r="L35" i="18"/>
  <c r="C214" i="17"/>
  <c r="B214" i="17" s="1"/>
  <c r="Y12" i="1" s="1"/>
  <c r="A215" i="17"/>
  <c r="F212" i="11"/>
  <c r="A213" i="11"/>
  <c r="B212" i="11"/>
  <c r="E212" i="11" s="1"/>
  <c r="L38" i="48" l="1"/>
  <c r="L38" i="18"/>
  <c r="L37" i="48"/>
  <c r="L37" i="18"/>
  <c r="L32" i="48"/>
  <c r="L32"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K15" i="18" l="1"/>
  <c r="CH10" i="1"/>
  <c r="CK10" i="1"/>
  <c r="CG18" i="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CB33"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CB34"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CB35"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CB36"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CB37"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CB38"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CB39" i="11" s="1"/>
  <c r="CB31" i="11" s="1"/>
  <c r="F508" i="11"/>
  <c r="J28" i="18" l="1"/>
  <c r="J28" i="48"/>
  <c r="C511" i="17"/>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CB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BA17" i="11" s="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<sst xmlns="http://schemas.openxmlformats.org/spreadsheetml/2006/main" count="7312" uniqueCount="2586">
  <si>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</si>
  <si>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</si>
  <si>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</si>
  <si>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</si>
  <si>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</si>
  <si>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</si>
  <si>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</si>
  <si>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</si>
  <si>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</si>
  <si>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</si>
  <si>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</si>
  <si>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</si>
  <si>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</si>
  <si>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</si>
  <si>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</si>
  <si>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</si>
  <si>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</si>
  <si>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</si>
  <si>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</si>
  <si>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</si>
  <si>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</si>
  <si>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</si>
  <si>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</si>
  <si>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</si>
  <si>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</si>
  <si>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</si>
  <si>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</si>
  <si>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</si>
  <si>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</si>
  <si>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</si>
  <si>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</si>
  <si>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</si>
  <si>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</si>
  <si>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</si>
  <si>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</si>
  <si>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</si>
  <si>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</si>
  <si>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</si>
  <si>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</si>
  <si>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</si>
  <si>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</si>
  <si>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</si>
  <si>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</si>
  <si>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</si>
  <si>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</si>
  <si>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</si>
  <si>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</si>
  <si>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</si>
  <si>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</si>
  <si>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</si>
  <si>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</si>
  <si>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</si>
  <si>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</si>
  <si>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</si>
  <si>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</si>
  <si>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</si>
  <si>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</si>
  <si>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</si>
  <si>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</si>
  <si>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</si>
  <si>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</si>
  <si>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</si>
  <si>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</si>
  <si>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</si>
  <si>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</si>
  <si>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</si>
  <si>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</si>
  <si>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</si>
  <si>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</si>
  <si>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</si>
  <si>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</si>
  <si>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</si>
  <si>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</si>
  <si>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</si>
  <si>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</si>
  <si>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</si>
  <si>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</si>
  <si>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</si>
  <si>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</si>
  <si>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</si>
  <si>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</si>
  <si>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</si>
  <si>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</si>
  <si>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</si>
  <si>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</si>
  <si>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</si>
  <si>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</si>
  <si>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</si>
  <si>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</si>
  <si>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</si>
  <si>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</si>
  <si>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</si>
  <si>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</si>
  <si>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</si>
  <si>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</si>
  <si>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</si>
  <si>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</si>
  <si>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</si>
  <si>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</si>
  <si>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</si>
  <si>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</si>
  <si>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</si>
  <si>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</si>
  <si>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</si>
  <si>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</si>
  <si>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</si>
  <si>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</si>
  <si>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</si>
  <si>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</si>
  <si>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</si>
  <si>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</si>
  <si>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</si>
  <si>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</si>
  <si>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</si>
  <si>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</si>
  <si>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</si>
  <si>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</si>
  <si>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</si>
  <si>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</si>
  <si>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</si>
  <si>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</si>
  <si>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</si>
  <si>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</si>
  <si>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</si>
  <si>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</si>
  <si>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</si>
  <si>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</si>
  <si>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</si>
  <si>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</si>
  <si>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</si>
  <si>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</si>
  <si>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</si>
  <si>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</si>
  <si>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</si>
  <si>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</si>
  <si>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</si>
  <si>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</si>
  <si>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</si>
  <si>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</si>
  <si>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</si>
  <si>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</si>
  <si>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</si>
  <si>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</si>
  <si>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</si>
  <si>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</si>
  <si>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</si>
  <si>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</si>
  <si>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</si>
  <si>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</si>
  <si>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</si>
  <si>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</si>
  <si>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</si>
  <si>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</si>
  <si>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</si>
  <si>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</si>
  <si>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</si>
  <si>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</si>
  <si>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</si>
  <si>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</si>
  <si>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</si>
  <si>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</si>
  <si>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</si>
  <si>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</si>
  <si>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</si>
  <si>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</si>
  <si>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</si>
  <si>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</si>
  <si>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</si>
  <si>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</si>
  <si>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</si>
  <si>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</si>
  <si>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</si>
  <si>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</si>
  <si>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</si>
  <si>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</si>
  <si>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</si>
  <si>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</si>
  <si>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</si>
  <si>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</si>
  <si>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</si>
  <si>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</si>
  <si>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</si>
  <si>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</si>
  <si>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</si>
  <si>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</si>
  <si>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</si>
  <si>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</si>
  <si>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</si>
  <si>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</si>
  <si>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</si>
  <si>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</si>
  <si>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</si>
  <si>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</si>
  <si>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</si>
  <si>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</si>
  <si>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</si>
  <si>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</si>
  <si>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</si>
  <si>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</si>
  <si>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</si>
  <si>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</si>
  <si>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</si>
  <si>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</si>
  <si>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</si>
  <si>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</si>
  <si>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</si>
  <si>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</si>
  <si>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</si>
  <si>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</si>
  <si>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</si>
  <si>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</si>
  <si>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</si>
  <si>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</si>
  <si>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</si>
  <si>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</si>
  <si>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</si>
  <si>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</si>
  <si>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</si>
  <si>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</si>
  <si>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</si>
  <si>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</si>
  <si>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</si>
  <si>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</si>
  <si>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</si>
  <si>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</si>
  <si>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</si>
  <si>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</si>
  <si>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</si>
  <si>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</si>
  <si>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</si>
  <si>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</si>
  <si>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</si>
  <si>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</si>
  <si>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</si>
  <si>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</si>
  <si>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</si>
  <si>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</si>
  <si>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</si>
  <si>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</si>
  <si>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</si>
  <si>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</si>
  <si>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</si>
  <si>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</si>
  <si>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</si>
  <si>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</si>
  <si>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</si>
  <si>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</si>
  <si>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</si>
  <si>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</si>
  <si>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</si>
  <si>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</si>
  <si>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</si>
  <si>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</si>
  <si>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</si>
  <si>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</si>
  <si>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</si>
  <si>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</si>
  <si>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</si>
  <si>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</si>
  <si>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</si>
  <si>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</si>
  <si>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</si>
  <si>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</si>
  <si>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</si>
  <si>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</si>
  <si>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</si>
  <si>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</si>
  <si>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</si>
  <si>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</si>
  <si>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</si>
  <si>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</si>
  <si>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</si>
  <si>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</si>
  <si>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</si>
  <si>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</si>
  <si>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</si>
  <si>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</si>
  <si>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</si>
  <si>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</si>
  <si>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</si>
  <si>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</si>
  <si>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</si>
  <si>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</si>
  <si>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</si>
  <si>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</si>
  <si>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</si>
  <si>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</si>
  <si>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</si>
  <si>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</si>
  <si>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</si>
  <si>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</si>
  <si>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</si>
  <si>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</si>
  <si>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</si>
  <si>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</si>
  <si>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</si>
  <si>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</si>
  <si>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</si>
  <si>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</si>
  <si>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</si>
  <si>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</si>
  <si>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</si>
  <si>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</si>
  <si>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</si>
  <si>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</si>
  <si>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</si>
  <si>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</si>
  <si>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</si>
  <si>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</si>
  <si>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</si>
  <si>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</si>
  <si>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</si>
  <si>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</si>
  <si>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</si>
  <si>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</si>
  <si>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</si>
  <si>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</si>
  <si>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</si>
  <si>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</si>
  <si>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</si>
  <si>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</si>
  <si>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</si>
  <si>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</si>
  <si>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</si>
  <si>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</si>
  <si>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</si>
  <si>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</si>
  <si>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</si>
  <si>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</si>
  <si>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</si>
  <si>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</si>
  <si>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</si>
  <si>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</si>
  <si>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</si>
  <si>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</si>
  <si>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</si>
  <si>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</si>
  <si>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</si>
  <si>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</si>
  <si>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</si>
  <si>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</si>
  <si>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</si>
  <si>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</si>
  <si>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</si>
  <si>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</si>
  <si>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</si>
  <si>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</si>
  <si>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</si>
  <si>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</si>
  <si>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</si>
  <si>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</si>
  <si>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</si>
  <si>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</si>
  <si>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</si>
  <si>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</si>
  <si>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</si>
  <si>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</si>
  <si>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</si>
  <si>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</si>
  <si>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</si>
  <si>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</si>
  <si>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</si>
  <si>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</si>
  <si>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</si>
  <si>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</si>
  <si>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</si>
  <si>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</si>
  <si>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</si>
  <si>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</si>
  <si>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</si>
  <si>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</si>
  <si>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</si>
  <si>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</si>
  <si>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</si>
  <si>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</si>
  <si>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</si>
  <si>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</si>
  <si>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</si>
  <si>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</si>
  <si>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</si>
  <si>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</si>
  <si>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</si>
  <si>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</si>
  <si>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</si>
  <si>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</si>
  <si>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</si>
  <si>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</si>
  <si>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</si>
  <si>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</si>
  <si>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</si>
  <si>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</si>
  <si>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</si>
  <si>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</si>
  <si>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</si>
  <si>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</si>
  <si>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</si>
  <si>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</si>
  <si>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</si>
  <si>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</si>
  <si>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</si>
  <si>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</si>
  <si>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</si>
  <si>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</si>
  <si>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</si>
  <si>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</si>
  <si>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</si>
  <si>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</si>
  <si>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</si>
  <si>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</si>
  <si>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</si>
  <si>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</si>
  <si>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</si>
  <si>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</si>
  <si>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</si>
  <si>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</si>
  <si>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</si>
  <si>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</si>
  <si>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</si>
  <si>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</si>
  <si>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</si>
  <si>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</si>
  <si>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</si>
  <si>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</si>
  <si>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</si>
  <si>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</si>
  <si>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</si>
  <si>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</si>
  <si>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</si>
  <si>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</si>
  <si>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</si>
  <si>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</si>
  <si>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</si>
  <si>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</si>
  <si>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</si>
  <si>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</si>
  <si>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</si>
  <si>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</si>
  <si>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</si>
  <si>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</si>
  <si>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</si>
  <si>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</si>
  <si>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</si>
  <si>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</si>
  <si>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</si>
  <si>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</si>
  <si>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</si>
  <si>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</si>
  <si>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</si>
  <si>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</si>
  <si>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</si>
  <si>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</si>
  <si>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</si>
  <si>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</si>
  <si>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</si>
  <si>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</si>
  <si>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</si>
  <si>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</si>
  <si>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</si>
  <si>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</si>
  <si>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</si>
  <si>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</si>
  <si>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</si>
  <si>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</si>
  <si>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</si>
  <si>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</si>
  <si>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</si>
  <si>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</si>
  <si>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</si>
  <si>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</si>
  <si>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</si>
  <si>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</si>
  <si>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</si>
  <si>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</si>
  <si>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</si>
  <si>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</si>
  <si>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</si>
  <si>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</si>
  <si>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</si>
  <si>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</si>
  <si>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</si>
  <si>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</si>
  <si>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</si>
  <si>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</si>
  <si>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</si>
  <si>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</si>
  <si>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</si>
  <si>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</si>
  <si>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</si>
  <si>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</si>
  <si>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</si>
  <si>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</si>
  <si>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</si>
  <si>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</si>
  <si>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</si>
  <si>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</si>
  <si>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</si>
  <si>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</si>
  <si>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</si>
  <si>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</si>
  <si>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</si>
  <si>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</si>
  <si>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</si>
  <si>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</si>
  <si>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</si>
  <si>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</si>
  <si>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</si>
  <si>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</si>
  <si>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</si>
  <si>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</si>
  <si>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</si>
  <si>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</si>
  <si>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</si>
  <si>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</si>
  <si>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</si>
  <si>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</si>
  <si>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</si>
  <si>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</si>
  <si>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</si>
  <si>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</si>
  <si>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</si>
  <si>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</si>
  <si>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</si>
  <si>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</si>
  <si>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</si>
  <si>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</si>
  <si>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</si>
  <si>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</si>
  <si>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</si>
  <si>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</si>
  <si>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</si>
  <si>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</si>
  <si>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</si>
  <si>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</si>
  <si>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</si>
  <si>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</si>
  <si>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</si>
  <si>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</si>
  <si>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</si>
  <si>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</si>
  <si>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</si>
  <si>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</si>
  <si>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</si>
  <si>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</si>
  <si>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</si>
  <si>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</si>
  <si>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</si>
  <si>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</si>
  <si>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</si>
  <si>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</si>
  <si>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</si>
  <si>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</si>
  <si>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</si>
  <si>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</si>
  <si>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</si>
  <si>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</si>
  <si>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</si>
  <si>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</si>
  <si>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</si>
  <si>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</si>
  <si>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</si>
  <si>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</si>
  <si>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</si>
  <si>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</si>
  <si>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</si>
  <si>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</si>
  <si>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</si>
  <si>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</si>
  <si>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</si>
  <si>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</si>
  <si>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</si>
  <si>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</si>
  <si>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</si>
  <si>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</si>
  <si>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</si>
  <si>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</si>
  <si>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</si>
  <si>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</si>
  <si>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</si>
  <si>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</si>
  <si>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</si>
  <si>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</si>
  <si>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</si>
  <si>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</si>
  <si>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</si>
  <si>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</si>
  <si>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</si>
  <si>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</si>
  <si>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</si>
  <si>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</si>
  <si>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</si>
  <si>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</si>
  <si>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</si>
  <si>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</si>
  <si>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</si>
  <si>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</si>
  <si>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</si>
  <si>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</si>
  <si>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</si>
  <si>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</si>
  <si>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</si>
  <si>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</si>
  <si>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</si>
  <si>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</si>
  <si>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</si>
  <si>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</si>
  <si>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</si>
  <si>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</si>
  <si>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</si>
  <si>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</si>
  <si>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</si>
  <si>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</si>
  <si>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</si>
  <si>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</si>
  <si>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</si>
  <si>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</si>
  <si>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</si>
  <si>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</si>
  <si>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</si>
  <si>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</si>
  <si>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</si>
  <si>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</si>
  <si>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</si>
  <si>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</si>
  <si>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</si>
  <si>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</si>
  <si>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</si>
  <si>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</si>
  <si>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</si>
  <si>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</si>
  <si>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</si>
  <si>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</si>
  <si>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</si>
  <si>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</si>
  <si>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</si>
  <si>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</si>
  <si>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</si>
  <si>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</si>
  <si>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</si>
  <si>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</si>
  <si>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</si>
  <si>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</si>
  <si>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</si>
  <si>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</si>
  <si>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</si>
  <si>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</si>
  <si>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</si>
  <si>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</si>
  <si>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</si>
  <si>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</si>
  <si>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</si>
  <si>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</si>
  <si>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</si>
  <si>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</si>
  <si>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</si>
  <si>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</si>
  <si>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</si>
  <si>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</si>
  <si>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</si>
  <si>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</si>
  <si>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</si>
  <si>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</si>
  <si>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</si>
  <si>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</si>
  <si>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</si>
  <si>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</si>
  <si>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</si>
  <si>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</si>
  <si>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</si>
  <si>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</si>
  <si>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</si>
  <si>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</si>
  <si>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</si>
  <si>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</si>
  <si>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</si>
  <si>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</si>
  <si>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</si>
  <si>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</si>
  <si>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</si>
  <si>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</si>
  <si>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</si>
  <si>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</si>
  <si>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</si>
  <si>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</si>
  <si>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</si>
  <si>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</si>
  <si>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</si>
  <si>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</si>
  <si>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</si>
  <si>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</si>
  <si>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</si>
  <si>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</si>
  <si>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</si>
  <si>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</si>
  <si>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</si>
  <si>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</si>
  <si>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</si>
  <si>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</si>
  <si>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</si>
  <si>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</si>
  <si>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</si>
  <si>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</si>
  <si>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</si>
  <si>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</si>
  <si>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</si>
  <si>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</si>
  <si>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</si>
  <si>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</si>
  <si>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</si>
  <si>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</si>
  <si>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</si>
  <si>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</si>
  <si>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</si>
  <si>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</si>
  <si>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</si>
  <si>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</si>
  <si>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</si>
  <si>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</si>
  <si>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</si>
  <si>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</si>
  <si>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</si>
  <si>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</si>
  <si>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</si>
  <si>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</si>
  <si>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</si>
  <si>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</si>
  <si>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</si>
  <si>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</si>
  <si>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</si>
  <si>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</si>
  <si>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</si>
  <si>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</si>
  <si>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</si>
  <si>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</si>
  <si>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</si>
  <si>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</si>
  <si>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</si>
  <si>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</si>
  <si>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</si>
  <si>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</si>
  <si>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</si>
  <si>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</si>
  <si>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</si>
  <si>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</si>
  <si>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</si>
  <si>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</si>
  <si>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</si>
  <si>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</si>
  <si>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</si>
  <si>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</si>
  <si>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</si>
  <si>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</si>
  <si>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</si>
  <si>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</si>
  <si>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</si>
  <si>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</si>
  <si>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</si>
  <si>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</si>
  <si>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</si>
  <si>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</si>
  <si>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</si>
  <si>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</si>
  <si>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</si>
  <si>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</si>
  <si>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</si>
  <si>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</si>
  <si>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</si>
  <si>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</si>
  <si>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</si>
  <si>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</si>
  <si>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</si>
  <si>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</si>
  <si>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</si>
  <si>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</si>
  <si>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</si>
  <si>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</si>
  <si>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</si>
  <si>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</si>
  <si>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</si>
  <si>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</si>
  <si>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</si>
  <si>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</si>
  <si>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</si>
  <si>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</si>
  <si>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</si>
  <si>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</si>
  <si>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</si>
  <si>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</si>
  <si>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</si>
  <si>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</si>
  <si>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</si>
  <si>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</si>
  <si>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</si>
  <si>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</si>
  <si>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</si>
  <si>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</si>
  <si>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</si>
  <si>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</si>
  <si>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</si>
  <si>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</si>
  <si>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</si>
  <si>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</si>
  <si>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</si>
  <si>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</si>
  <si>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</si>
  <si>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</si>
  <si>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</si>
  <si>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</si>
  <si>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</si>
  <si>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</si>
  <si>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</si>
  <si>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</si>
  <si>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</si>
  <si>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</si>
  <si>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</si>
  <si>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</si>
  <si>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</si>
  <si>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</si>
  <si>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</si>
  <si>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</si>
  <si>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</si>
  <si>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</si>
  <si>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</si>
  <si>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</si>
  <si>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</si>
  <si>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</si>
  <si>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</si>
  <si>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</si>
  <si>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</si>
  <si>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</si>
  <si>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</si>
  <si>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</si>
  <si>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</si>
  <si>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</si>
  <si>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</si>
  <si>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</si>
  <si>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</si>
  <si>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</si>
  <si>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</si>
  <si>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</si>
  <si>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</si>
  <si>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</si>
  <si>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</si>
  <si>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</si>
  <si>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</si>
  <si>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</si>
  <si>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</si>
  <si>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</si>
  <si>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</si>
  <si>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</si>
  <si>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</si>
  <si>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</si>
  <si>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</si>
  <si>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</si>
  <si>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</si>
  <si>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</si>
  <si>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</si>
  <si>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</si>
  <si>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</si>
  <si>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</si>
  <si>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</si>
  <si>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</si>
  <si>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</si>
  <si>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</si>
  <si>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</si>
  <si>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</si>
  <si>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</si>
  <si>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</si>
  <si>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</si>
  <si>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</si>
  <si>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</si>
  <si>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</si>
  <si>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</si>
  <si>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</si>
  <si>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</si>
  <si>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</si>
  <si>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</si>
  <si>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</si>
  <si>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</si>
  <si>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</si>
  <si>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</si>
  <si>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</si>
  <si>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</si>
  <si>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</si>
  <si>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</si>
  <si>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</si>
  <si>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</si>
  <si>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</si>
  <si>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</si>
  <si>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</si>
  <si>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</si>
  <si>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</si>
  <si>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</si>
  <si>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</si>
  <si>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</si>
  <si>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</si>
  <si>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</si>
  <si>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</si>
  <si>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</si>
  <si>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</si>
  <si>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</si>
  <si>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</si>
  <si>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</si>
  <si>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</si>
  <si>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</si>
  <si>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</si>
  <si>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</si>
  <si>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</si>
  <si>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</si>
  <si>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</si>
  <si>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</si>
  <si>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</si>
  <si>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</si>
  <si>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</si>
  <si>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</si>
  <si>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</si>
  <si>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</si>
  <si>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</si>
  <si>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</si>
  <si>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</si>
  <si>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</si>
  <si>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</si>
  <si>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</si>
  <si>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</si>
  <si>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</si>
  <si>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</si>
  <si>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</si>
  <si>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</si>
  <si>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</si>
  <si>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</si>
  <si>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</si>
  <si>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</si>
  <si>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</si>
  <si>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</si>
  <si>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</si>
  <si>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</si>
  <si>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</si>
  <si>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</si>
  <si>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</si>
  <si>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</si>
  <si>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</si>
  <si>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</si>
  <si>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</si>
  <si>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</si>
  <si>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</si>
  <si>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</si>
  <si>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</si>
  <si>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</si>
  <si>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</si>
  <si>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</si>
  <si>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</si>
  <si>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</si>
  <si>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</si>
  <si>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</si>
  <si>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</si>
  <si>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</si>
  <si>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</si>
  <si>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</si>
  <si>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</si>
  <si>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</si>
  <si>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</si>
  <si>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</si>
  <si>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</si>
  <si>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</si>
  <si>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</si>
  <si>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</si>
  <si>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</si>
  <si>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</si>
  <si>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</si>
  <si>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</si>
  <si>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</si>
  <si>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</si>
  <si>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</si>
  <si>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</si>
  <si>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</si>
  <si>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</si>
  <si>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</si>
  <si>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</si>
  <si>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</si>
  <si>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</si>
  <si>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</si>
  <si>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</si>
  <si>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</si>
  <si>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</si>
  <si>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</si>
  <si>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</si>
  <si>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</si>
  <si>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</si>
  <si>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</si>
  <si>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</si>
  <si>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</si>
  <si>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</si>
  <si>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</si>
  <si>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</si>
  <si>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</si>
  <si>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</si>
  <si>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</si>
  <si>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</si>
  <si>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</si>
  <si>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</si>
  <si>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</si>
  <si>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</si>
  <si>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</si>
  <si>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</si>
  <si>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</si>
  <si>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</si>
  <si>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</si>
  <si>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</si>
  <si>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</si>
  <si>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</si>
  <si>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</si>
  <si>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</si>
  <si>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</si>
  <si>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</si>
  <si>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</si>
  <si>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</si>
  <si>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</si>
  <si>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</si>
  <si>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</si>
  <si>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</si>
  <si>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</si>
  <si>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</si>
  <si>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</si>
  <si>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</si>
  <si>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</si>
  <si>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</si>
  <si>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</si>
  <si>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</si>
  <si>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</si>
  <si>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</si>
  <si>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</si>
  <si>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</si>
  <si>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</si>
  <si>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</si>
  <si>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</si>
  <si>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</si>
  <si>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</si>
  <si>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</si>
  <si>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</si>
  <si>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</si>
  <si>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</si>
  <si>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</si>
  <si>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</si>
  <si>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</si>
  <si>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</si>
  <si>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</si>
  <si>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</si>
  <si>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</si>
  <si>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</si>
  <si>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</si>
  <si>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</si>
  <si>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</si>
  <si>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</si>
  <si>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</si>
  <si>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</si>
  <si>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</si>
  <si>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</si>
  <si>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</si>
  <si>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</si>
  <si>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</si>
  <si>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</si>
  <si>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</si>
  <si>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</si>
  <si>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</si>
  <si>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</si>
  <si>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</si>
  <si>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</si>
  <si>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</si>
  <si>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</si>
  <si>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</si>
  <si>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</si>
  <si>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</si>
  <si>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</si>
  <si>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</si>
  <si>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</si>
  <si>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</si>
  <si>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</si>
  <si>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</si>
  <si>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</si>
  <si>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</si>
  <si>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</si>
  <si>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</si>
  <si>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</si>
  <si>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</si>
  <si>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</si>
  <si>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</si>
  <si>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</si>
  <si>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</si>
  <si>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</si>
  <si>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</si>
  <si>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</si>
  <si>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</si>
  <si>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</si>
  <si>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</si>
  <si>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</si>
  <si>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</si>
  <si>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</si>
  <si>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</si>
  <si>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</si>
  <si>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</si>
  <si>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</si>
  <si>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</si>
  <si>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</si>
  <si>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</si>
  <si>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</si>
  <si>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</si>
  <si>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</si>
  <si>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</si>
  <si>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</si>
  <si>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</si>
  <si>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</si>
  <si>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</si>
  <si>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</si>
  <si>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</si>
  <si>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</si>
  <si>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</si>
  <si>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</si>
  <si>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</si>
  <si>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</si>
  <si>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</si>
  <si>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</si>
  <si>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</si>
  <si>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</si>
  <si>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</si>
  <si>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</si>
  <si>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</si>
  <si>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</si>
  <si>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</si>
  <si>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</si>
  <si>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</si>
  <si>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</si>
  <si>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</si>
  <si>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</si>
  <si>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</si>
  <si>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</si>
  <si>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</si>
  <si>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</si>
  <si>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</si>
  <si>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</si>
  <si>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</si>
  <si>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</si>
  <si>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</si>
  <si>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</si>
  <si>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</si>
  <si>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</si>
  <si>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</si>
  <si>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</si>
  <si>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</si>
  <si>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</si>
  <si>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</si>
  <si>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</si>
  <si>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</si>
  <si>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</si>
  <si>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</si>
  <si>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</si>
  <si>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</si>
  <si>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</si>
  <si>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</si>
  <si>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</si>
  <si>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</si>
  <si>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</si>
  <si>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</si>
  <si>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</si>
  <si>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</si>
  <si>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</si>
  <si>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</si>
  <si>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</si>
  <si>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</si>
  <si>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</si>
  <si>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</si>
  <si>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</si>
  <si>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</si>
  <si>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</si>
  <si>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</si>
  <si>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</si>
  <si>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</si>
  <si>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</si>
  <si>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</si>
  <si>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</si>
  <si>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</si>
  <si>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</si>
  <si>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</si>
  <si>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</si>
  <si>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</si>
  <si>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</si>
  <si>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</si>
  <si>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</si>
  <si>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</si>
  <si>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</si>
  <si>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</si>
  <si>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</si>
  <si>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</si>
  <si>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</si>
  <si>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</si>
  <si>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</si>
  <si>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</si>
  <si>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</si>
  <si>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</si>
  <si>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</si>
  <si>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</si>
  <si>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</si>
  <si>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</si>
  <si>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</si>
  <si>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</si>
  <si>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</si>
  <si>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</si>
  <si>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</si>
  <si>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</si>
  <si>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</si>
  <si>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</si>
  <si>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</si>
  <si>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</si>
  <si>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</si>
  <si>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</si>
  <si>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</si>
  <si>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</si>
  <si>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</si>
  <si>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</si>
  <si>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</si>
  <si>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</si>
  <si>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</si>
  <si>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</si>
  <si>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</si>
  <si>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</si>
  <si>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</si>
  <si>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</si>
  <si>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</si>
  <si>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</si>
  <si>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</si>
  <si>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</si>
  <si>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</si>
  <si>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</si>
  <si>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</si>
  <si>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</si>
  <si>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</si>
  <si>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</si>
  <si>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</si>
  <si>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</si>
  <si>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</si>
  <si>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</si>
  <si>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</si>
  <si>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</si>
  <si>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</si>
  <si>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</si>
  <si>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</si>
  <si>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</si>
  <si>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</si>
  <si>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</si>
  <si>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</si>
  <si>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</si>
  <si>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</si>
  <si>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</si>
  <si>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</si>
  <si>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</si>
  <si>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</si>
  <si>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</si>
  <si>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</si>
  <si>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</si>
  <si>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</si>
  <si>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</si>
  <si>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</si>
  <si>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</si>
  <si>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</si>
  <si>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</si>
  <si>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</si>
  <si>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</si>
  <si>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</si>
  <si>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</si>
  <si>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</si>
  <si>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</si>
  <si>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</si>
  <si>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</si>
  <si>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</si>
  <si>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</si>
  <si>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</si>
  <si>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</si>
  <si>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</si>
  <si>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</si>
  <si>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</si>
  <si>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</si>
  <si>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</si>
  <si>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</si>
  <si>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</si>
  <si>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</si>
  <si>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</si>
  <si>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</si>
  <si>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</si>
  <si>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</si>
  <si>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</si>
  <si>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</si>
  <si>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</si>
  <si>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</si>
  <si>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</si>
  <si>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</si>
  <si>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</si>
  <si>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</si>
  <si>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</si>
  <si>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</si>
  <si>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</si>
  <si>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</si>
  <si>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</si>
  <si>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</si>
  <si>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</si>
  <si>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</si>
  <si>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</si>
  <si>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</si>
  <si>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</si>
  <si>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</si>
  <si>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</si>
  <si>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</si>
  <si>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</si>
  <si>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</si>
  <si>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</si>
  <si>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</si>
  <si>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</si>
  <si>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</si>
  <si>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</si>
  <si>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</si>
  <si>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</si>
  <si>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</si>
  <si>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</si>
  <si>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</si>
  <si>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</si>
  <si>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</si>
  <si>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</si>
  <si>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</si>
  <si>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</si>
  <si>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</si>
  <si>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</si>
  <si>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</si>
  <si>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</si>
  <si>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</si>
  <si>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</si>
  <si>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</si>
  <si>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</si>
  <si>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</si>
  <si>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</si>
  <si>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</si>
  <si>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</si>
  <si>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</si>
  <si>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</si>
  <si>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</si>
  <si>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</si>
  <si>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</si>
  <si>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</si>
  <si>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</si>
  <si>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</si>
  <si>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</si>
  <si>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</si>
  <si>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</si>
  <si>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</si>
  <si>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</si>
  <si>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</si>
  <si>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</si>
  <si>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</si>
  <si>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</si>
  <si>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</si>
  <si>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</si>
  <si>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</si>
  <si>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</si>
  <si>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</si>
  <si>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</si>
  <si>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</si>
  <si>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</si>
  <si>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</si>
  <si>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</si>
  <si>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</si>
  <si>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</si>
  <si>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</si>
  <si>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</si>
  <si>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</si>
  <si>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</si>
  <si>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</si>
  <si>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</si>
  <si>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</si>
  <si>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</si>
  <si>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</si>
  <si>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</si>
  <si>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</si>
  <si>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</si>
  <si>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</si>
  <si>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</si>
  <si>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</si>
  <si>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</si>
  <si>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</si>
  <si>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</si>
  <si>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</si>
  <si>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</si>
  <si>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</si>
  <si>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</si>
  <si>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</si>
  <si>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</si>
  <si>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</si>
  <si>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</si>
  <si>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</si>
  <si>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</si>
  <si>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</si>
  <si>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</si>
  <si>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</si>
  <si>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</si>
  <si>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</si>
  <si>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</si>
  <si>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</si>
  <si>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</si>
  <si>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</si>
  <si>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</si>
  <si>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</si>
  <si>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</si>
  <si>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</si>
  <si>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</si>
  <si>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</si>
  <si>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</si>
  <si>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</si>
  <si>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</si>
  <si>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</si>
  <si>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</si>
  <si>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</si>
  <si>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</si>
  <si>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</si>
  <si>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</si>
  <si>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</si>
  <si>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</si>
  <si>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</si>
  <si>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</si>
  <si>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</si>
  <si>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</si>
  <si>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</si>
  <si>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</si>
  <si>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</si>
  <si>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</si>
  <si>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</si>
  <si>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</si>
  <si>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</si>
  <si>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</si>
  <si>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</si>
  <si>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</si>
  <si>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</si>
  <si>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</si>
  <si>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</si>
  <si>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</si>
  <si>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</si>
  <si>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</si>
  <si>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</si>
  <si>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</si>
  <si>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</si>
  <si>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</si>
  <si>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</si>
  <si>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</si>
  <si>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</si>
  <si>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</si>
  <si>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</si>
  <si>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</si>
  <si>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</si>
  <si>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</si>
  <si>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</si>
  <si>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</si>
  <si>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</si>
  <si>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</si>
  <si>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</si>
  <si>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</si>
  <si>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</si>
  <si>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</si>
  <si>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</si>
  <si>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</si>
  <si>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</si>
  <si>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</si>
  <si>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</si>
  <si>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</si>
  <si>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</si>
  <si>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</si>
  <si>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</si>
  <si>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</si>
  <si>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</si>
  <si>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</si>
  <si>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</si>
  <si>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</si>
  <si>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</si>
  <si>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</si>
  <si>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</si>
  <si>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</si>
  <si>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</si>
  <si>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</si>
  <si>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</si>
  <si>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</si>
  <si>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</si>
  <si>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</si>
  <si>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</si>
  <si>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</si>
  <si>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</si>
  <si>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</si>
  <si>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</si>
  <si>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</si>
  <si>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</si>
  <si>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</si>
  <si>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</si>
  <si>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</si>
  <si>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</si>
  <si>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</si>
  <si>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</si>
  <si>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</si>
  <si>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</si>
  <si>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</si>
  <si>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</si>
  <si>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</si>
  <si>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</si>
  <si>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</si>
  <si>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</si>
  <si>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</si>
  <si>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</si>
  <si>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</si>
  <si>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</si>
  <si>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</si>
  <si>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</si>
  <si>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</si>
  <si>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</si>
  <si>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</si>
  <si>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</si>
  <si>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</si>
  <si>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</si>
  <si>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</si>
  <si>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</si>
  <si>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</si>
  <si>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</si>
  <si>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</si>
  <si>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</si>
  <si>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</si>
  <si>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</si>
  <si>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</si>
  <si>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</si>
  <si>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</si>
  <si>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</si>
  <si>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</si>
  <si>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</si>
  <si>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</si>
  <si>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</si>
  <si>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</si>
  <si>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</si>
  <si>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</si>
  <si>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</si>
  <si>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</si>
  <si>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</si>
  <si>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</si>
  <si>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</si>
  <si>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</si>
  <si>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</si>
  <si>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</si>
  <si>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</si>
  <si>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</si>
  <si>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</si>
  <si>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</si>
  <si>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</si>
  <si>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</si>
  <si>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</si>
  <si>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</si>
  <si>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</si>
  <si>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</si>
  <si>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</si>
  <si>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</si>
  <si>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</si>
  <si>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</si>
  <si>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</si>
  <si>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</si>
  <si>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</si>
  <si>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</si>
  <si>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</si>
  <si>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</si>
  <si>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</si>
  <si>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</si>
  <si>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</si>
  <si>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</si>
  <si>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</si>
  <si>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</si>
  <si>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</si>
  <si>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</si>
  <si>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</si>
  <si>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</si>
  <si>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</si>
  <si>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</si>
  <si>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</si>
  <si>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</si>
  <si>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</si>
  <si>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</si>
  <si>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</si>
  <si>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</si>
  <si>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</si>
  <si>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</si>
  <si>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</si>
  <si>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</si>
  <si>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</si>
  <si>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</si>
  <si>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</si>
  <si>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</si>
  <si>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</si>
  <si>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</si>
  <si>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</si>
  <si>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</si>
  <si>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</si>
  <si>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</si>
  <si>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</si>
  <si>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</si>
  <si>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</si>
  <si>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</si>
  <si>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</si>
  <si>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</si>
  <si>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</si>
  <si>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</si>
  <si>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</si>
  <si>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</si>
  <si>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</si>
  <si>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</si>
  <si>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</si>
  <si>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</si>
  <si>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</si>
  <si>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</si>
  <si>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</si>
  <si>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</si>
  <si>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</si>
  <si>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</si>
  <si>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</si>
  <si>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</si>
  <si>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</si>
  <si>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</si>
  <si>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</si>
  <si>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</si>
  <si>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</si>
  <si>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</si>
  <si>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</si>
  <si>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</si>
  <si>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</si>
  <si>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</si>
  <si>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</si>
  <si>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</si>
  <si>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</si>
  <si>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</si>
  <si>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</si>
  <si>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</si>
  <si>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</si>
  <si>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</si>
  <si>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</si>
  <si>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</si>
  <si>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</si>
  <si>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</si>
  <si>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</si>
  <si>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</si>
  <si>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</si>
  <si>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</si>
  <si>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</si>
  <si>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</si>
  <si>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</si>
  <si>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</si>
  <si>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</si>
  <si>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</si>
  <si>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</si>
  <si>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</si>
  <si>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</si>
  <si>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</si>
  <si>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</si>
  <si>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</si>
  <si>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</si>
  <si>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</si>
  <si>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</si>
  <si>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</si>
  <si>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</si>
  <si>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</si>
  <si>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</si>
  <si>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</si>
  <si>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</si>
  <si>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</si>
  <si>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</si>
  <si>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</si>
  <si>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</si>
  <si>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</si>
  <si>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</si>
  <si>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</si>
  <si>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</si>
  <si>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</si>
  <si>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</si>
  <si>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</si>
  <si>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</si>
  <si>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</si>
  <si>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</si>
  <si>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</si>
  <si>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</si>
  <si>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</si>
  <si>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</si>
  <si>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</si>
  <si>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</si>
  <si>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</si>
  <si>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</si>
  <si>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</si>
  <si>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</si>
  <si>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</si>
  <si>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</si>
  <si>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</si>
  <si>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</si>
  <si>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</si>
  <si>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</si>
  <si>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</si>
  <si>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</si>
  <si>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</si>
  <si>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</si>
  <si>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</si>
  <si>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</si>
  <si>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</si>
  <si>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</si>
  <si>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</si>
  <si>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</si>
  <si>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</si>
  <si>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</si>
  <si>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</si>
  <si>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</si>
  <si>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</si>
  <si>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</si>
  <si>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</si>
  <si>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</si>
  <si>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</si>
  <si>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</si>
  <si>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</si>
  <si>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</si>
  <si>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</si>
  <si>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</si>
  <si>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</si>
  <si>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</si>
  <si>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</si>
  <si>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</si>
  <si>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</si>
  <si>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</si>
  <si>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</si>
  <si>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</si>
  <si>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</si>
  <si>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</si>
  <si>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</si>
  <si>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</si>
  <si>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</si>
  <si>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</si>
  <si>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</si>
  <si>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</si>
  <si>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</si>
  <si>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</si>
  <si>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</si>
  <si>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</si>
  <si>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</si>
  <si>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</si>
  <si>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</si>
  <si>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</si>
  <si>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</si>
  <si>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</si>
  <si>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</si>
  <si>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</si>
  <si>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</si>
  <si>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</si>
  <si>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</si>
  <si>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</si>
  <si>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</si>
  <si>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</si>
  <si>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</si>
  <si>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</si>
  <si>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</si>
  <si>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</si>
  <si>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</si>
  <si>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</si>
  <si>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</si>
  <si>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</si>
  <si>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</si>
  <si>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</si>
  <si>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</si>
  <si>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</si>
  <si>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</si>
  <si>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</si>
  <si>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</si>
  <si>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</si>
  <si>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</si>
  <si>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</si>
  <si>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</si>
  <si>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</si>
  <si>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</si>
  <si>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</si>
  <si>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</si>
  <si>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</si>
  <si>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</si>
  <si>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</si>
  <si>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</si>
  <si>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</si>
  <si>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</si>
  <si>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</si>
  <si>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</si>
  <si>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</si>
  <si>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</si>
  <si>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</si>
  <si>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</si>
  <si>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</si>
  <si>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</si>
  <si>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</si>
  <si>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</si>
  <si>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</si>
  <si>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</si>
  <si>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</si>
  <si>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</si>
  <si>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</si>
  <si>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</si>
  <si>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</si>
  <si>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</si>
  <si>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</si>
  <si>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</si>
  <si>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</si>
  <si>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</si>
  <si>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</si>
  <si>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</si>
  <si>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</si>
  <si>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</si>
  <si>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</si>
  <si>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</si>
  <si>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</si>
  <si>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</si>
  <si>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</si>
  <si>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</si>
  <si>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</si>
  <si>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</si>
  <si>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</si>
  <si>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</si>
  <si>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</si>
  <si>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</si>
  <si>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</si>
  <si>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</si>
  <si>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</si>
  <si>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</si>
  <si>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</si>
  <si>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</si>
  <si>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</si>
  <si>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</si>
  <si>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</si>
  <si>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</si>
  <si>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</si>
  <si>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</si>
  <si>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</si>
  <si>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</si>
  <si>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</si>
  <si>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</si>
  <si>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</si>
  <si>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</si>
  <si>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</si>
  <si>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</si>
  <si>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</si>
  <si>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</si>
  <si>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</si>
  <si>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</si>
  <si>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</si>
  <si>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</si>
  <si>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</si>
  <si>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</si>
  <si>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</si>
  <si>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</si>
  <si>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</si>
  <si>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</si>
  <si>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</si>
  <si>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</si>
  <si>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</si>
  <si>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</si>
  <si>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</si>
  <si>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</si>
  <si>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</si>
  <si>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</si>
  <si>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</si>
  <si>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</si>
  <si>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</si>
  <si>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</si>
  <si>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</si>
  <si>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</si>
  <si>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</si>
  <si>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</si>
  <si>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</si>
  <si>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</si>
  <si>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</si>
  <si>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</si>
  <si>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</si>
  <si>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</si>
  <si>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</si>
  <si>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</si>
  <si>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</si>
  <si>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</si>
  <si>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</si>
  <si>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</si>
  <si>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</si>
  <si>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</si>
  <si>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</si>
  <si>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</si>
  <si>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</si>
  <si>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</si>
  <si>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</si>
  <si>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</si>
  <si>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</si>
  <si>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</si>
  <si>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</si>
  <si>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</si>
  <si>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</si>
  <si>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</si>
  <si>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</si>
  <si>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</si>
  <si>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</si>
  <si>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</si>
  <si>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</si>
  <si>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</si>
  <si>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</si>
  <si>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</si>
  <si>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</si>
  <si>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</si>
  <si>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</si>
  <si>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</si>
  <si>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</si>
  <si>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</si>
  <si>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</si>
  <si>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</si>
  <si>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</si>
  <si>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</si>
  <si>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</si>
  <si>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</si>
  <si>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</si>
  <si>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</si>
  <si>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</si>
  <si>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</si>
  <si>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</si>
  <si>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</si>
  <si>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</si>
  <si>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</si>
  <si>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</si>
  <si>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</si>
  <si>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</si>
  <si>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</si>
  <si>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</si>
  <si>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</si>
  <si>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</si>
  <si>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</si>
  <si>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</si>
  <si>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</si>
  <si>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</si>
  <si>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</si>
  <si>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</si>
  <si>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</si>
  <si>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</si>
  <si>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</si>
  <si>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</si>
  <si>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</si>
  <si>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</si>
  <si>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</si>
  <si>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</si>
  <si>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</si>
  <si>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</si>
  <si>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</si>
  <si>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</si>
  <si>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</si>
  <si>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</si>
  <si>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</si>
  <si>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</si>
  <si>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</si>
  <si>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</si>
  <si>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</si>
  <si>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</si>
  <si>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</si>
  <si>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</si>
  <si>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</si>
  <si>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</si>
  <si>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</si>
  <si>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</si>
  <si>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</si>
  <si>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</si>
  <si>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</si>
  <si>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</si>
  <si>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</si>
  <si>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</si>
  <si>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</si>
  <si>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</si>
  <si>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</si>
  <si>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</si>
  <si>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</si>
  <si>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</si>
  <si>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</si>
  <si>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</si>
  <si>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</si>
  <si>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</si>
  <si>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</si>
  <si>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</si>
  <si>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</si>
  <si>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</si>
  <si>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</si>
  <si>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</si>
  <si>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</si>
  <si>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</si>
  <si>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</si>
  <si>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</si>
  <si>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</si>
  <si>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</si>
  <si>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</si>
  <si>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</si>
  <si>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</si>
  <si>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</si>
  <si>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</si>
  <si>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</si>
  <si>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</si>
  <si>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</si>
  <si>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</si>
  <si>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</si>
  <si>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</si>
  <si>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</si>
  <si>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</si>
  <si>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</si>
  <si>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</si>
  <si>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</si>
  <si>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</si>
  <si>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</si>
  <si>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</si>
  <si>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</si>
  <si>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</si>
  <si>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</si>
  <si>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</si>
  <si>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</si>
  <si>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</si>
  <si>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</si>
  <si>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</si>
  <si>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</si>
  <si>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</si>
  <si>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</si>
  <si>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</si>
  <si>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</si>
  <si>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</si>
  <si>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</si>
  <si>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</si>
  <si>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</si>
  <si>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</si>
  <si>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</si>
  <si>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</si>
  <si>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</si>
  <si>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</si>
  <si>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</si>
  <si>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</si>
  <si>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</si>
  <si>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</si>
  <si>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</si>
  <si>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</si>
  <si>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</si>
  <si>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</si>
  <si>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</si>
  <si>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</si>
  <si>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</si>
  <si>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</si>
  <si>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</si>
  <si>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</si>
  <si>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</si>
  <si>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</si>
  <si>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</si>
  <si>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</si>
  <si>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</si>
  <si>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</si>
  <si>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</si>
  <si>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</si>
  <si>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</si>
  <si>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</si>
  <si>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</si>
  <si>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</si>
  <si>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</si>
  <si>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</si>
  <si>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</si>
  <si>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</si>
  <si>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</si>
  <si>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</si>
  <si>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</si>
  <si>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</si>
  <si>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</si>
  <si>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</si>
  <si>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</si>
  <si>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</si>
  <si>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</si>
  <si>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</si>
  <si>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</si>
  <si>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</si>
  <si>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</si>
  <si>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</si>
  <si>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</si>
  <si>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</si>
  <si>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</si>
  <si>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</si>
  <si>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</si>
  <si>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</si>
  <si>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</si>
  <si>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</si>
  <si>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</si>
  <si>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</si>
  <si>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</si>
  <si>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</si>
  <si>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</si>
  <si>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</si>
  <si>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</si>
  <si>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</si>
  <si>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</si>
  <si>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</si>
  <si>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</si>
  <si>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</si>
  <si>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</si>
  <si>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</si>
  <si>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</si>
  <si>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</si>
  <si>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</si>
  <si>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</si>
  <si>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</si>
  <si>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</si>
  <si>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</si>
  <si>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</si>
  <si>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</si>
  <si>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</si>
  <si>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</si>
  <si>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</si>
  <si>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</si>
  <si>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</si>
  <si>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</si>
  <si>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</si>
  <si>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</si>
  <si>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</si>
  <si>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</si>
  <si>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</si>
  <si>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</si>
  <si>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</si>
  <si>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</si>
  <si>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</si>
  <si>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</si>
  <si>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</si>
  <si>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</si>
  <si>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</si>
  <si>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</si>
  <si>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</si>
  <si>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</si>
  <si>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</si>
  <si>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</si>
  <si>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</si>
  <si>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</si>
  <si>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</si>
  <si>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</si>
  <si>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</si>
  <si>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</si>
  <si>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</si>
  <si>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</si>
  <si>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</si>
  <si>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</si>
  <si>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</si>
  <si>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</si>
  <si>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</si>
  <si>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</si>
  <si>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</si>
  <si>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</si>
  <si>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</si>
  <si>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</si>
  <si>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</si>
  <si>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</si>
  <si>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</si>
  <si>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</si>
  <si>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</si>
  <si>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</si>
  <si>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</si>
  <si>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</si>
  <si>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</si>
  <si>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</si>
  <si>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</si>
  <si>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</si>
  <si>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</si>
  <si>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</si>
  <si>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</si>
  <si>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</si>
  <si>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</si>
  <si>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</si>
  <si>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</si>
  <si>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</si>
  <si>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</si>
  <si>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</si>
  <si>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</si>
  <si>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</si>
  <si>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</si>
  <si>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</si>
  <si>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</si>
  <si>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</si>
  <si>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</si>
  <si>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</si>
  <si>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</si>
  <si>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</si>
  <si>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</si>
  <si>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</si>
  <si>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</si>
  <si>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</si>
  <si>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</si>
  <si>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</si>
  <si>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</si>
  <si>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</si>
  <si>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</si>
  <si>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</si>
  <si>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</si>
  <si>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</si>
  <si>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</si>
  <si>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</si>
  <si>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</si>
  <si>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</si>
  <si>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</si>
  <si>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</si>
  <si>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</si>
  <si>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</si>
  <si>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</si>
  <si>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</si>
  <si>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</si>
  <si>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</si>
  <si>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</si>
  <si>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</si>
  <si>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</si>
  <si>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</si>
  <si>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</si>
  <si>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</si>
  <si>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</si>
  <si>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</si>
  <si>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</si>
  <si>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</si>
  <si>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</si>
  <si>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</si>
  <si>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</si>
  <si>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</si>
  <si>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</si>
  <si>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</si>
  <si>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</si>
  <si>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</si>
  <si>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</si>
  <si>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</si>
  <si>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</si>
  <si>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</si>
  <si>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</si>
  <si>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</si>
  <si>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</si>
  <si>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</si>
  <si>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</si>
  <si>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</si>
  <si>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</si>
  <si>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</si>
  <si>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</si>
  <si>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</si>
  <si>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</si>
  <si>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</si>
  <si>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</si>
  <si>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</si>
  <si>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</si>
  <si>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</si>
  <si>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</si>
  <si>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</si>
  <si>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</si>
  <si>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</si>
  <si>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</si>
  <si>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</si>
  <si>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</si>
  <si>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</si>
  <si>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</si>
  <si>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</si>
  <si>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</si>
  <si>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</si>
  <si>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</si>
  <si>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</si>
  <si>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</si>
  <si>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</si>
  <si>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</si>
  <si>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</si>
  <si>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</si>
  <si>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</si>
  <si>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</si>
  <si>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</si>
  <si>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</si>
  <si>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</si>
  <si>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</si>
  <si>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</si>
  <si>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</si>
  <si>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</si>
  <si>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</si>
  <si>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</si>
  <si>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</si>
  <si>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</si>
  <si>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</si>
  <si>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</si>
  <si>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</si>
  <si>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</si>
  <si>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</si>
  <si>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</si>
  <si>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</si>
  <si>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</si>
  <si>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</si>
  <si>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</si>
  <si>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</si>
  <si>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</si>
  <si>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</si>
  <si>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</si>
  <si>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</si>
  <si>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</si>
  <si>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</si>
  <si>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</si>
  <si>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</si>
  <si>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</si>
  <si>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</si>
  <si>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</si>
  <si>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</si>
  <si>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</si>
  <si>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</si>
  <si>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</si>
  <si>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</si>
  <si>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</si>
  <si>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</si>
  <si>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</si>
  <si>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</si>
  <si>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</si>
  <si>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</si>
  <si>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</si>
  <si>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</si>
  <si>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</si>
  <si>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</si>
  <si>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</si>
  <si>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</si>
  <si>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</si>
  <si>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</si>
  <si>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</si>
  <si>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</si>
  <si>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</si>
  <si>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</si>
  <si>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</si>
  <si>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</si>
  <si>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</si>
  <si>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</si>
  <si>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</si>
  <si>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</si>
  <si>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</si>
  <si>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</si>
  <si>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</si>
  <si>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</si>
  <si>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</si>
  <si>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</si>
  <si>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</si>
  <si>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</si>
  <si>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</si>
  <si>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</si>
  <si>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</si>
  <si>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</si>
  <si>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</si>
  <si>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</si>
  <si>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</si>
  <si>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</si>
  <si>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</si>
  <si>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</si>
  <si>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</si>
  <si>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</si>
  <si>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</si>
  <si>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</si>
  <si>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</si>
  <si>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</si>
  <si>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</si>
  <si>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</si>
  <si>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</si>
  <si>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</si>
  <si>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</si>
  <si>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</si>
  <si>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</si>
  <si>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</si>
  <si>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</si>
  <si>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</si>
  <si>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</si>
  <si>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</si>
  <si>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</si>
  <si>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</si>
  <si>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</si>
  <si>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</si>
  <si>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</si>
  <si>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</si>
  <si>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</si>
  <si>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</si>
  <si>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</si>
  <si>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</si>
  <si>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</si>
  <si>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</si>
  <si>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</si>
  <si>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</si>
  <si>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</si>
  <si>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</si>
  <si>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</si>
  <si>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</si>
  <si>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</si>
  <si>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</si>
  <si>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</si>
  <si>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</si>
  <si>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</si>
  <si>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</si>
  <si>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</si>
  <si>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</si>
  <si>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</si>
  <si>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</si>
  <si>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</si>
  <si>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</si>
  <si>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</si>
  <si>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</si>
  <si>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</si>
  <si>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</si>
  <si>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</si>
  <si>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</si>
  <si>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</si>
  <si>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</si>
  <si>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</si>
  <si>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</si>
  <si>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</si>
  <si>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</si>
  <si>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</si>
  <si>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</si>
  <si>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</si>
  <si>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</si>
  <si>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</si>
  <si>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</si>
  <si>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</si>
  <si>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</si>
  <si>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</si>
  <si>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</si>
  <si>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</si>
  <si>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</si>
  <si>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</si>
  <si>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</si>
  <si>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</si>
  <si>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</si>
  <si>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</si>
  <si>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</si>
  <si>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</si>
  <si>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</si>
  <si>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</si>
  <si>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</si>
  <si>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</si>
  <si>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</si>
  <si>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</si>
  <si>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</si>
  <si>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</si>
  <si>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</si>
  <si>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</si>
  <si>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</si>
  <si>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</si>
  <si>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</si>
  <si>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</si>
  <si>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</si>
  <si>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</si>
  <si>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</si>
  <si>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</si>
  <si>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</si>
  <si>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</si>
  <si>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</si>
  <si>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</si>
  <si>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</si>
  <si>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</si>
  <si>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</si>
  <si>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</si>
  <si>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</si>
  <si>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</si>
  <si>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</si>
  <si>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</si>
  <si>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</si>
  <si>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</si>
  <si>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</si>
  <si>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</si>
  <si>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</si>
  <si>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</si>
  <si>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</si>
  <si>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</si>
  <si>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</si>
  <si>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</si>
  <si>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</si>
  <si>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</si>
  <si>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</si>
  <si>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</si>
  <si>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</si>
  <si>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</si>
  <si>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</si>
  <si>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</si>
  <si>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</si>
  <si>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</si>
  <si>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</si>
  <si>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</si>
  <si>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</si>
  <si>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</si>
  <si>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</si>
  <si>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</si>
  <si>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</si>
  <si>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</si>
  <si>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</si>
  <si>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</si>
  <si>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</si>
  <si>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</si>
  <si>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</si>
  <si>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</si>
  <si>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</si>
  <si>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</si>
  <si>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</si>
  <si>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</si>
  <si>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</si>
  <si>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</si>
  <si>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</si>
  <si>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</si>
  <si>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</si>
  <si>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</si>
  <si>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</si>
  <si>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</si>
  <si>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</si>
  <si>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</si>
  <si>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</si>
  <si>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</si>
  <si>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</si>
  <si>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</si>
  <si>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</si>
  <si>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</si>
  <si>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</si>
  <si>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</si>
  <si>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</si>
  <si>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</si>
  <si>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</si>
  <si>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</si>
  <si>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</si>
  <si>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</si>
  <si>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</si>
  <si>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</si>
  <si>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</si>
  <si>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</si>
  <si>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</si>
  <si>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</si>
  <si>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</si>
  <si>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</si>
  <si>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</si>
  <si>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</si>
  <si>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</si>
  <si>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</si>
  <si>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</si>
  <si>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</si>
  <si>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</si>
  <si>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</si>
  <si>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</si>
  <si>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</si>
  <si>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</si>
  <si>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</si>
  <si>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</si>
  <si>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</si>
  <si>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</si>
  <si>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</si>
  <si>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</si>
  <si>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</si>
  <si>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</si>
  <si>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</si>
  <si>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</si>
  <si>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</si>
  <si>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</si>
  <si>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</si>
  <si>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</si>
  <si>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</si>
  <si>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</si>
  <si>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</si>
  <si>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</si>
  <si>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</si>
  <si>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</si>
  <si>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</si>
  <si>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</si>
  <si>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</si>
  <si>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</si>
  <si>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</si>
  <si>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</si>
  <si>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</si>
  <si>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[0.361807]</t>
  </si>
  <si>
    <t>0 [0.764928]</t>
  </si>
  <si>
    <t>0 [1.187755]</t>
  </si>
  <si>
    <t>0 [1.590452]</t>
  </si>
  <si>
    <t>0 [2.003566]</t>
  </si>
  <si>
    <t>0 [2.390526]</t>
  </si>
  <si>
    <t>0 [2.806551]</t>
  </si>
  <si>
    <t>0 [3.213459]</t>
  </si>
  <si>
    <t>0 [3.618908]</t>
  </si>
  <si>
    <t>0 [4.016217]</t>
  </si>
  <si>
    <t>0 [4.420656]</t>
  </si>
  <si>
    <t>0 [4.839650]</t>
  </si>
  <si>
    <t>0 [5.252444]</t>
  </si>
  <si>
    <t>0 [5.638564]</t>
  </si>
  <si>
    <t>0 [6.061050]</t>
  </si>
  <si>
    <t>0 [6.466883]</t>
  </si>
  <si>
    <t>0 [6.858459]</t>
  </si>
  <si>
    <t>0 [7.272861]</t>
  </si>
  <si>
    <t>0 [7.686804]</t>
  </si>
  <si>
    <t>0 [8.080335]</t>
  </si>
  <si>
    <t>0 [8.488679]</t>
  </si>
  <si>
    <t>0 [8.886154]</t>
  </si>
  <si>
    <t>0 [9.318974]</t>
  </si>
  <si>
    <t>0 [9.711394]</t>
  </si>
  <si>
    <t>0 [10.112480]</t>
  </si>
  <si>
    <t>vision^CVEY^1^1^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</si>
</sst>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45.69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45.689140000000002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5.2114400000000005</c:v>
                </c:pt>
                <c:pt idx="1">
                  <c:v>5.19693</c:v>
                </c:pt>
                <c:pt idx="2">
                  <c:v>5.1627700000000001</c:v>
                </c:pt>
                <c:pt idx="3">
                  <c:v>5.0951900000000006</c:v>
                </c:pt>
                <c:pt idx="4">
                  <c:v>5.0177099999999992</c:v>
                </c:pt>
                <c:pt idx="5">
                  <c:v>4.9365600000000001</c:v>
                </c:pt>
                <c:pt idx="6">
                  <c:v>4.8603500000000004</c:v>
                </c:pt>
                <c:pt idx="7">
                  <c:v>4.7977100000000004</c:v>
                </c:pt>
                <c:pt idx="8">
                  <c:v>4.7558499999999997</c:v>
                </c:pt>
                <c:pt idx="9">
                  <c:v>4.7236799999999999</c:v>
                </c:pt>
                <c:pt idx="10">
                  <c:v>4.7005099999999995</c:v>
                </c:pt>
                <c:pt idx="11">
                  <c:v>4.67577</c:v>
                </c:pt>
                <c:pt idx="12">
                  <c:v>4.6443000000000003</c:v>
                </c:pt>
                <c:pt idx="13">
                  <c:v>4.6062900000000004</c:v>
                </c:pt>
                <c:pt idx="14">
                  <c:v>4.5685000000000002</c:v>
                </c:pt>
                <c:pt idx="15">
                  <c:v>4.5105199999999996</c:v>
                </c:pt>
                <c:pt idx="16">
                  <c:v>4.4518300000000002</c:v>
                </c:pt>
                <c:pt idx="17">
                  <c:v>4.3949400000000001</c:v>
                </c:pt>
                <c:pt idx="18">
                  <c:v>4.3278800000000004</c:v>
                </c:pt>
                <c:pt idx="19">
                  <c:v>4.2923799999999996</c:v>
                </c:pt>
                <c:pt idx="20">
                  <c:v>4.2527799999999996</c:v>
                </c:pt>
                <c:pt idx="21">
                  <c:v>4.2191600000000005</c:v>
                </c:pt>
                <c:pt idx="22">
                  <c:v>4.1909099999999997</c:v>
                </c:pt>
                <c:pt idx="23">
                  <c:v>4.1642700000000001</c:v>
                </c:pt>
                <c:pt idx="24">
                  <c:v>4.1265999999999998</c:v>
                </c:pt>
                <c:pt idx="25">
                  <c:v>4.0744600000000002</c:v>
                </c:pt>
              </c:numCache>
            </c:numRef>
          </c:xVal>
          <c:yVal>
            <c:numRef>
              <c:f>[0]!FT_PH</c:f>
              <c:numCache>
                <c:formatCode>0.00</c:formatCode>
                <c:ptCount val="26"/>
                <c:pt idx="0">
                  <c:v>44.815899999999999</c:v>
                </c:pt>
                <c:pt idx="1">
                  <c:v>46.635300000000001</c:v>
                </c:pt>
                <c:pt idx="2">
                  <c:v>47.568899999999999</c:v>
                </c:pt>
                <c:pt idx="3">
                  <c:v>47.348800000000004</c:v>
                </c:pt>
                <c:pt idx="4">
                  <c:v>47.349400000000003</c:v>
                </c:pt>
                <c:pt idx="5">
                  <c:v>46.4666</c:v>
                </c:pt>
                <c:pt idx="6">
                  <c:v>45.634799999999998</c:v>
                </c:pt>
                <c:pt idx="7">
                  <c:v>44.677099999999996</c:v>
                </c:pt>
                <c:pt idx="8">
                  <c:v>43.8429</c:v>
                </c:pt>
                <c:pt idx="9">
                  <c:v>42.888300000000001</c:v>
                </c:pt>
                <c:pt idx="10">
                  <c:v>42.075699999999998</c:v>
                </c:pt>
                <c:pt idx="11">
                  <c:v>41.578299999999999</c:v>
                </c:pt>
                <c:pt idx="12">
                  <c:v>41.390599999999999</c:v>
                </c:pt>
                <c:pt idx="13">
                  <c:v>42.209699999999998</c:v>
                </c:pt>
                <c:pt idx="14">
                  <c:v>43.740299999999998</c:v>
                </c:pt>
                <c:pt idx="15">
                  <c:v>44.852599999999995</c:v>
                </c:pt>
                <c:pt idx="16">
                  <c:v>45.844900000000003</c:v>
                </c:pt>
                <c:pt idx="17">
                  <c:v>46.868200000000002</c:v>
                </c:pt>
                <c:pt idx="18">
                  <c:v>47.788599999999995</c:v>
                </c:pt>
                <c:pt idx="19">
                  <c:v>48.432900000000004</c:v>
                </c:pt>
                <c:pt idx="20">
                  <c:v>49.0901</c:v>
                </c:pt>
                <c:pt idx="21">
                  <c:v>49.619799999999998</c:v>
                </c:pt>
                <c:pt idx="22">
                  <c:v>49.867699999999999</c:v>
                </c:pt>
                <c:pt idx="23">
                  <c:v>50.151299999999999</c:v>
                </c:pt>
                <c:pt idx="24">
                  <c:v>50.443400000000004</c:v>
                </c:pt>
                <c:pt idx="25">
                  <c:v>51.417599999999993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5.19693</c:v>
                </c:pt>
                <c:pt idx="1">
                  <c:v>4.1909099999999997</c:v>
                </c:pt>
              </c:numCache>
            </c:numRef>
          </c:xVal>
          <c:yVal>
            <c:numRef>
              <c:f>info!$W$2:$W$3</c:f>
              <c:numCache>
                <c:formatCode>0.00</c:formatCode>
                <c:ptCount val="2"/>
                <c:pt idx="0">
                  <c:v>46.635300000000001</c:v>
                </c:pt>
                <c:pt idx="1">
                  <c:v>49.867699999999999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4.6443000000000003</c:v>
                </c:pt>
                <c:pt idx="1">
                  <c:v>4.0744600000000002</c:v>
                </c:pt>
              </c:numCache>
            </c:numRef>
          </c:xVal>
          <c:yVal>
            <c:numRef>
              <c:f>info!$W$15:$W$16</c:f>
              <c:numCache>
                <c:formatCode>0.00_ </c:formatCode>
                <c:ptCount val="2"/>
                <c:pt idx="0">
                  <c:v>41.390599999999999</c:v>
                </c:pt>
                <c:pt idx="1">
                  <c:v>51.417599999999993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4.6138188461538467</c:v>
                </c:pt>
              </c:numCache>
            </c:numRef>
          </c:xVal>
          <c:yVal>
            <c:numRef>
              <c:f>info!$N$9</c:f>
              <c:numCache>
                <c:formatCode>0.0</c:formatCode>
                <c:ptCount val="1"/>
                <c:pt idx="0">
                  <c:v>46.253834615384626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45.601999999999997</c:v>
                </c:pt>
                <c:pt idx="1">
                  <c:v>13.6221</c:v>
                </c:pt>
                <c:pt idx="2">
                  <c:v>14.790100000000001</c:v>
                </c:pt>
                <c:pt idx="3">
                  <c:v>25.366</c:v>
                </c:pt>
                <c:pt idx="4">
                  <c:v>60.5062</c:v>
                </c:pt>
                <c:pt idx="5">
                  <c:v>83.913399999999996</c:v>
                </c:pt>
                <c:pt idx="6">
                  <c:v>35.345599999999997</c:v>
                </c:pt>
                <c:pt idx="7">
                  <c:v>72.826499999999996</c:v>
                </c:pt>
                <c:pt idx="8">
                  <c:v>16.658999999999999</c:v>
                </c:pt>
                <c:pt idx="9">
                  <c:v>39.76</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45.69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45.689140000000002</c:v>
                </c:pt>
                <c:pt idx="1">
                  <c:v>45.689140000000002</c:v>
                </c:pt>
                <c:pt idx="2">
                  <c:v>0</c:v>
                </c:pt>
              </c:numCache>
            </c:numRef>
          </c:xVal>
          <c:yVal>
            <c:numRef>
              <c:f>'R2'!$I$5:$I$7</c:f>
              <c:numCache>
                <c:formatCode>0.0_ </c:formatCode>
                <c:ptCount val="3"/>
                <c:pt idx="0">
                  <c:v>0</c:v>
                </c:pt>
                <c:pt idx="1">
                  <c:v>42.301634262618698</c:v>
                </c:pt>
                <c:pt idx="2">
                  <c:v>42.301634262618698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75.926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75.925666666666658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2.28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2.2777699999999999</c:v>
                </c:pt>
                <c:pt idx="1">
                  <c:v>2.2777699999999999</c:v>
                </c:pt>
                <c:pt idx="2">
                  <c:v>0</c:v>
                </c:pt>
              </c:numCache>
            </c:numRef>
          </c:xVal>
          <c:yVal>
            <c:numRef>
              <c:f>'R3'!$I$6:$I$8</c:f>
              <c:numCache>
                <c:formatCode>0.0_ </c:formatCode>
                <c:ptCount val="3"/>
                <c:pt idx="0">
                  <c:v>0</c:v>
                </c:pt>
                <c:pt idx="1">
                  <c:v>70.190893552622683</c:v>
                </c:pt>
                <c:pt idx="2">
                  <c:v>70.190893552622683</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0.87178532662147123</c:v>
                </c:pt>
                <c:pt idx="1">
                  <c:v>0.87178532662147123</c:v>
                </c:pt>
                <c:pt idx="2">
                  <c:v>-7</c:v>
                </c:pt>
              </c:numCache>
            </c:numRef>
          </c:xVal>
          <c:yVal>
            <c:numRef>
              <c:f>'R'!$I$5:$I$7</c:f>
              <c:numCache>
                <c:formatCode>0.0_ </c:formatCode>
                <c:ptCount val="3"/>
                <c:pt idx="0">
                  <c:v>0</c:v>
                </c:pt>
                <c:pt idx="1">
                  <c:v>77.094351466765488</c:v>
                </c:pt>
                <c:pt idx="2">
                  <c:v>77.094351466765488</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0.87178532662147123</c:v>
                </c:pt>
              </c:numCache>
            </c:numRef>
          </c:xVal>
          <c:yVal>
            <c:numRef>
              <c:f>'R'!$I$4</c:f>
              <c:numCache>
                <c:formatCode>0.00_ </c:formatCode>
                <c:ptCount val="1"/>
                <c:pt idx="0">
                  <c:v>77.094351466765488</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45.69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45.689140000000002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5.2114400000000005</c:v>
                </c:pt>
                <c:pt idx="1">
                  <c:v>5.19693</c:v>
                </c:pt>
                <c:pt idx="2">
                  <c:v>5.1627700000000001</c:v>
                </c:pt>
                <c:pt idx="3">
                  <c:v>5.0951900000000006</c:v>
                </c:pt>
                <c:pt idx="4">
                  <c:v>5.0177099999999992</c:v>
                </c:pt>
                <c:pt idx="5">
                  <c:v>4.9365600000000001</c:v>
                </c:pt>
                <c:pt idx="6">
                  <c:v>4.8603500000000004</c:v>
                </c:pt>
                <c:pt idx="7">
                  <c:v>4.7977100000000004</c:v>
                </c:pt>
                <c:pt idx="8">
                  <c:v>4.7558499999999997</c:v>
                </c:pt>
                <c:pt idx="9">
                  <c:v>4.7236799999999999</c:v>
                </c:pt>
                <c:pt idx="10">
                  <c:v>4.7005099999999995</c:v>
                </c:pt>
                <c:pt idx="11">
                  <c:v>4.67577</c:v>
                </c:pt>
                <c:pt idx="12">
                  <c:v>4.6443000000000003</c:v>
                </c:pt>
                <c:pt idx="13">
                  <c:v>4.6062900000000004</c:v>
                </c:pt>
                <c:pt idx="14">
                  <c:v>4.5685000000000002</c:v>
                </c:pt>
                <c:pt idx="15">
                  <c:v>4.5105199999999996</c:v>
                </c:pt>
                <c:pt idx="16">
                  <c:v>4.4518300000000002</c:v>
                </c:pt>
                <c:pt idx="17">
                  <c:v>4.3949400000000001</c:v>
                </c:pt>
                <c:pt idx="18">
                  <c:v>4.3278800000000004</c:v>
                </c:pt>
                <c:pt idx="19">
                  <c:v>4.2923799999999996</c:v>
                </c:pt>
                <c:pt idx="20">
                  <c:v>4.2527799999999996</c:v>
                </c:pt>
                <c:pt idx="21">
                  <c:v>4.2191600000000005</c:v>
                </c:pt>
                <c:pt idx="22">
                  <c:v>4.1909099999999997</c:v>
                </c:pt>
                <c:pt idx="23">
                  <c:v>4.1642700000000001</c:v>
                </c:pt>
                <c:pt idx="24">
                  <c:v>4.1265999999999998</c:v>
                </c:pt>
                <c:pt idx="25">
                  <c:v>4.0744600000000002</c:v>
                </c:pt>
              </c:numCache>
            </c:numRef>
          </c:xVal>
          <c:yVal>
            <c:numRef>
              <c:f>[0]!FT_PH</c:f>
              <c:numCache>
                <c:formatCode>0.00</c:formatCode>
                <c:ptCount val="26"/>
                <c:pt idx="0">
                  <c:v>44.815899999999999</c:v>
                </c:pt>
                <c:pt idx="1">
                  <c:v>46.635300000000001</c:v>
                </c:pt>
                <c:pt idx="2">
                  <c:v>47.568899999999999</c:v>
                </c:pt>
                <c:pt idx="3">
                  <c:v>47.348800000000004</c:v>
                </c:pt>
                <c:pt idx="4">
                  <c:v>47.349400000000003</c:v>
                </c:pt>
                <c:pt idx="5">
                  <c:v>46.4666</c:v>
                </c:pt>
                <c:pt idx="6">
                  <c:v>45.634799999999998</c:v>
                </c:pt>
                <c:pt idx="7">
                  <c:v>44.677099999999996</c:v>
                </c:pt>
                <c:pt idx="8">
                  <c:v>43.8429</c:v>
                </c:pt>
                <c:pt idx="9">
                  <c:v>42.888300000000001</c:v>
                </c:pt>
                <c:pt idx="10">
                  <c:v>42.075699999999998</c:v>
                </c:pt>
                <c:pt idx="11">
                  <c:v>41.578299999999999</c:v>
                </c:pt>
                <c:pt idx="12">
                  <c:v>41.390599999999999</c:v>
                </c:pt>
                <c:pt idx="13">
                  <c:v>42.209699999999998</c:v>
                </c:pt>
                <c:pt idx="14">
                  <c:v>43.740299999999998</c:v>
                </c:pt>
                <c:pt idx="15">
                  <c:v>44.852599999999995</c:v>
                </c:pt>
                <c:pt idx="16">
                  <c:v>45.844900000000003</c:v>
                </c:pt>
                <c:pt idx="17">
                  <c:v>46.868200000000002</c:v>
                </c:pt>
                <c:pt idx="18">
                  <c:v>47.788599999999995</c:v>
                </c:pt>
                <c:pt idx="19">
                  <c:v>48.432900000000004</c:v>
                </c:pt>
                <c:pt idx="20">
                  <c:v>49.0901</c:v>
                </c:pt>
                <c:pt idx="21">
                  <c:v>49.619799999999998</c:v>
                </c:pt>
                <c:pt idx="22">
                  <c:v>49.867699999999999</c:v>
                </c:pt>
                <c:pt idx="23">
                  <c:v>50.151299999999999</c:v>
                </c:pt>
                <c:pt idx="24">
                  <c:v>50.443400000000004</c:v>
                </c:pt>
                <c:pt idx="25">
                  <c:v>51.417599999999993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5.19693</c:v>
                </c:pt>
                <c:pt idx="1">
                  <c:v>4.1909099999999997</c:v>
                </c:pt>
              </c:numCache>
            </c:numRef>
          </c:xVal>
          <c:yVal>
            <c:numRef>
              <c:f>info!$W$2:$W$3</c:f>
              <c:numCache>
                <c:formatCode>0.00</c:formatCode>
                <c:ptCount val="2"/>
                <c:pt idx="0">
                  <c:v>46.635300000000001</c:v>
                </c:pt>
                <c:pt idx="1">
                  <c:v>49.867699999999999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4.6443000000000003</c:v>
                </c:pt>
                <c:pt idx="1">
                  <c:v>4.0744600000000002</c:v>
                </c:pt>
              </c:numCache>
            </c:numRef>
          </c:xVal>
          <c:yVal>
            <c:numRef>
              <c:f>info!$W$15:$W$16</c:f>
              <c:numCache>
                <c:formatCode>0.00_ </c:formatCode>
                <c:ptCount val="2"/>
                <c:pt idx="0">
                  <c:v>41.390599999999999</c:v>
                </c:pt>
                <c:pt idx="1">
                  <c:v>51.417599999999993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4.6138188461538467</c:v>
                </c:pt>
              </c:numCache>
            </c:numRef>
          </c:xVal>
          <c:yVal>
            <c:numRef>
              <c:f>info!$N$9</c:f>
              <c:numCache>
                <c:formatCode>0.0</c:formatCode>
                <c:ptCount val="1"/>
                <c:pt idx="0">
                  <c:v>46.253834615384626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45.601999999999997</c:v>
                </c:pt>
                <c:pt idx="1">
                  <c:v>13.6221</c:v>
                </c:pt>
                <c:pt idx="2">
                  <c:v>14.790100000000001</c:v>
                </c:pt>
                <c:pt idx="3">
                  <c:v>25.366</c:v>
                </c:pt>
                <c:pt idx="4">
                  <c:v>60.5062</c:v>
                </c:pt>
                <c:pt idx="5">
                  <c:v>83.913399999999996</c:v>
                </c:pt>
                <c:pt idx="6">
                  <c:v>35.345599999999997</c:v>
                </c:pt>
                <c:pt idx="7">
                  <c:v>72.826499999999996</c:v>
                </c:pt>
                <c:pt idx="8">
                  <c:v>16.658999999999999</c:v>
                </c:pt>
                <c:pt idx="9">
                  <c:v>39.76</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45.69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45.689140000000002</c:v>
                </c:pt>
                <c:pt idx="1">
                  <c:v>45.689140000000002</c:v>
                </c:pt>
                <c:pt idx="2">
                  <c:v>0</c:v>
                </c:pt>
              </c:numCache>
            </c:numRef>
          </c:xVal>
          <c:yVal>
            <c:numRef>
              <c:f>'R2'!$I$5:$I$7</c:f>
              <c:numCache>
                <c:formatCode>0.0_ </c:formatCode>
                <c:ptCount val="3"/>
                <c:pt idx="0">
                  <c:v>0</c:v>
                </c:pt>
                <c:pt idx="1">
                  <c:v>42.301634262618698</c:v>
                </c:pt>
                <c:pt idx="2">
                  <c:v>42.301634262618698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75.926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75.925666666666658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2.28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2.2777699999999999</c:v>
                </c:pt>
                <c:pt idx="1">
                  <c:v>2.2777699999999999</c:v>
                </c:pt>
                <c:pt idx="2">
                  <c:v>0</c:v>
                </c:pt>
              </c:numCache>
            </c:numRef>
          </c:xVal>
          <c:yVal>
            <c:numRef>
              <c:f>'R3'!$I$6:$I$8</c:f>
              <c:numCache>
                <c:formatCode>0.0_ </c:formatCode>
                <c:ptCount val="3"/>
                <c:pt idx="0">
                  <c:v>0</c:v>
                </c:pt>
                <c:pt idx="1">
                  <c:v>70.190893552622683</c:v>
                </c:pt>
                <c:pt idx="2">
                  <c:v>70.190893552622683</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0.87178532662147123</c:v>
                </c:pt>
                <c:pt idx="1">
                  <c:v>0.87178532662147123</c:v>
                </c:pt>
                <c:pt idx="2">
                  <c:v>-7</c:v>
                </c:pt>
              </c:numCache>
            </c:numRef>
          </c:xVal>
          <c:yVal>
            <c:numRef>
              <c:f>'R'!$I$5:$I$7</c:f>
              <c:numCache>
                <c:formatCode>0.0_ </c:formatCode>
                <c:ptCount val="3"/>
                <c:pt idx="0">
                  <c:v>0</c:v>
                </c:pt>
                <c:pt idx="1">
                  <c:v>77.094351466765488</c:v>
                </c:pt>
                <c:pt idx="2">
                  <c:v>77.094351466765488</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0.87178532662147123</c:v>
                </c:pt>
              </c:numCache>
            </c:numRef>
          </c:xVal>
          <c:yVal>
            <c:numRef>
              <c:f>'R'!$I$4</c:f>
              <c:numCache>
                <c:formatCode>0.00_ </c:formatCode>
                <c:ptCount val="1"/>
                <c:pt idx="0">
                  <c:v>77.094351466765488</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0.36180699999999999</c:v>
                </c:pt>
                <c:pt idx="2">
                  <c:v>0.76492800000000005</c:v>
                </c:pt>
                <c:pt idx="3">
                  <c:v>1.1877599999999999</c:v>
                </c:pt>
                <c:pt idx="4">
                  <c:v>1.5904499999999999</c:v>
                </c:pt>
                <c:pt idx="5">
                  <c:v>2.0035699999999999</c:v>
                </c:pt>
                <c:pt idx="6">
                  <c:v>2.39053</c:v>
                </c:pt>
                <c:pt idx="7">
                  <c:v>2.8065500000000001</c:v>
                </c:pt>
                <c:pt idx="8">
                  <c:v>3.21346</c:v>
                </c:pt>
                <c:pt idx="9">
                  <c:v>3.6189100000000001</c:v>
                </c:pt>
                <c:pt idx="10">
                  <c:v>4.0162199999999997</c:v>
                </c:pt>
                <c:pt idx="11">
                  <c:v>4.4206599999999998</c:v>
                </c:pt>
                <c:pt idx="12">
                  <c:v>4.8396499999999998</c:v>
                </c:pt>
                <c:pt idx="13">
                  <c:v>5.25244</c:v>
                </c:pt>
                <c:pt idx="14">
                  <c:v>5.63856</c:v>
                </c:pt>
                <c:pt idx="15">
                  <c:v>6.0610499999999998</c:v>
                </c:pt>
                <c:pt idx="16">
                  <c:v>6.4668799999999997</c:v>
                </c:pt>
                <c:pt idx="17">
                  <c:v>6.85846</c:v>
                </c:pt>
                <c:pt idx="18">
                  <c:v>7.2728599999999997</c:v>
                </c:pt>
                <c:pt idx="19">
                  <c:v>7.6867999999999999</c:v>
                </c:pt>
                <c:pt idx="20">
                  <c:v>8.0803399999999996</c:v>
                </c:pt>
                <c:pt idx="21">
                  <c:v>8.4886800000000004</c:v>
                </c:pt>
                <c:pt idx="22">
                  <c:v>8.8861500000000007</c:v>
                </c:pt>
                <c:pt idx="23">
                  <c:v>9.3189700000000002</c:v>
                </c:pt>
                <c:pt idx="24">
                  <c:v>9.7113899999999997</c:v>
                </c:pt>
                <c:pt idx="25">
                  <c:v>10.112500000000001</c:v>
                </c:pt>
              </c:numCache>
            </c:numRef>
          </c:xVal>
          <c:yVal>
            <c:numRef>
              <c:f>FT!$J$2:$J$2000</c:f>
              <c:numCache>
                <c:formatCode>General</c:formatCode>
                <c:ptCount val="1999"/>
                <c:pt idx="0">
                  <c:v>5.2114400000000005</c:v>
                </c:pt>
                <c:pt idx="1">
                  <c:v>5.19693</c:v>
                </c:pt>
                <c:pt idx="2">
                  <c:v>5.1627700000000001</c:v>
                </c:pt>
                <c:pt idx="3">
                  <c:v>5.0951900000000006</c:v>
                </c:pt>
                <c:pt idx="4">
                  <c:v>5.0177099999999992</c:v>
                </c:pt>
                <c:pt idx="5">
                  <c:v>4.9365600000000001</c:v>
                </c:pt>
                <c:pt idx="6">
                  <c:v>4.8603500000000004</c:v>
                </c:pt>
                <c:pt idx="7">
                  <c:v>4.7977100000000004</c:v>
                </c:pt>
                <c:pt idx="8">
                  <c:v>4.7558499999999997</c:v>
                </c:pt>
                <c:pt idx="9">
                  <c:v>4.7236799999999999</c:v>
                </c:pt>
                <c:pt idx="10">
                  <c:v>4.7005099999999995</c:v>
                </c:pt>
                <c:pt idx="11">
                  <c:v>4.67577</c:v>
                </c:pt>
                <c:pt idx="12">
                  <c:v>4.6443000000000003</c:v>
                </c:pt>
                <c:pt idx="13">
                  <c:v>4.6062900000000004</c:v>
                </c:pt>
                <c:pt idx="14">
                  <c:v>4.5685000000000002</c:v>
                </c:pt>
                <c:pt idx="15">
                  <c:v>4.5105199999999996</c:v>
                </c:pt>
                <c:pt idx="16">
                  <c:v>4.4518300000000002</c:v>
                </c:pt>
                <c:pt idx="17">
                  <c:v>4.3949400000000001</c:v>
                </c:pt>
                <c:pt idx="18">
                  <c:v>4.3278800000000004</c:v>
                </c:pt>
                <c:pt idx="19">
                  <c:v>4.2923799999999996</c:v>
                </c:pt>
                <c:pt idx="20">
                  <c:v>4.2527799999999996</c:v>
                </c:pt>
                <c:pt idx="21">
                  <c:v>4.2191600000000005</c:v>
                </c:pt>
                <c:pt idx="22">
                  <c:v>4.1909099999999997</c:v>
                </c:pt>
                <c:pt idx="23">
                  <c:v>4.1642700000000001</c:v>
                </c:pt>
                <c:pt idx="24">
                  <c:v>4.1265999999999998</c:v>
                </c:pt>
                <c:pt idx="25">
                  <c:v>4.0744600000000002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5.2114400000000005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5.2114400000000005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5.2114400000000005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5.2114400000000005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5.2114400000000005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5.2114400000000005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5.2114400000000005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5.2114400000000005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5.2114400000000005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5.2114400000000005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5.2114400000000005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5.2114400000000005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5.2114400000000005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5.2114400000000005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5.2114400000000005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5.2114400000000005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5.2114400000000005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5.2114400000000005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5.2114400000000005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5.2114400000000005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5.2114400000000005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5.2114400000000005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5.2114400000000005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5.2114400000000005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0.36180699999999999</c:v>
                </c:pt>
                <c:pt idx="2">
                  <c:v>0.76492800000000005</c:v>
                </c:pt>
                <c:pt idx="3">
                  <c:v>1.1877599999999999</c:v>
                </c:pt>
                <c:pt idx="4">
                  <c:v>1.5904499999999999</c:v>
                </c:pt>
                <c:pt idx="5">
                  <c:v>2.0035699999999999</c:v>
                </c:pt>
                <c:pt idx="6">
                  <c:v>2.39053</c:v>
                </c:pt>
                <c:pt idx="7">
                  <c:v>2.8065500000000001</c:v>
                </c:pt>
                <c:pt idx="8">
                  <c:v>3.21346</c:v>
                </c:pt>
                <c:pt idx="9">
                  <c:v>3.6189100000000001</c:v>
                </c:pt>
                <c:pt idx="10">
                  <c:v>4.0162199999999997</c:v>
                </c:pt>
                <c:pt idx="11">
                  <c:v>4.4206599999999998</c:v>
                </c:pt>
                <c:pt idx="12">
                  <c:v>4.8396499999999998</c:v>
                </c:pt>
                <c:pt idx="13">
                  <c:v>5.25244</c:v>
                </c:pt>
                <c:pt idx="14">
                  <c:v>5.63856</c:v>
                </c:pt>
                <c:pt idx="15">
                  <c:v>6.0610499999999998</c:v>
                </c:pt>
                <c:pt idx="16">
                  <c:v>6.4668799999999997</c:v>
                </c:pt>
                <c:pt idx="17">
                  <c:v>6.85846</c:v>
                </c:pt>
                <c:pt idx="18">
                  <c:v>7.2728599999999997</c:v>
                </c:pt>
                <c:pt idx="19">
                  <c:v>7.6867999999999999</c:v>
                </c:pt>
                <c:pt idx="20">
                  <c:v>8.0803399999999996</c:v>
                </c:pt>
                <c:pt idx="21">
                  <c:v>8.4886800000000004</c:v>
                </c:pt>
                <c:pt idx="22">
                  <c:v>8.8861500000000007</c:v>
                </c:pt>
                <c:pt idx="23">
                  <c:v>9.3189700000000002</c:v>
                </c:pt>
                <c:pt idx="24">
                  <c:v>9.7113899999999997</c:v>
                </c:pt>
                <c:pt idx="25">
                  <c:v>10.112500000000001</c:v>
                </c:pt>
              </c:numCache>
            </c:numRef>
          </c:xVal>
          <c:yVal>
            <c:numRef>
              <c:f>FT!$K$2:$K$2000</c:f>
              <c:numCache>
                <c:formatCode>General</c:formatCode>
                <c:ptCount val="1999"/>
                <c:pt idx="0">
                  <c:v>44.815899999999999</c:v>
                </c:pt>
                <c:pt idx="1">
                  <c:v>46.635300000000001</c:v>
                </c:pt>
                <c:pt idx="2">
                  <c:v>47.568899999999999</c:v>
                </c:pt>
                <c:pt idx="3">
                  <c:v>47.348800000000004</c:v>
                </c:pt>
                <c:pt idx="4">
                  <c:v>47.349400000000003</c:v>
                </c:pt>
                <c:pt idx="5">
                  <c:v>46.4666</c:v>
                </c:pt>
                <c:pt idx="6">
                  <c:v>45.634799999999998</c:v>
                </c:pt>
                <c:pt idx="7">
                  <c:v>44.677099999999996</c:v>
                </c:pt>
                <c:pt idx="8">
                  <c:v>43.8429</c:v>
                </c:pt>
                <c:pt idx="9">
                  <c:v>42.888300000000001</c:v>
                </c:pt>
                <c:pt idx="10">
                  <c:v>42.075699999999998</c:v>
                </c:pt>
                <c:pt idx="11">
                  <c:v>41.578299999999999</c:v>
                </c:pt>
                <c:pt idx="12">
                  <c:v>41.390599999999999</c:v>
                </c:pt>
                <c:pt idx="13">
                  <c:v>42.209699999999998</c:v>
                </c:pt>
                <c:pt idx="14">
                  <c:v>43.740299999999998</c:v>
                </c:pt>
                <c:pt idx="15">
                  <c:v>44.852599999999995</c:v>
                </c:pt>
                <c:pt idx="16">
                  <c:v>45.844900000000003</c:v>
                </c:pt>
                <c:pt idx="17">
                  <c:v>46.868200000000002</c:v>
                </c:pt>
                <c:pt idx="18">
                  <c:v>47.788599999999995</c:v>
                </c:pt>
                <c:pt idx="19">
                  <c:v>48.432900000000004</c:v>
                </c:pt>
                <c:pt idx="20">
                  <c:v>49.0901</c:v>
                </c:pt>
                <c:pt idx="21">
                  <c:v>49.619799999999998</c:v>
                </c:pt>
                <c:pt idx="22">
                  <c:v>49.867699999999999</c:v>
                </c:pt>
                <c:pt idx="23">
                  <c:v>50.151299999999999</c:v>
                </c:pt>
                <c:pt idx="24">
                  <c:v>50.443400000000004</c:v>
                </c:pt>
                <c:pt idx="25">
                  <c:v>51.417599999999993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44.815899999999999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44.815899999999999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44.815899999999999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44.815899999999999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44.815899999999999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44.815899999999999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44.815899999999999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44.815899999999999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44.815899999999999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44.815899999999999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44.815899999999999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44.815899999999999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44.815899999999999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44.815899999999999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44.815899999999999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44.815899999999999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44.815899999999999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44.815899999999999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44.815899999999999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44.815899999999999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44.815899999999999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44.815899999999999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44.815899999999999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44.815899999999999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0.36180699999999999</c:v>
                </c:pt>
                <c:pt idx="2">
                  <c:v>0.76492800000000005</c:v>
                </c:pt>
                <c:pt idx="3">
                  <c:v>1.1877599999999999</c:v>
                </c:pt>
                <c:pt idx="4">
                  <c:v>1.5904499999999999</c:v>
                </c:pt>
                <c:pt idx="5">
                  <c:v>2.0035699999999999</c:v>
                </c:pt>
                <c:pt idx="6">
                  <c:v>2.39053</c:v>
                </c:pt>
                <c:pt idx="7">
                  <c:v>2.8065500000000001</c:v>
                </c:pt>
                <c:pt idx="8">
                  <c:v>3.21346</c:v>
                </c:pt>
                <c:pt idx="9">
                  <c:v>3.6189100000000001</c:v>
                </c:pt>
                <c:pt idx="10">
                  <c:v>4.0162199999999997</c:v>
                </c:pt>
                <c:pt idx="11">
                  <c:v>4.4206599999999998</c:v>
                </c:pt>
                <c:pt idx="12">
                  <c:v>4.8396499999999998</c:v>
                </c:pt>
                <c:pt idx="13">
                  <c:v>5.25244</c:v>
                </c:pt>
                <c:pt idx="14">
                  <c:v>5.63856</c:v>
                </c:pt>
                <c:pt idx="15">
                  <c:v>6.0610499999999998</c:v>
                </c:pt>
                <c:pt idx="16">
                  <c:v>6.4668799999999997</c:v>
                </c:pt>
                <c:pt idx="17">
                  <c:v>6.85846</c:v>
                </c:pt>
                <c:pt idx="18">
                  <c:v>7.2728599999999997</c:v>
                </c:pt>
                <c:pt idx="19">
                  <c:v>7.6867999999999999</c:v>
                </c:pt>
                <c:pt idx="20">
                  <c:v>8.0803399999999996</c:v>
                </c:pt>
                <c:pt idx="21">
                  <c:v>8.4886800000000004</c:v>
                </c:pt>
                <c:pt idx="22">
                  <c:v>8.8861500000000007</c:v>
                </c:pt>
                <c:pt idx="23">
                  <c:v>9.3189700000000002</c:v>
                </c:pt>
                <c:pt idx="24">
                  <c:v>9.7113899999999997</c:v>
                </c:pt>
                <c:pt idx="25">
                  <c:v>10.112500000000001</c:v>
                </c:pt>
              </c:numCache>
            </c:numRef>
          </c:xVal>
          <c:yVal>
            <c:numRef>
              <c:f>FT!$L$2:$L$2000</c:f>
              <c:numCache>
                <c:formatCode>General</c:formatCode>
                <c:ptCount val="1999"/>
                <c:pt idx="0">
                  <c:v>8.5995233563084277</c:v>
                </c:pt>
                <c:pt idx="1">
                  <c:v>8.9736248131108169</c:v>
                </c:pt>
                <c:pt idx="2">
                  <c:v>9.2138328842849866</c:v>
                </c:pt>
                <c:pt idx="3">
                  <c:v>9.2928428576755717</c:v>
                </c:pt>
                <c:pt idx="4">
                  <c:v>9.4364560725908859</c:v>
                </c:pt>
                <c:pt idx="5">
                  <c:v>9.4127489587891162</c:v>
                </c:pt>
                <c:pt idx="6">
                  <c:v>9.3892003662287689</c:v>
                </c:pt>
                <c:pt idx="7">
                  <c:v>9.3121718486527936</c:v>
                </c:pt>
                <c:pt idx="8">
                  <c:v>9.2187306159782167</c:v>
                </c:pt>
                <c:pt idx="9">
                  <c:v>9.0794253632760906</c:v>
                </c:pt>
                <c:pt idx="10">
                  <c:v>8.951305283894726</c:v>
                </c:pt>
                <c:pt idx="11">
                  <c:v>8.8922893983236975</c:v>
                </c:pt>
                <c:pt idx="12">
                  <c:v>8.9121288461124379</c:v>
                </c:pt>
                <c:pt idx="13">
                  <c:v>9.1634916603166534</c:v>
                </c:pt>
                <c:pt idx="14">
                  <c:v>9.574324176425522</c:v>
                </c:pt>
                <c:pt idx="15">
                  <c:v>9.9439975878612668</c:v>
                </c:pt>
                <c:pt idx="16">
                  <c:v>10.297989815424218</c:v>
                </c:pt>
                <c:pt idx="17">
                  <c:v>10.664127382853918</c:v>
                </c:pt>
                <c:pt idx="18">
                  <c:v>11.042034437184023</c:v>
                </c:pt>
                <c:pt idx="19">
                  <c:v>11.283460457834583</c:v>
                </c:pt>
                <c:pt idx="20">
                  <c:v>11.543061244644681</c:v>
                </c:pt>
                <c:pt idx="21">
                  <c:v>11.760587415504506</c:v>
                </c:pt>
                <c:pt idx="22">
                  <c:v>11.899014772447989</c:v>
                </c:pt>
                <c:pt idx="23">
                  <c:v>12.04323927122881</c:v>
                </c:pt>
                <c:pt idx="24">
                  <c:v>12.223961614888772</c:v>
                </c:pt>
                <c:pt idx="25">
                  <c:v>12.619488226660708</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7.1528780385141533E-4</c:v>
                </c:pt>
                <c:pt idx="16">
                  <c:v>1.4030664000841838E-3</c:v>
                </c:pt>
                <c:pt idx="17">
                  <c:v>7.1528780385141533E-4</c:v>
                </c:pt>
                <c:pt idx="18">
                  <c:v>1.8432431863622013E-3</c:v>
                </c:pt>
                <c:pt idx="19">
                  <c:v>3.5764495422498159E-4</c:v>
                </c:pt>
                <c:pt idx="20">
                  <c:v>1.4580869199200251E-3</c:v>
                </c:pt>
                <c:pt idx="21">
                  <c:v>2.7511101757339788E-3</c:v>
                </c:pt>
                <c:pt idx="22">
                  <c:v>4.8144375460380927E-3</c:v>
                </c:pt>
                <c:pt idx="23">
                  <c:v>3.6589708513101128E-3</c:v>
                </c:pt>
                <c:pt idx="24">
                  <c:v>4.1541828896138064E-3</c:v>
                </c:pt>
                <c:pt idx="25">
                  <c:v>3.4388929811638427E-3</c:v>
                </c:pt>
                <c:pt idx="26">
                  <c:v>5.4472061454277597E-3</c:v>
                </c:pt>
                <c:pt idx="27">
                  <c:v>0</c:v>
                </c:pt>
                <c:pt idx="28">
                  <c:v>0</c:v>
                </c:pt>
                <c:pt idx="29">
                  <c:v>4.6768809849521205E-4</c:v>
                </c:pt>
                <c:pt idx="30">
                  <c:v>3.6314637482900139E-3</c:v>
                </c:pt>
                <c:pt idx="31">
                  <c:v>1.934029253919815E-2</c:v>
                </c:pt>
                <c:pt idx="32">
                  <c:v>1.0179101336420077E-3</c:v>
                </c:pt>
                <c:pt idx="33">
                  <c:v>1.8157318741450069E-3</c:v>
                </c:pt>
                <c:pt idx="34">
                  <c:v>2.1926339050826055E-2</c:v>
                </c:pt>
                <c:pt idx="35">
                  <c:v>8.1597811217510266E-2</c:v>
                </c:pt>
                <c:pt idx="36">
                  <c:v>8.5559507523939801E-3</c:v>
                </c:pt>
                <c:pt idx="37">
                  <c:v>3.0647374513311586E-2</c:v>
                </c:pt>
                <c:pt idx="38">
                  <c:v>7.9947174576449551E-2</c:v>
                </c:pt>
                <c:pt idx="39">
                  <c:v>0.17868462590760811</c:v>
                </c:pt>
                <c:pt idx="40">
                  <c:v>7.6370830264127124E-2</c:v>
                </c:pt>
                <c:pt idx="41">
                  <c:v>9.9672734925812898E-2</c:v>
                </c:pt>
                <c:pt idx="42">
                  <c:v>0.23508155319372831</c:v>
                </c:pt>
                <c:pt idx="43">
                  <c:v>0.1375279385457224</c:v>
                </c:pt>
                <c:pt idx="44">
                  <c:v>0.24875512995896032</c:v>
                </c:pt>
                <c:pt idx="45">
                  <c:v>0.14198484689045565</c:v>
                </c:pt>
                <c:pt idx="46">
                  <c:v>0.22798484689045567</c:v>
                </c:pt>
                <c:pt idx="47">
                  <c:v>0.15684078711985688</c:v>
                </c:pt>
                <c:pt idx="48">
                  <c:v>0.13012753867199833</c:v>
                </c:pt>
                <c:pt idx="49">
                  <c:v>0.10258886667368199</c:v>
                </c:pt>
                <c:pt idx="50">
                  <c:v>6.5146164369146581E-2</c:v>
                </c:pt>
                <c:pt idx="51">
                  <c:v>4.7896874671156477E-2</c:v>
                </c:pt>
                <c:pt idx="52">
                  <c:v>8.1873092707566028E-2</c:v>
                </c:pt>
                <c:pt idx="53">
                  <c:v>3.4499000315689782E-2</c:v>
                </c:pt>
                <c:pt idx="54">
                  <c:v>3.2298011154372301E-2</c:v>
                </c:pt>
                <c:pt idx="55">
                  <c:v>3.584699568557298E-2</c:v>
                </c:pt>
                <c:pt idx="56">
                  <c:v>1.774464905819215E-2</c:v>
                </c:pt>
                <c:pt idx="57">
                  <c:v>1.4085678206882037E-2</c:v>
                </c:pt>
                <c:pt idx="58">
                  <c:v>1.4360791329053983E-2</c:v>
                </c:pt>
                <c:pt idx="59">
                  <c:v>8.7210144165000524E-3</c:v>
                </c:pt>
                <c:pt idx="60">
                  <c:v>6.3825739240239918E-3</c:v>
                </c:pt>
                <c:pt idx="61">
                  <c:v>3.8240345154161842E-3</c:v>
                </c:pt>
                <c:pt idx="62">
                  <c:v>3.6039566452699149E-3</c:v>
                </c:pt>
                <c:pt idx="63">
                  <c:v>1.9532884352309798E-3</c:v>
                </c:pt>
                <c:pt idx="64">
                  <c:v>6.1349679048721458E-3</c:v>
                </c:pt>
                <c:pt idx="65">
                  <c:v>1.0261643691465852E-2</c:v>
                </c:pt>
                <c:pt idx="66">
                  <c:v>7.9507103020098908E-3</c:v>
                </c:pt>
                <c:pt idx="67">
                  <c:v>1.5296159107650215E-2</c:v>
                </c:pt>
                <c:pt idx="68">
                  <c:v>1.7469535936020204E-2</c:v>
                </c:pt>
                <c:pt idx="69">
                  <c:v>1.9010165210986002E-2</c:v>
                </c:pt>
                <c:pt idx="70">
                  <c:v>3.5131642639166578E-2</c:v>
                </c:pt>
                <c:pt idx="71">
                  <c:v>2.4705040513522042E-2</c:v>
                </c:pt>
                <c:pt idx="72">
                  <c:v>3.1802799116068606E-2</c:v>
                </c:pt>
                <c:pt idx="73">
                  <c:v>4.3715037356624221E-2</c:v>
                </c:pt>
                <c:pt idx="74">
                  <c:v>5.4747132484478579E-2</c:v>
                </c:pt>
                <c:pt idx="75">
                  <c:v>4.4870672419236028E-2</c:v>
                </c:pt>
                <c:pt idx="76">
                  <c:v>6.264274439650637E-2</c:v>
                </c:pt>
                <c:pt idx="77">
                  <c:v>7.8434178680416702E-2</c:v>
                </c:pt>
                <c:pt idx="78">
                  <c:v>7.3124487004103969E-2</c:v>
                </c:pt>
                <c:pt idx="79">
                  <c:v>5.7553193728296329E-2</c:v>
                </c:pt>
                <c:pt idx="80">
                  <c:v>6.2835315163632541E-2</c:v>
                </c:pt>
                <c:pt idx="81">
                  <c:v>9.2657266126486379E-2</c:v>
                </c:pt>
                <c:pt idx="82">
                  <c:v>4.6878880353572558E-2</c:v>
                </c:pt>
                <c:pt idx="83">
                  <c:v>7.3757339787435539E-2</c:v>
                </c:pt>
                <c:pt idx="84">
                  <c:v>8.289087656529516E-2</c:v>
                </c:pt>
                <c:pt idx="85">
                  <c:v>0</c:v>
                </c:pt>
                <c:pt idx="86">
                  <c:v>7.9534673261075453E-2</c:v>
                </c:pt>
                <c:pt idx="87">
                  <c:v>8.6687361885720293E-2</c:v>
                </c:pt>
                <c:pt idx="88">
                  <c:v>9.5381037567084076E-2</c:v>
                </c:pt>
                <c:pt idx="89">
                  <c:v>6.137724928969799E-2</c:v>
                </c:pt>
                <c:pt idx="90">
                  <c:v>9.0621487951173321E-2</c:v>
                </c:pt>
                <c:pt idx="91">
                  <c:v>0.18058276333789328</c:v>
                </c:pt>
                <c:pt idx="92">
                  <c:v>0.14479090813427339</c:v>
                </c:pt>
                <c:pt idx="93">
                  <c:v>8.800799747448175E-2</c:v>
                </c:pt>
                <c:pt idx="94">
                  <c:v>0.20520530358834052</c:v>
                </c:pt>
                <c:pt idx="95">
                  <c:v>0.19191728927707039</c:v>
                </c:pt>
                <c:pt idx="96">
                  <c:v>0.23777754393349468</c:v>
                </c:pt>
                <c:pt idx="97">
                  <c:v>0.26418815111017574</c:v>
                </c:pt>
                <c:pt idx="98">
                  <c:v>0.28019993686204359</c:v>
                </c:pt>
                <c:pt idx="99">
                  <c:v>0.28322634957381876</c:v>
                </c:pt>
                <c:pt idx="100">
                  <c:v>0.34829001367989054</c:v>
                </c:pt>
                <c:pt idx="101">
                  <c:v>0.26429969483321053</c:v>
                </c:pt>
                <c:pt idx="102">
                  <c:v>0.23942965379353889</c:v>
                </c:pt>
                <c:pt idx="103">
                  <c:v>0.5299463327370304</c:v>
                </c:pt>
                <c:pt idx="104">
                  <c:v>0.2795959170788172</c:v>
                </c:pt>
                <c:pt idx="105">
                  <c:v>0.34548458381563718</c:v>
                </c:pt>
                <c:pt idx="106">
                  <c:v>0.36581500578764597</c:v>
                </c:pt>
                <c:pt idx="107">
                  <c:v>0.43415342523413653</c:v>
                </c:pt>
                <c:pt idx="108">
                  <c:v>0.28881195411975163</c:v>
                </c:pt>
                <c:pt idx="109">
                  <c:v>0.41142797011470061</c:v>
                </c:pt>
                <c:pt idx="110">
                  <c:v>0.4275218352099337</c:v>
                </c:pt>
                <c:pt idx="111">
                  <c:v>0.2632263495738188</c:v>
                </c:pt>
                <c:pt idx="112">
                  <c:v>0.45426286435862356</c:v>
                </c:pt>
                <c:pt idx="113">
                  <c:v>0.45382300326212777</c:v>
                </c:pt>
                <c:pt idx="114">
                  <c:v>0.35291171209091865</c:v>
                </c:pt>
                <c:pt idx="115">
                  <c:v>0.36666736819951595</c:v>
                </c:pt>
                <c:pt idx="116">
                  <c:v>0.55861306955698198</c:v>
                </c:pt>
                <c:pt idx="117">
                  <c:v>0.43206145427759651</c:v>
                </c:pt>
                <c:pt idx="118">
                  <c:v>0.428649900031569</c:v>
                </c:pt>
                <c:pt idx="119">
                  <c:v>0.40988740397769124</c:v>
                </c:pt>
                <c:pt idx="120">
                  <c:v>0.43929706408502578</c:v>
                </c:pt>
                <c:pt idx="121">
                  <c:v>0.42664211301694199</c:v>
                </c:pt>
                <c:pt idx="122">
                  <c:v>0.69168473113753548</c:v>
                </c:pt>
                <c:pt idx="123">
                  <c:v>0.29992633905082605</c:v>
                </c:pt>
                <c:pt idx="124">
                  <c:v>0.86693044301799427</c:v>
                </c:pt>
                <c:pt idx="125">
                  <c:v>0</c:v>
                </c:pt>
                <c:pt idx="126">
                  <c:v>1</c:v>
                </c:pt>
                <c:pt idx="127">
                  <c:v>0</c:v>
                </c:pt>
                <c:pt idx="128">
                  <c:v>0.82161843628327902</c:v>
                </c:pt>
                <c:pt idx="129">
                  <c:v>0</c:v>
                </c:pt>
                <c:pt idx="130">
                  <c:v>0.98808797221929912</c:v>
                </c:pt>
                <c:pt idx="131">
                  <c:v>0</c:v>
                </c:pt>
                <c:pt idx="132">
                  <c:v>0.83930758707776487</c:v>
                </c:pt>
                <c:pt idx="133">
                  <c:v>0.22793012732821213</c:v>
                </c:pt>
                <c:pt idx="134">
                  <c:v>0.74387246132800167</c:v>
                </c:pt>
                <c:pt idx="135">
                  <c:v>0.23813532568662527</c:v>
                </c:pt>
                <c:pt idx="136">
                  <c:v>0.48276544249184472</c:v>
                </c:pt>
                <c:pt idx="137">
                  <c:v>0.46083763022203511</c:v>
                </c:pt>
                <c:pt idx="138">
                  <c:v>0.49225507734399665</c:v>
                </c:pt>
                <c:pt idx="139">
                  <c:v>0.42477112490792379</c:v>
                </c:pt>
                <c:pt idx="140">
                  <c:v>0.44135957066189624</c:v>
                </c:pt>
                <c:pt idx="141">
                  <c:v>0.40895296222245608</c:v>
                </c:pt>
                <c:pt idx="142">
                  <c:v>0.29868883510470379</c:v>
                </c:pt>
                <c:pt idx="143">
                  <c:v>0.54735978112175099</c:v>
                </c:pt>
                <c:pt idx="144">
                  <c:v>0.33742397137745972</c:v>
                </c:pt>
                <c:pt idx="145">
                  <c:v>0.29733978743554668</c:v>
                </c:pt>
                <c:pt idx="146">
                  <c:v>0.34983057981689991</c:v>
                </c:pt>
                <c:pt idx="147">
                  <c:v>0.36347679680101025</c:v>
                </c:pt>
                <c:pt idx="148">
                  <c:v>0.24622329790592443</c:v>
                </c:pt>
                <c:pt idx="149">
                  <c:v>0.26782068820372512</c:v>
                </c:pt>
                <c:pt idx="150">
                  <c:v>0.21785962327685993</c:v>
                </c:pt>
                <c:pt idx="151">
                  <c:v>0.28628012206671577</c:v>
                </c:pt>
                <c:pt idx="152">
                  <c:v>0.17882205619278121</c:v>
                </c:pt>
                <c:pt idx="153">
                  <c:v>0.15265894980532463</c:v>
                </c:pt>
                <c:pt idx="154">
                  <c:v>0.26691360622961169</c:v>
                </c:pt>
                <c:pt idx="155">
                  <c:v>0.15441986741029148</c:v>
                </c:pt>
                <c:pt idx="156">
                  <c:v>0.19865768704619594</c:v>
                </c:pt>
                <c:pt idx="157">
                  <c:v>0.18545217299800063</c:v>
                </c:pt>
                <c:pt idx="158">
                  <c:v>0.19626412711775229</c:v>
                </c:pt>
                <c:pt idx="159">
                  <c:v>0.14564369146585288</c:v>
                </c:pt>
                <c:pt idx="160">
                  <c:v>0.15032053035883405</c:v>
                </c:pt>
                <c:pt idx="161">
                  <c:v>0.11573924023992423</c:v>
                </c:pt>
                <c:pt idx="162">
                  <c:v>0.14148963485215196</c:v>
                </c:pt>
                <c:pt idx="163">
                  <c:v>4.2174471219614859E-2</c:v>
                </c:pt>
                <c:pt idx="164">
                  <c:v>0.11051204882668632</c:v>
                </c:pt>
                <c:pt idx="165">
                  <c:v>0.13043017994317585</c:v>
                </c:pt>
                <c:pt idx="166">
                  <c:v>9.6811533200042085E-2</c:v>
                </c:pt>
                <c:pt idx="167">
                  <c:v>2.7483531516363253E-2</c:v>
                </c:pt>
                <c:pt idx="168">
                  <c:v>7.7526254866884151E-2</c:v>
                </c:pt>
                <c:pt idx="169">
                  <c:v>8.0662527622855931E-2</c:v>
                </c:pt>
                <c:pt idx="170">
                  <c:v>0</c:v>
                </c:pt>
                <c:pt idx="171">
                  <c:v>6.5228875092076186E-2</c:v>
                </c:pt>
                <c:pt idx="172">
                  <c:v>4.5503314742712832E-2</c:v>
                </c:pt>
                <c:pt idx="173">
                  <c:v>3.0262232979059243E-2</c:v>
                </c:pt>
                <c:pt idx="174">
                  <c:v>6.7952436072819108E-3</c:v>
                </c:pt>
                <c:pt idx="175">
                  <c:v>1.8404924760601914E-2</c:v>
                </c:pt>
                <c:pt idx="176">
                  <c:v>1.0289150794485951E-2</c:v>
                </c:pt>
                <c:pt idx="177">
                  <c:v>7.7581184888982418E-3</c:v>
                </c:pt>
                <c:pt idx="178">
                  <c:v>8.4459012943281075E-3</c:v>
                </c:pt>
                <c:pt idx="179">
                  <c:v>8.2533305272019363E-3</c:v>
                </c:pt>
                <c:pt idx="180">
                  <c:v>4.7594233399978958E-3</c:v>
                </c:pt>
                <c:pt idx="181">
                  <c:v>1.6231547932231928E-3</c:v>
                </c:pt>
                <c:pt idx="182">
                  <c:v>6.6026728401557405E-3</c:v>
                </c:pt>
                <c:pt idx="183">
                  <c:v>3.0537304009260234E-3</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c:v>
                </c:pt>
                <c:pt idx="4">
                  <c:v>0</c:v>
                </c:pt>
                <c:pt idx="5">
                  <c:v>0</c:v>
                </c:pt>
                <c:pt idx="6">
                  <c:v>0</c:v>
                </c:pt>
                <c:pt idx="7">
                  <c:v>3.98075773475229E-3</c:v>
                </c:pt>
                <c:pt idx="8">
                  <c:v>6.9328954999153059E-3</c:v>
                </c:pt>
                <c:pt idx="9">
                  <c:v>0</c:v>
                </c:pt>
                <c:pt idx="10">
                  <c:v>1.5323003279160419E-2</c:v>
                </c:pt>
                <c:pt idx="11">
                  <c:v>5.1328119957730782E-2</c:v>
                </c:pt>
                <c:pt idx="12">
                  <c:v>5.8418737868291243E-2</c:v>
                </c:pt>
                <c:pt idx="13">
                  <c:v>1.8542582708553048E-2</c:v>
                </c:pt>
                <c:pt idx="14">
                  <c:v>0.12001591372460595</c:v>
                </c:pt>
                <c:pt idx="15">
                  <c:v>0.12026962146553247</c:v>
                </c:pt>
                <c:pt idx="16">
                  <c:v>0.16244303234975271</c:v>
                </c:pt>
                <c:pt idx="17">
                  <c:v>0.17537620707113546</c:v>
                </c:pt>
                <c:pt idx="18">
                  <c:v>0.27439113958613537</c:v>
                </c:pt>
                <c:pt idx="19">
                  <c:v>0.2290461576755432</c:v>
                </c:pt>
                <c:pt idx="20">
                  <c:v>0.5244725293441822</c:v>
                </c:pt>
                <c:pt idx="21">
                  <c:v>0.35065643668092961</c:v>
                </c:pt>
                <c:pt idx="22">
                  <c:v>0.31088656729395003</c:v>
                </c:pt>
                <c:pt idx="23">
                  <c:v>0.64083344633568351</c:v>
                </c:pt>
                <c:pt idx="24">
                  <c:v>0.6856503987645679</c:v>
                </c:pt>
                <c:pt idx="25">
                  <c:v>0.41580916947540175</c:v>
                </c:pt>
                <c:pt idx="26">
                  <c:v>0.63973968465768472</c:v>
                </c:pt>
                <c:pt idx="27">
                  <c:v>0.83076808162151405</c:v>
                </c:pt>
                <c:pt idx="28">
                  <c:v>0.89796433354676175</c:v>
                </c:pt>
                <c:pt idx="29">
                  <c:v>0.33311501921025966</c:v>
                </c:pt>
                <c:pt idx="30">
                  <c:v>1</c:v>
                </c:pt>
                <c:pt idx="31">
                  <c:v>0.70978529025364256</c:v>
                </c:pt>
                <c:pt idx="32">
                  <c:v>0.67567278217427396</c:v>
                </c:pt>
                <c:pt idx="33">
                  <c:v>0.58837384624749056</c:v>
                </c:pt>
                <c:pt idx="34">
                  <c:v>0.73471552698561426</c:v>
                </c:pt>
                <c:pt idx="35">
                  <c:v>0.62841115205273967</c:v>
                </c:pt>
                <c:pt idx="36">
                  <c:v>0.7216040683133319</c:v>
                </c:pt>
                <c:pt idx="37">
                  <c:v>0.54009730122688993</c:v>
                </c:pt>
                <c:pt idx="38">
                  <c:v>0.41060439287563161</c:v>
                </c:pt>
                <c:pt idx="39">
                  <c:v>0.69866587997550911</c:v>
                </c:pt>
                <c:pt idx="40">
                  <c:v>0.54466778617901368</c:v>
                </c:pt>
                <c:pt idx="41">
                  <c:v>0.51808825896496924</c:v>
                </c:pt>
                <c:pt idx="42">
                  <c:v>0.63664698926302543</c:v>
                </c:pt>
                <c:pt idx="43">
                  <c:v>0.37572047424590621</c:v>
                </c:pt>
                <c:pt idx="44">
                  <c:v>0.61352016931818554</c:v>
                </c:pt>
                <c:pt idx="45">
                  <c:v>0.34605849699709967</c:v>
                </c:pt>
                <c:pt idx="46">
                  <c:v>0.53461816616461866</c:v>
                </c:pt>
                <c:pt idx="47">
                  <c:v>0.52301195178150672</c:v>
                </c:pt>
                <c:pt idx="48">
                  <c:v>0.32011328503752162</c:v>
                </c:pt>
                <c:pt idx="49">
                  <c:v>0.47829097419098365</c:v>
                </c:pt>
                <c:pt idx="50">
                  <c:v>0.35029986877913011</c:v>
                </c:pt>
                <c:pt idx="51">
                  <c:v>0.27014636842201928</c:v>
                </c:pt>
                <c:pt idx="52">
                  <c:v>0.51048679733768998</c:v>
                </c:pt>
                <c:pt idx="53">
                  <c:v>0.30438911270456681</c:v>
                </c:pt>
                <c:pt idx="54">
                  <c:v>0.31309810665486798</c:v>
                </c:pt>
                <c:pt idx="55">
                  <c:v>0.37787025554262033</c:v>
                </c:pt>
                <c:pt idx="56">
                  <c:v>0.27533061233431477</c:v>
                </c:pt>
                <c:pt idx="57">
                  <c:v>0.20416042766828632</c:v>
                </c:pt>
                <c:pt idx="58">
                  <c:v>0.33678377347348742</c:v>
                </c:pt>
                <c:pt idx="59">
                  <c:v>0.30520515325969866</c:v>
                </c:pt>
                <c:pt idx="60">
                  <c:v>0.24648127363557443</c:v>
                </c:pt>
                <c:pt idx="61">
                  <c:v>0.17702543460168807</c:v>
                </c:pt>
                <c:pt idx="62">
                  <c:v>0.28089544015333012</c:v>
                </c:pt>
                <c:pt idx="63">
                  <c:v>0.3159953874162188</c:v>
                </c:pt>
                <c:pt idx="64">
                  <c:v>0.15550328824904588</c:v>
                </c:pt>
                <c:pt idx="65">
                  <c:v>0.19361707625872129</c:v>
                </c:pt>
                <c:pt idx="66">
                  <c:v>0.19274960693464294</c:v>
                </c:pt>
                <c:pt idx="67">
                  <c:v>0.19151526139734779</c:v>
                </c:pt>
                <c:pt idx="68">
                  <c:v>0.20771259309329806</c:v>
                </c:pt>
                <c:pt idx="69">
                  <c:v>0.16865246012783175</c:v>
                </c:pt>
                <c:pt idx="70">
                  <c:v>0.16778842166159916</c:v>
                </c:pt>
                <c:pt idx="71">
                  <c:v>0.16695867603594425</c:v>
                </c:pt>
                <c:pt idx="72">
                  <c:v>0.18050901959150453</c:v>
                </c:pt>
                <c:pt idx="73">
                  <c:v>0.14926641623118073</c:v>
                </c:pt>
                <c:pt idx="74">
                  <c:v>0.14899554895506537</c:v>
                </c:pt>
                <c:pt idx="75">
                  <c:v>0.13578807347674149</c:v>
                </c:pt>
                <c:pt idx="76">
                  <c:v>0.13306223331145892</c:v>
                </c:pt>
                <c:pt idx="77">
                  <c:v>0.13320967101750675</c:v>
                </c:pt>
                <c:pt idx="78">
                  <c:v>0.15951146137080427</c:v>
                </c:pt>
                <c:pt idx="79">
                  <c:v>0.12775455720611584</c:v>
                </c:pt>
                <c:pt idx="80">
                  <c:v>0.12242287821075244</c:v>
                </c:pt>
                <c:pt idx="81">
                  <c:v>0.11403619342041307</c:v>
                </c:pt>
                <c:pt idx="82">
                  <c:v>0.14945499800157774</c:v>
                </c:pt>
                <c:pt idx="83">
                  <c:v>0.14962643859764599</c:v>
                </c:pt>
                <c:pt idx="84">
                  <c:v>0.14102374878096346</c:v>
                </c:pt>
                <c:pt idx="85">
                  <c:v>0</c:v>
                </c:pt>
                <c:pt idx="86">
                  <c:v>0.14167178746681294</c:v>
                </c:pt>
                <c:pt idx="87">
                  <c:v>0.14218609089415757</c:v>
                </c:pt>
                <c:pt idx="88">
                  <c:v>0.13461886702487583</c:v>
                </c:pt>
                <c:pt idx="89">
                  <c:v>0.13623381482975083</c:v>
                </c:pt>
                <c:pt idx="90">
                  <c:v>0.10576266661044395</c:v>
                </c:pt>
                <c:pt idx="91">
                  <c:v>0.10667813384562301</c:v>
                </c:pt>
                <c:pt idx="92">
                  <c:v>0.10543693446157634</c:v>
                </c:pt>
                <c:pt idx="93">
                  <c:v>0.10709301583888049</c:v>
                </c:pt>
                <c:pt idx="94">
                  <c:v>0.12689736471769475</c:v>
                </c:pt>
                <c:pt idx="95">
                  <c:v>0.10505977354376228</c:v>
                </c:pt>
                <c:pt idx="96">
                  <c:v>7.7417344011470934E-2</c:v>
                </c:pt>
                <c:pt idx="97">
                  <c:v>0.15127565825925857</c:v>
                </c:pt>
                <c:pt idx="98">
                  <c:v>7.4811502558410098E-2</c:v>
                </c:pt>
                <c:pt idx="99">
                  <c:v>0.12617047662993275</c:v>
                </c:pt>
                <c:pt idx="100">
                  <c:v>9.6453660738174019E-2</c:v>
                </c:pt>
                <c:pt idx="101">
                  <c:v>9.2267182681675886E-2</c:v>
                </c:pt>
                <c:pt idx="102">
                  <c:v>0.14154834478184541</c:v>
                </c:pt>
                <c:pt idx="103">
                  <c:v>6.7542595450989909E-2</c:v>
                </c:pt>
                <c:pt idx="104">
                  <c:v>6.3657833538438999E-2</c:v>
                </c:pt>
                <c:pt idx="105">
                  <c:v>0.10507692258703111</c:v>
                </c:pt>
                <c:pt idx="106">
                  <c:v>0.1058758219678342</c:v>
                </c:pt>
                <c:pt idx="107">
                  <c:v>7.7976222361010497E-2</c:v>
                </c:pt>
                <c:pt idx="108">
                  <c:v>7.2788555459809209E-2</c:v>
                </c:pt>
                <c:pt idx="109">
                  <c:v>7.876483441423629E-2</c:v>
                </c:pt>
                <c:pt idx="110">
                  <c:v>8.439480918762117E-2</c:v>
                </c:pt>
                <c:pt idx="111">
                  <c:v>6.9808986569760076E-2</c:v>
                </c:pt>
                <c:pt idx="112">
                  <c:v>4.4573516277655212E-2</c:v>
                </c:pt>
                <c:pt idx="113">
                  <c:v>8.9788206902488329E-2</c:v>
                </c:pt>
                <c:pt idx="114">
                  <c:v>4.7433078586542589E-2</c:v>
                </c:pt>
                <c:pt idx="115">
                  <c:v>6.8715219645801282E-2</c:v>
                </c:pt>
                <c:pt idx="116">
                  <c:v>4.9401168681331264E-2</c:v>
                </c:pt>
                <c:pt idx="117">
                  <c:v>5.1081250325675745E-2</c:v>
                </c:pt>
                <c:pt idx="118">
                  <c:v>5.6409503709153402E-2</c:v>
                </c:pt>
                <c:pt idx="119">
                  <c:v>3.5713672124320396E-2</c:v>
                </c:pt>
                <c:pt idx="120">
                  <c:v>4.8081109403452033E-2</c:v>
                </c:pt>
                <c:pt idx="121">
                  <c:v>4.2036255259789664E-2</c:v>
                </c:pt>
                <c:pt idx="122">
                  <c:v>3.5209648155613053E-2</c:v>
                </c:pt>
                <c:pt idx="123">
                  <c:v>3.3834724004981581E-2</c:v>
                </c:pt>
                <c:pt idx="124">
                  <c:v>3.8302364534112406E-2</c:v>
                </c:pt>
                <c:pt idx="125">
                  <c:v>1.5264715417502427E-2</c:v>
                </c:pt>
                <c:pt idx="126">
                  <c:v>5.3560226104863308E-2</c:v>
                </c:pt>
                <c:pt idx="127">
                  <c:v>0</c:v>
                </c:pt>
                <c:pt idx="128">
                  <c:v>4.122364556250354E-2</c:v>
                </c:pt>
                <c:pt idx="129">
                  <c:v>0</c:v>
                </c:pt>
                <c:pt idx="130">
                  <c:v>4.068533399917855E-2</c:v>
                </c:pt>
                <c:pt idx="131">
                  <c:v>7.6666453033688567E-3</c:v>
                </c:pt>
                <c:pt idx="132">
                  <c:v>2.2485624613821933E-2</c:v>
                </c:pt>
                <c:pt idx="133">
                  <c:v>1.3173187883706236E-2</c:v>
                </c:pt>
                <c:pt idx="134">
                  <c:v>1.5971034096069862E-2</c:v>
                </c:pt>
                <c:pt idx="135">
                  <c:v>1.2000561065914862E-2</c:v>
                </c:pt>
                <c:pt idx="136">
                  <c:v>1.2648591882824306E-2</c:v>
                </c:pt>
                <c:pt idx="137">
                  <c:v>8.664405913206252E-3</c:v>
                </c:pt>
                <c:pt idx="138">
                  <c:v>1.1304529714924723E-2</c:v>
                </c:pt>
                <c:pt idx="139">
                  <c:v>8.3901077792451137E-3</c:v>
                </c:pt>
                <c:pt idx="140">
                  <c:v>6.3911557017245551E-3</c:v>
                </c:pt>
                <c:pt idx="141">
                  <c:v>7.8723682480947108E-3</c:v>
                </c:pt>
                <c:pt idx="142">
                  <c:v>5.3625383551152844E-3</c:v>
                </c:pt>
                <c:pt idx="143">
                  <c:v>7.2689123533802042E-3</c:v>
                </c:pt>
                <c:pt idx="144">
                  <c:v>2.2766784463474606E-3</c:v>
                </c:pt>
                <c:pt idx="145">
                  <c:v>4.0801922837394554E-3</c:v>
                </c:pt>
                <c:pt idx="146">
                  <c:v>4.1967680070554387E-3</c:v>
                </c:pt>
                <c:pt idx="147">
                  <c:v>3.6550282088646871E-3</c:v>
                </c:pt>
                <c:pt idx="148">
                  <c:v>1.7897982749489371E-3</c:v>
                </c:pt>
                <c:pt idx="149">
                  <c:v>1.9303768882852725E-3</c:v>
                </c:pt>
                <c:pt idx="150">
                  <c:v>2.9007063732365513E-3</c:v>
                </c:pt>
                <c:pt idx="151">
                  <c:v>1.7006510535390665E-3</c:v>
                </c:pt>
                <c:pt idx="152">
                  <c:v>5.3831156332498787E-4</c:v>
                </c:pt>
                <c:pt idx="153">
                  <c:v>1.0149044071462165E-3</c:v>
                </c:pt>
                <c:pt idx="154">
                  <c:v>1.7212230857136515E-3</c:v>
                </c:pt>
                <c:pt idx="155">
                  <c:v>8.6404108921259127E-4</c:v>
                </c:pt>
                <c:pt idx="156">
                  <c:v>4.1830498216323761E-4</c:v>
                </c:pt>
                <c:pt idx="157">
                  <c:v>1.0354764393208015E-3</c:v>
                </c:pt>
                <c:pt idx="158">
                  <c:v>3.0858572857878194E-4</c:v>
                </c:pt>
                <c:pt idx="159">
                  <c:v>5.4173979819075119E-4</c:v>
                </c:pt>
                <c:pt idx="160">
                  <c:v>2.8115722667267025E-4</c:v>
                </c:pt>
                <c:pt idx="161">
                  <c:v>3.9773294998865266E-4</c:v>
                </c:pt>
                <c:pt idx="162">
                  <c:v>2.0572294472585316E-4</c:v>
                </c:pt>
                <c:pt idx="163">
                  <c:v>3.3258599561913026E-4</c:v>
                </c:pt>
                <c:pt idx="164">
                  <c:v>1.9543824012856296E-4</c:v>
                </c:pt>
                <c:pt idx="165">
                  <c:v>2.0572294472585316E-4</c:v>
                </c:pt>
                <c:pt idx="166">
                  <c:v>1.0629101871869221E-4</c:v>
                </c:pt>
                <c:pt idx="167">
                  <c:v>1.6457888037668341E-4</c:v>
                </c:pt>
                <c:pt idx="168">
                  <c:v>8.9147221409870749E-5</c:v>
                </c:pt>
                <c:pt idx="169">
                  <c:v>1.2686305089327707E-4</c:v>
                </c:pt>
                <c:pt idx="170">
                  <c:v>6.8575189235285861E-5</c:v>
                </c:pt>
                <c:pt idx="171">
                  <c:v>0</c:v>
                </c:pt>
                <c:pt idx="172">
                  <c:v>4.8003157060700987E-5</c:v>
                </c:pt>
                <c:pt idx="173">
                  <c:v>3.771582948340634E-5</c:v>
                </c:pt>
                <c:pt idx="174">
                  <c:v>2.0572032174584874E-5</c:v>
                </c:pt>
                <c:pt idx="175">
                  <c:v>0</c:v>
                </c:pt>
                <c:pt idx="176">
                  <c:v>3.4282348657634111E-6</c:v>
                </c:pt>
                <c:pt idx="177">
                  <c:v>6.8564697315268222E-6</c:v>
                </c:pt>
                <c:pt idx="178">
                  <c:v>3.4282348657634111E-6</c:v>
                </c:pt>
                <c:pt idx="179">
                  <c:v>3.4282348657634111E-6</c:v>
                </c:pt>
                <c:pt idx="180">
                  <c:v>0</c:v>
                </c:pt>
                <c:pt idx="181">
                  <c:v>3.4282348657634111E-6</c:v>
                </c:pt>
                <c:pt idx="182">
                  <c:v>3.4282348657634111E-6</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(91.3 , 70.2)
열광하는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91.305921996108324</c:v>
                </c:pt>
              </c:numCache>
            </c:numRef>
          </c:xVal>
          <c:yVal>
            <c:numRef>
              <c:f>info!$W$20:$W$21</c:f>
              <c:numCache>
                <c:formatCode>General</c:formatCode>
                <c:ptCount val="2"/>
                <c:pt idx="0">
                  <c:v>50</c:v>
                </c:pt>
                <c:pt idx="1">
                  <c:v>70.190893552622683</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(57.8 , 42.3)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57.817300000000003</c:v>
                      </c:pt>
                    </c:numCache>
                  </c:numRef>
                </c:xVal>
                <c:yVal>
                  <c:numRef>
                    <c:extLst>
                      <c:ext uri="{02D57815-91ED-43cb-92C2-25804820EDAC}">
                        <c15:formulaRef>
                          <c15:sqref>info!$W$18</c15:sqref>
                        </c15:formulaRef>
                      </c:ext>
                    </c:extLst>
                    <c:numCache>
                      <c:formatCode>General</c:formatCode>
                      <c:ptCount val="1"/>
                      <c:pt idx="0">
                        <c:v>57.672699999999999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(91.3 , 70.2)
열광하는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91.305921996108324</c:v>
                </c:pt>
              </c:numCache>
            </c:numRef>
          </c:xVal>
          <c:yVal>
            <c:numRef>
              <c:f>info!$W$20:$W$21</c:f>
              <c:numCache>
                <c:formatCode>General</c:formatCode>
                <c:ptCount val="2"/>
                <c:pt idx="0">
                  <c:v>50</c:v>
                </c:pt>
                <c:pt idx="1">
                  <c:v>70.190893552622683</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(57.8 , 42.3)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57.817300000000003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57.672699999999999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45.601999999999997</c:v>
                </c:pt>
                <c:pt idx="1">
                  <c:v>13.6221</c:v>
                </c:pt>
                <c:pt idx="2">
                  <c:v>14.790100000000001</c:v>
                </c:pt>
                <c:pt idx="3">
                  <c:v>25.366</c:v>
                </c:pt>
                <c:pt idx="4">
                  <c:v>60.5062</c:v>
                </c:pt>
                <c:pt idx="5">
                  <c:v>83.913399999999996</c:v>
                </c:pt>
                <c:pt idx="6">
                  <c:v>35.345599999999997</c:v>
                </c:pt>
                <c:pt idx="7">
                  <c:v>72.826499999999996</c:v>
                </c:pt>
                <c:pt idx="8">
                  <c:v>16.658999999999999</c:v>
                </c:pt>
                <c:pt idx="9">
                  <c:v>39.76</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0.54343012057187257</c:v>
                </c:pt>
                <c:pt idx="1">
                  <c:v>0.21380826871372574</c:v>
                </c:pt>
                <c:pt idx="2">
                  <c:v>0.24276161071440175</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7.1528780385141533E-4</c:v>
                </c:pt>
                <c:pt idx="16">
                  <c:v>1.4030664000841838E-3</c:v>
                </c:pt>
                <c:pt idx="17">
                  <c:v>7.1528780385141533E-4</c:v>
                </c:pt>
                <c:pt idx="18">
                  <c:v>1.8432431863622013E-3</c:v>
                </c:pt>
                <c:pt idx="19">
                  <c:v>3.5764495422498159E-4</c:v>
                </c:pt>
                <c:pt idx="20">
                  <c:v>1.4580869199200251E-3</c:v>
                </c:pt>
                <c:pt idx="21">
                  <c:v>2.7511101757339788E-3</c:v>
                </c:pt>
                <c:pt idx="22">
                  <c:v>4.8144375460380927E-3</c:v>
                </c:pt>
                <c:pt idx="23">
                  <c:v>3.6589708513101128E-3</c:v>
                </c:pt>
                <c:pt idx="24">
                  <c:v>4.1541828896138064E-3</c:v>
                </c:pt>
                <c:pt idx="25">
                  <c:v>3.4388929811638427E-3</c:v>
                </c:pt>
                <c:pt idx="26">
                  <c:v>5.4472061454277597E-3</c:v>
                </c:pt>
                <c:pt idx="27">
                  <c:v>0</c:v>
                </c:pt>
                <c:pt idx="28">
                  <c:v>0</c:v>
                </c:pt>
                <c:pt idx="29">
                  <c:v>4.6768809849521205E-4</c:v>
                </c:pt>
                <c:pt idx="30">
                  <c:v>3.6314637482900139E-3</c:v>
                </c:pt>
                <c:pt idx="31">
                  <c:v>1.934029253919815E-2</c:v>
                </c:pt>
                <c:pt idx="32">
                  <c:v>1.0179101336420077E-3</c:v>
                </c:pt>
                <c:pt idx="33">
                  <c:v>1.8157318741450069E-3</c:v>
                </c:pt>
                <c:pt idx="34">
                  <c:v>2.1926339050826055E-2</c:v>
                </c:pt>
                <c:pt idx="35">
                  <c:v>8.1597811217510266E-2</c:v>
                </c:pt>
                <c:pt idx="36">
                  <c:v>8.5559507523939801E-3</c:v>
                </c:pt>
                <c:pt idx="37">
                  <c:v>3.0647374513311586E-2</c:v>
                </c:pt>
                <c:pt idx="38">
                  <c:v>7.9947174576449551E-2</c:v>
                </c:pt>
                <c:pt idx="39">
                  <c:v>0.17868462590760811</c:v>
                </c:pt>
                <c:pt idx="40">
                  <c:v>7.6370830264127124E-2</c:v>
                </c:pt>
                <c:pt idx="41">
                  <c:v>9.9672734925812898E-2</c:v>
                </c:pt>
                <c:pt idx="42">
                  <c:v>0.23508155319372831</c:v>
                </c:pt>
                <c:pt idx="43">
                  <c:v>0.1375279385457224</c:v>
                </c:pt>
                <c:pt idx="44">
                  <c:v>0.24875512995896032</c:v>
                </c:pt>
                <c:pt idx="45">
                  <c:v>0.14198484689045565</c:v>
                </c:pt>
                <c:pt idx="46">
                  <c:v>0.22798484689045567</c:v>
                </c:pt>
                <c:pt idx="47">
                  <c:v>0.15684078711985688</c:v>
                </c:pt>
                <c:pt idx="48">
                  <c:v>0.13012753867199833</c:v>
                </c:pt>
                <c:pt idx="49">
                  <c:v>0.10258886667368199</c:v>
                </c:pt>
                <c:pt idx="50">
                  <c:v>6.5146164369146581E-2</c:v>
                </c:pt>
                <c:pt idx="51">
                  <c:v>4.7896874671156477E-2</c:v>
                </c:pt>
                <c:pt idx="52">
                  <c:v>8.1873092707566028E-2</c:v>
                </c:pt>
                <c:pt idx="53">
                  <c:v>3.4499000315689782E-2</c:v>
                </c:pt>
                <c:pt idx="54">
                  <c:v>3.2298011154372301E-2</c:v>
                </c:pt>
                <c:pt idx="55">
                  <c:v>3.584699568557298E-2</c:v>
                </c:pt>
                <c:pt idx="56">
                  <c:v>1.774464905819215E-2</c:v>
                </c:pt>
                <c:pt idx="57">
                  <c:v>1.4085678206882037E-2</c:v>
                </c:pt>
                <c:pt idx="58">
                  <c:v>1.4360791329053983E-2</c:v>
                </c:pt>
                <c:pt idx="59">
                  <c:v>8.7210144165000524E-3</c:v>
                </c:pt>
                <c:pt idx="60">
                  <c:v>6.3825739240239918E-3</c:v>
                </c:pt>
                <c:pt idx="61">
                  <c:v>3.8240345154161842E-3</c:v>
                </c:pt>
                <c:pt idx="62">
                  <c:v>3.6039566452699149E-3</c:v>
                </c:pt>
                <c:pt idx="63">
                  <c:v>1.9532884352309798E-3</c:v>
                </c:pt>
                <c:pt idx="64">
                  <c:v>6.1349679048721458E-3</c:v>
                </c:pt>
                <c:pt idx="65">
                  <c:v>1.0261643691465852E-2</c:v>
                </c:pt>
                <c:pt idx="66">
                  <c:v>7.9507103020098908E-3</c:v>
                </c:pt>
                <c:pt idx="67">
                  <c:v>1.5296159107650215E-2</c:v>
                </c:pt>
                <c:pt idx="68">
                  <c:v>1.7469535936020204E-2</c:v>
                </c:pt>
                <c:pt idx="69">
                  <c:v>1.9010165210986002E-2</c:v>
                </c:pt>
                <c:pt idx="70">
                  <c:v>3.5131642639166578E-2</c:v>
                </c:pt>
                <c:pt idx="71">
                  <c:v>2.4705040513522042E-2</c:v>
                </c:pt>
                <c:pt idx="72">
                  <c:v>3.1802799116068606E-2</c:v>
                </c:pt>
                <c:pt idx="73">
                  <c:v>4.3715037356624221E-2</c:v>
                </c:pt>
                <c:pt idx="74">
                  <c:v>5.4747132484478579E-2</c:v>
                </c:pt>
                <c:pt idx="75">
                  <c:v>4.4870672419236028E-2</c:v>
                </c:pt>
                <c:pt idx="76">
                  <c:v>6.264274439650637E-2</c:v>
                </c:pt>
                <c:pt idx="77">
                  <c:v>7.8434178680416702E-2</c:v>
                </c:pt>
                <c:pt idx="78">
                  <c:v>7.3124487004103969E-2</c:v>
                </c:pt>
                <c:pt idx="79">
                  <c:v>5.7553193728296329E-2</c:v>
                </c:pt>
                <c:pt idx="80">
                  <c:v>6.2835315163632541E-2</c:v>
                </c:pt>
                <c:pt idx="81">
                  <c:v>9.2657266126486379E-2</c:v>
                </c:pt>
                <c:pt idx="82">
                  <c:v>4.6878880353572558E-2</c:v>
                </c:pt>
                <c:pt idx="83">
                  <c:v>7.3757339787435539E-2</c:v>
                </c:pt>
                <c:pt idx="84">
                  <c:v>8.289087656529516E-2</c:v>
                </c:pt>
                <c:pt idx="85">
                  <c:v>0</c:v>
                </c:pt>
                <c:pt idx="86">
                  <c:v>7.9534673261075453E-2</c:v>
                </c:pt>
                <c:pt idx="87">
                  <c:v>8.6687361885720293E-2</c:v>
                </c:pt>
                <c:pt idx="88">
                  <c:v>9.5381037567084076E-2</c:v>
                </c:pt>
                <c:pt idx="89">
                  <c:v>6.137724928969799E-2</c:v>
                </c:pt>
                <c:pt idx="90">
                  <c:v>9.0621487951173321E-2</c:v>
                </c:pt>
                <c:pt idx="91">
                  <c:v>0.18058276333789328</c:v>
                </c:pt>
                <c:pt idx="92">
                  <c:v>0.14479090813427339</c:v>
                </c:pt>
                <c:pt idx="93">
                  <c:v>8.800799747448175E-2</c:v>
                </c:pt>
                <c:pt idx="94">
                  <c:v>0.20520530358834052</c:v>
                </c:pt>
                <c:pt idx="95">
                  <c:v>0.19191728927707039</c:v>
                </c:pt>
                <c:pt idx="96">
                  <c:v>0.23777754393349468</c:v>
                </c:pt>
                <c:pt idx="97">
                  <c:v>0.26418815111017574</c:v>
                </c:pt>
                <c:pt idx="98">
                  <c:v>0.28019993686204359</c:v>
                </c:pt>
                <c:pt idx="99">
                  <c:v>0.28322634957381876</c:v>
                </c:pt>
                <c:pt idx="100">
                  <c:v>0.34829001367989054</c:v>
                </c:pt>
                <c:pt idx="101">
                  <c:v>0.26429969483321053</c:v>
                </c:pt>
                <c:pt idx="102">
                  <c:v>0.23942965379353889</c:v>
                </c:pt>
                <c:pt idx="103">
                  <c:v>0.5299463327370304</c:v>
                </c:pt>
                <c:pt idx="104">
                  <c:v>0.2795959170788172</c:v>
                </c:pt>
                <c:pt idx="105">
                  <c:v>0.34548458381563718</c:v>
                </c:pt>
                <c:pt idx="106">
                  <c:v>0.36581500578764597</c:v>
                </c:pt>
                <c:pt idx="107">
                  <c:v>0.43415342523413653</c:v>
                </c:pt>
                <c:pt idx="108">
                  <c:v>0.28881195411975163</c:v>
                </c:pt>
                <c:pt idx="109">
                  <c:v>0.41142797011470061</c:v>
                </c:pt>
                <c:pt idx="110">
                  <c:v>0.4275218352099337</c:v>
                </c:pt>
                <c:pt idx="111">
                  <c:v>0.2632263495738188</c:v>
                </c:pt>
                <c:pt idx="112">
                  <c:v>0.45426286435862356</c:v>
                </c:pt>
                <c:pt idx="113">
                  <c:v>0.45382300326212777</c:v>
                </c:pt>
                <c:pt idx="114">
                  <c:v>0.35291171209091865</c:v>
                </c:pt>
                <c:pt idx="115">
                  <c:v>0.36666736819951595</c:v>
                </c:pt>
                <c:pt idx="116">
                  <c:v>0.55861306955698198</c:v>
                </c:pt>
                <c:pt idx="117">
                  <c:v>0.43206145427759651</c:v>
                </c:pt>
                <c:pt idx="118">
                  <c:v>0.428649900031569</c:v>
                </c:pt>
                <c:pt idx="119">
                  <c:v>0.40988740397769124</c:v>
                </c:pt>
                <c:pt idx="120">
                  <c:v>0.43929706408502578</c:v>
                </c:pt>
                <c:pt idx="121">
                  <c:v>0.42664211301694199</c:v>
                </c:pt>
                <c:pt idx="122">
                  <c:v>0.69168473113753548</c:v>
                </c:pt>
                <c:pt idx="123">
                  <c:v>0.29992633905082605</c:v>
                </c:pt>
                <c:pt idx="124">
                  <c:v>0.86693044301799427</c:v>
                </c:pt>
                <c:pt idx="125">
                  <c:v>0</c:v>
                </c:pt>
                <c:pt idx="126">
                  <c:v>1</c:v>
                </c:pt>
                <c:pt idx="127">
                  <c:v>0</c:v>
                </c:pt>
                <c:pt idx="128">
                  <c:v>0.82161843628327902</c:v>
                </c:pt>
                <c:pt idx="129">
                  <c:v>0</c:v>
                </c:pt>
                <c:pt idx="130">
                  <c:v>0.98808797221929912</c:v>
                </c:pt>
                <c:pt idx="131">
                  <c:v>0</c:v>
                </c:pt>
                <c:pt idx="132">
                  <c:v>0.83930758707776487</c:v>
                </c:pt>
                <c:pt idx="133">
                  <c:v>0.22793012732821213</c:v>
                </c:pt>
                <c:pt idx="134">
                  <c:v>0.74387246132800167</c:v>
                </c:pt>
                <c:pt idx="135">
                  <c:v>0.23813532568662527</c:v>
                </c:pt>
                <c:pt idx="136">
                  <c:v>0.48276544249184472</c:v>
                </c:pt>
                <c:pt idx="137">
                  <c:v>0.46083763022203511</c:v>
                </c:pt>
                <c:pt idx="138">
                  <c:v>0.49225507734399665</c:v>
                </c:pt>
                <c:pt idx="139">
                  <c:v>0.42477112490792379</c:v>
                </c:pt>
                <c:pt idx="140">
                  <c:v>0.44135957066189624</c:v>
                </c:pt>
                <c:pt idx="141">
                  <c:v>0.40895296222245608</c:v>
                </c:pt>
                <c:pt idx="142">
                  <c:v>0.29868883510470379</c:v>
                </c:pt>
                <c:pt idx="143">
                  <c:v>0.54735978112175099</c:v>
                </c:pt>
                <c:pt idx="144">
                  <c:v>0.33742397137745972</c:v>
                </c:pt>
                <c:pt idx="145">
                  <c:v>0.29733978743554668</c:v>
                </c:pt>
                <c:pt idx="146">
                  <c:v>0.34983057981689991</c:v>
                </c:pt>
                <c:pt idx="147">
                  <c:v>0.36347679680101025</c:v>
                </c:pt>
                <c:pt idx="148">
                  <c:v>0.24622329790592443</c:v>
                </c:pt>
                <c:pt idx="149">
                  <c:v>0.26782068820372512</c:v>
                </c:pt>
                <c:pt idx="150">
                  <c:v>0.21785962327685993</c:v>
                </c:pt>
                <c:pt idx="151">
                  <c:v>0.28628012206671577</c:v>
                </c:pt>
                <c:pt idx="152">
                  <c:v>0.17882205619278121</c:v>
                </c:pt>
                <c:pt idx="153">
                  <c:v>0.15265894980532463</c:v>
                </c:pt>
                <c:pt idx="154">
                  <c:v>0.26691360622961169</c:v>
                </c:pt>
                <c:pt idx="155">
                  <c:v>0.15441986741029148</c:v>
                </c:pt>
                <c:pt idx="156">
                  <c:v>0.19865768704619594</c:v>
                </c:pt>
                <c:pt idx="157">
                  <c:v>0.18545217299800063</c:v>
                </c:pt>
                <c:pt idx="158">
                  <c:v>0.19626412711775229</c:v>
                </c:pt>
                <c:pt idx="159">
                  <c:v>0.14564369146585288</c:v>
                </c:pt>
                <c:pt idx="160">
                  <c:v>0.15032053035883405</c:v>
                </c:pt>
                <c:pt idx="161">
                  <c:v>0.11573924023992423</c:v>
                </c:pt>
                <c:pt idx="162">
                  <c:v>0.14148963485215196</c:v>
                </c:pt>
                <c:pt idx="163">
                  <c:v>4.2174471219614859E-2</c:v>
                </c:pt>
                <c:pt idx="164">
                  <c:v>0.11051204882668632</c:v>
                </c:pt>
                <c:pt idx="165">
                  <c:v>0.13043017994317585</c:v>
                </c:pt>
                <c:pt idx="166">
                  <c:v>9.6811533200042085E-2</c:v>
                </c:pt>
                <c:pt idx="167">
                  <c:v>2.7483531516363253E-2</c:v>
                </c:pt>
                <c:pt idx="168">
                  <c:v>7.7526254866884151E-2</c:v>
                </c:pt>
                <c:pt idx="169">
                  <c:v>8.0662527622855931E-2</c:v>
                </c:pt>
                <c:pt idx="170">
                  <c:v>0</c:v>
                </c:pt>
                <c:pt idx="171">
                  <c:v>6.5228875092076186E-2</c:v>
                </c:pt>
                <c:pt idx="172">
                  <c:v>4.5503314742712832E-2</c:v>
                </c:pt>
                <c:pt idx="173">
                  <c:v>3.0262232979059243E-2</c:v>
                </c:pt>
                <c:pt idx="174">
                  <c:v>6.7952436072819108E-3</c:v>
                </c:pt>
                <c:pt idx="175">
                  <c:v>1.8404924760601914E-2</c:v>
                </c:pt>
                <c:pt idx="176">
                  <c:v>1.0289150794485951E-2</c:v>
                </c:pt>
                <c:pt idx="177">
                  <c:v>7.7581184888982418E-3</c:v>
                </c:pt>
                <c:pt idx="178">
                  <c:v>8.4459012943281075E-3</c:v>
                </c:pt>
                <c:pt idx="179">
                  <c:v>8.2533305272019363E-3</c:v>
                </c:pt>
                <c:pt idx="180">
                  <c:v>4.7594233399978958E-3</c:v>
                </c:pt>
                <c:pt idx="181">
                  <c:v>1.6231547932231928E-3</c:v>
                </c:pt>
                <c:pt idx="182">
                  <c:v>6.6026728401557405E-3</c:v>
                </c:pt>
                <c:pt idx="183">
                  <c:v>3.0537304009260234E-3</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5.2114400000000005</c:v>
                </c:pt>
                <c:pt idx="1">
                  <c:v>5.19693</c:v>
                </c:pt>
                <c:pt idx="2">
                  <c:v>5.1627700000000001</c:v>
                </c:pt>
                <c:pt idx="3">
                  <c:v>5.0951900000000006</c:v>
                </c:pt>
                <c:pt idx="4">
                  <c:v>5.0177099999999992</c:v>
                </c:pt>
                <c:pt idx="5">
                  <c:v>4.9365600000000001</c:v>
                </c:pt>
                <c:pt idx="6">
                  <c:v>4.8603500000000004</c:v>
                </c:pt>
                <c:pt idx="7">
                  <c:v>4.7977100000000004</c:v>
                </c:pt>
                <c:pt idx="8">
                  <c:v>4.7558499999999997</c:v>
                </c:pt>
                <c:pt idx="9">
                  <c:v>4.7236799999999999</c:v>
                </c:pt>
                <c:pt idx="10">
                  <c:v>4.7005099999999995</c:v>
                </c:pt>
                <c:pt idx="11">
                  <c:v>4.67577</c:v>
                </c:pt>
                <c:pt idx="12">
                  <c:v>4.6443000000000003</c:v>
                </c:pt>
                <c:pt idx="13">
                  <c:v>4.6062900000000004</c:v>
                </c:pt>
                <c:pt idx="14">
                  <c:v>4.5685000000000002</c:v>
                </c:pt>
                <c:pt idx="15">
                  <c:v>4.5105199999999996</c:v>
                </c:pt>
                <c:pt idx="16">
                  <c:v>4.4518300000000002</c:v>
                </c:pt>
                <c:pt idx="17">
                  <c:v>4.3949400000000001</c:v>
                </c:pt>
                <c:pt idx="18">
                  <c:v>4.3278800000000004</c:v>
                </c:pt>
                <c:pt idx="19">
                  <c:v>4.2923799999999996</c:v>
                </c:pt>
                <c:pt idx="20">
                  <c:v>4.2527799999999996</c:v>
                </c:pt>
                <c:pt idx="21">
                  <c:v>4.2191600000000005</c:v>
                </c:pt>
                <c:pt idx="22">
                  <c:v>4.1909099999999997</c:v>
                </c:pt>
                <c:pt idx="23">
                  <c:v>4.1642700000000001</c:v>
                </c:pt>
                <c:pt idx="24">
                  <c:v>4.1265999999999998</c:v>
                </c:pt>
                <c:pt idx="25">
                  <c:v>4.0744600000000002</c:v>
                </c:pt>
              </c:numCache>
              <c:extLst xmlns:c15="http://schemas.microsoft.com/office/drawing/2012/chart"/>
            </c:numRef>
          </c:xVal>
          <c:yVal>
            <c:numRef>
              <c:f>[0]!FT_PH</c:f>
              <c:numCache>
                <c:formatCode>0.00</c:formatCode>
                <c:ptCount val="26"/>
                <c:pt idx="0">
                  <c:v>44.815899999999999</c:v>
                </c:pt>
                <c:pt idx="1">
                  <c:v>46.635300000000001</c:v>
                </c:pt>
                <c:pt idx="2">
                  <c:v>47.568899999999999</c:v>
                </c:pt>
                <c:pt idx="3">
                  <c:v>47.348800000000004</c:v>
                </c:pt>
                <c:pt idx="4">
                  <c:v>47.349400000000003</c:v>
                </c:pt>
                <c:pt idx="5">
                  <c:v>46.4666</c:v>
                </c:pt>
                <c:pt idx="6">
                  <c:v>45.634799999999998</c:v>
                </c:pt>
                <c:pt idx="7">
                  <c:v>44.677099999999996</c:v>
                </c:pt>
                <c:pt idx="8">
                  <c:v>43.8429</c:v>
                </c:pt>
                <c:pt idx="9">
                  <c:v>42.888300000000001</c:v>
                </c:pt>
                <c:pt idx="10">
                  <c:v>42.075699999999998</c:v>
                </c:pt>
                <c:pt idx="11">
                  <c:v>41.578299999999999</c:v>
                </c:pt>
                <c:pt idx="12">
                  <c:v>41.390599999999999</c:v>
                </c:pt>
                <c:pt idx="13">
                  <c:v>42.209699999999998</c:v>
                </c:pt>
                <c:pt idx="14">
                  <c:v>43.740299999999998</c:v>
                </c:pt>
                <c:pt idx="15">
                  <c:v>44.852599999999995</c:v>
                </c:pt>
                <c:pt idx="16">
                  <c:v>45.844900000000003</c:v>
                </c:pt>
                <c:pt idx="17">
                  <c:v>46.868200000000002</c:v>
                </c:pt>
                <c:pt idx="18">
                  <c:v>47.788599999999995</c:v>
                </c:pt>
                <c:pt idx="19">
                  <c:v>48.432900000000004</c:v>
                </c:pt>
                <c:pt idx="20">
                  <c:v>49.0901</c:v>
                </c:pt>
                <c:pt idx="21">
                  <c:v>49.619799999999998</c:v>
                </c:pt>
                <c:pt idx="22">
                  <c:v>49.867699999999999</c:v>
                </c:pt>
                <c:pt idx="23">
                  <c:v>50.151299999999999</c:v>
                </c:pt>
                <c:pt idx="24">
                  <c:v>50.443400000000004</c:v>
                </c:pt>
                <c:pt idx="25">
                  <c:v>51.417599999999993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5.2114400000000005</c:v>
                </c:pt>
              </c:numCache>
            </c:numRef>
          </c:xVal>
          <c:yVal>
            <c:numRef>
              <c:f>[0]!FT_PH01</c:f>
              <c:numCache>
                <c:formatCode>0.00</c:formatCode>
                <c:ptCount val="1"/>
                <c:pt idx="0">
                  <c:v>44.815899999999999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5.2114400000000005</c:v>
                </c:pt>
              </c:numCache>
            </c:numRef>
          </c:xVal>
          <c:yVal>
            <c:numRef>
              <c:f>[0]!FT_PH02</c:f>
              <c:numCache>
                <c:formatCode>0.00</c:formatCode>
                <c:ptCount val="1"/>
                <c:pt idx="0">
                  <c:v>44.815899999999999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5.2114400000000005</c:v>
                </c:pt>
              </c:numCache>
            </c:numRef>
          </c:xVal>
          <c:yVal>
            <c:numRef>
              <c:f>[0]!FT_PH03</c:f>
              <c:numCache>
                <c:formatCode>0.00</c:formatCode>
                <c:ptCount val="1"/>
                <c:pt idx="0">
                  <c:v>44.815899999999999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5.2114400000000005</c:v>
                </c:pt>
              </c:numCache>
            </c:numRef>
          </c:xVal>
          <c:yVal>
            <c:numRef>
              <c:f>[0]!FT_PH04</c:f>
              <c:numCache>
                <c:formatCode>0.00</c:formatCode>
                <c:ptCount val="1"/>
                <c:pt idx="0">
                  <c:v>44.815899999999999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5.2114400000000005</c:v>
                </c:pt>
              </c:numCache>
            </c:numRef>
          </c:xVal>
          <c:yVal>
            <c:numRef>
              <c:f>[0]!FT_PH05</c:f>
              <c:numCache>
                <c:formatCode>0.00</c:formatCode>
                <c:ptCount val="1"/>
                <c:pt idx="0">
                  <c:v>44.815899999999999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5.2114400000000005</c:v>
                </c:pt>
              </c:numCache>
            </c:numRef>
          </c:xVal>
          <c:yVal>
            <c:numRef>
              <c:f>[0]!FT_PH06</c:f>
              <c:numCache>
                <c:formatCode>0.00</c:formatCode>
                <c:ptCount val="1"/>
                <c:pt idx="0">
                  <c:v>44.815899999999999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5.2114400000000005</c:v>
                </c:pt>
              </c:numCache>
            </c:numRef>
          </c:xVal>
          <c:yVal>
            <c:numRef>
              <c:f>[0]!FT_PH07</c:f>
              <c:numCache>
                <c:formatCode>0.00</c:formatCode>
                <c:ptCount val="1"/>
                <c:pt idx="0">
                  <c:v>44.815899999999999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5.2114400000000005</c:v>
                </c:pt>
              </c:numCache>
            </c:numRef>
          </c:xVal>
          <c:yVal>
            <c:numRef>
              <c:f>[0]!FT_PH08</c:f>
              <c:numCache>
                <c:formatCode>0.00</c:formatCode>
                <c:ptCount val="1"/>
                <c:pt idx="0">
                  <c:v>44.815899999999999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5.2114400000000005</c:v>
                </c:pt>
              </c:numCache>
            </c:numRef>
          </c:xVal>
          <c:yVal>
            <c:numRef>
              <c:f>[0]!FT_PH09</c:f>
              <c:numCache>
                <c:formatCode>0.00</c:formatCode>
                <c:ptCount val="1"/>
                <c:pt idx="0">
                  <c:v>44.815899999999999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5.2114400000000005</c:v>
                </c:pt>
              </c:numCache>
            </c:numRef>
          </c:xVal>
          <c:yVal>
            <c:numRef>
              <c:f>[0]!FT_PH10</c:f>
              <c:numCache>
                <c:formatCode>0.00</c:formatCode>
                <c:ptCount val="1"/>
                <c:pt idx="0">
                  <c:v>44.815899999999999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5.2114400000000005</c:v>
                </c:pt>
              </c:numCache>
            </c:numRef>
          </c:xVal>
          <c:yVal>
            <c:numRef>
              <c:f>[0]!FT_PH11</c:f>
              <c:numCache>
                <c:formatCode>0.00</c:formatCode>
                <c:ptCount val="1"/>
                <c:pt idx="0">
                  <c:v>44.815899999999999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5.2114400000000005</c:v>
                </c:pt>
              </c:numCache>
            </c:numRef>
          </c:xVal>
          <c:yVal>
            <c:numRef>
              <c:f>[0]!FT_PH12</c:f>
              <c:numCache>
                <c:formatCode>0.00</c:formatCode>
                <c:ptCount val="1"/>
                <c:pt idx="0">
                  <c:v>44.815899999999999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5.2114400000000005</c:v>
                </c:pt>
              </c:numCache>
            </c:numRef>
          </c:xVal>
          <c:yVal>
            <c:numRef>
              <c:f>[0]!FT_PH13</c:f>
              <c:numCache>
                <c:formatCode>0.00</c:formatCode>
                <c:ptCount val="1"/>
                <c:pt idx="0">
                  <c:v>44.815899999999999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5.2114400000000005</c:v>
                </c:pt>
              </c:numCache>
            </c:numRef>
          </c:xVal>
          <c:yVal>
            <c:numRef>
              <c:f>[0]!FT_PH14</c:f>
              <c:numCache>
                <c:formatCode>0.00</c:formatCode>
                <c:ptCount val="1"/>
                <c:pt idx="0">
                  <c:v>44.815899999999999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5.2114400000000005</c:v>
                </c:pt>
              </c:numCache>
            </c:numRef>
          </c:xVal>
          <c:yVal>
            <c:numRef>
              <c:f>[0]!FT_PH15</c:f>
              <c:numCache>
                <c:formatCode>0.00</c:formatCode>
                <c:ptCount val="1"/>
                <c:pt idx="0">
                  <c:v>44.815899999999999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5.2114400000000005</c:v>
                </c:pt>
              </c:numCache>
            </c:numRef>
          </c:xVal>
          <c:yVal>
            <c:numRef>
              <c:f>[0]!FT_PH16</c:f>
              <c:numCache>
                <c:formatCode>0.00</c:formatCode>
                <c:ptCount val="1"/>
                <c:pt idx="0">
                  <c:v>44.815899999999999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5.2114400000000005</c:v>
                </c:pt>
              </c:numCache>
            </c:numRef>
          </c:xVal>
          <c:yVal>
            <c:numRef>
              <c:f>[0]!FT_PH17</c:f>
              <c:numCache>
                <c:formatCode>0.00</c:formatCode>
                <c:ptCount val="1"/>
                <c:pt idx="0">
                  <c:v>44.815899999999999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5.2114400000000005</c:v>
                </c:pt>
              </c:numCache>
            </c:numRef>
          </c:xVal>
          <c:yVal>
            <c:numRef>
              <c:f>[0]!FT_PH18</c:f>
              <c:numCache>
                <c:formatCode>0.00</c:formatCode>
                <c:ptCount val="1"/>
                <c:pt idx="0">
                  <c:v>44.815899999999999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5.2114400000000005</c:v>
                </c:pt>
              </c:numCache>
            </c:numRef>
          </c:xVal>
          <c:yVal>
            <c:numRef>
              <c:f>[0]!FT_PH19</c:f>
              <c:numCache>
                <c:formatCode>0.00</c:formatCode>
                <c:ptCount val="1"/>
                <c:pt idx="0">
                  <c:v>44.815899999999999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5.2114400000000005</c:v>
                </c:pt>
              </c:numCache>
            </c:numRef>
          </c:xVal>
          <c:yVal>
            <c:numRef>
              <c:f>[0]!FT_PH20</c:f>
              <c:numCache>
                <c:formatCode>0.00</c:formatCode>
                <c:ptCount val="1"/>
                <c:pt idx="0">
                  <c:v>44.815899999999999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5.2114400000000005</c:v>
                </c:pt>
              </c:numCache>
            </c:numRef>
          </c:xVal>
          <c:yVal>
            <c:numRef>
              <c:f>[0]!FT_PH21</c:f>
              <c:numCache>
                <c:formatCode>0.00</c:formatCode>
                <c:ptCount val="1"/>
                <c:pt idx="0">
                  <c:v>44.815899999999999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5.2114400000000005</c:v>
                </c:pt>
              </c:numCache>
            </c:numRef>
          </c:xVal>
          <c:yVal>
            <c:numRef>
              <c:f>[0]!FT_PH22</c:f>
              <c:numCache>
                <c:formatCode>0.00</c:formatCode>
                <c:ptCount val="1"/>
                <c:pt idx="0">
                  <c:v>44.815899999999999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5.2114400000000005</c:v>
                </c:pt>
              </c:numCache>
            </c:numRef>
          </c:xVal>
          <c:yVal>
            <c:numRef>
              <c:f>[0]!FT_PH23</c:f>
              <c:numCache>
                <c:formatCode>0.00</c:formatCode>
                <c:ptCount val="1"/>
                <c:pt idx="0">
                  <c:v>44.815899999999999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5.2114400000000005</c:v>
                </c:pt>
              </c:numCache>
            </c:numRef>
          </c:xVal>
          <c:yVal>
            <c:numRef>
              <c:f>[0]!FT_PH24</c:f>
              <c:numCache>
                <c:formatCode>0.00</c:formatCode>
                <c:ptCount val="1"/>
                <c:pt idx="0">
                  <c:v>44.815899999999999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5.2114400000000005</c:v>
                </c:pt>
              </c:numCache>
            </c:numRef>
          </c:xVal>
          <c:yVal>
            <c:numRef>
              <c:f>info!$H$2</c:f>
              <c:numCache>
                <c:formatCode>0.00</c:formatCode>
                <c:ptCount val="1"/>
                <c:pt idx="0">
                  <c:v>44.815899999999999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0.17144931412949968</c:v>
                </c:pt>
                <c:pt idx="1">
                  <c:v>0.32119918583859641</c:v>
                </c:pt>
                <c:pt idx="2">
                  <c:v>0.50735150003190388</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0.36180699999999999</c:v>
                </c:pt>
                <c:pt idx="2">
                  <c:v>0.76492800000000005</c:v>
                </c:pt>
                <c:pt idx="3">
                  <c:v>1.1877599999999999</c:v>
                </c:pt>
                <c:pt idx="4">
                  <c:v>1.5904499999999999</c:v>
                </c:pt>
                <c:pt idx="5">
                  <c:v>2.0035699999999999</c:v>
                </c:pt>
                <c:pt idx="6">
                  <c:v>2.39053</c:v>
                </c:pt>
                <c:pt idx="7">
                  <c:v>2.8065500000000001</c:v>
                </c:pt>
                <c:pt idx="8">
                  <c:v>3.21346</c:v>
                </c:pt>
                <c:pt idx="9">
                  <c:v>3.6189100000000001</c:v>
                </c:pt>
                <c:pt idx="10">
                  <c:v>4.0162199999999997</c:v>
                </c:pt>
                <c:pt idx="11">
                  <c:v>4.4206599999999998</c:v>
                </c:pt>
                <c:pt idx="12">
                  <c:v>4.8396499999999998</c:v>
                </c:pt>
                <c:pt idx="13">
                  <c:v>5.25244</c:v>
                </c:pt>
                <c:pt idx="14">
                  <c:v>5.63856</c:v>
                </c:pt>
                <c:pt idx="15">
                  <c:v>6.0610499999999998</c:v>
                </c:pt>
                <c:pt idx="16">
                  <c:v>6.4668799999999997</c:v>
                </c:pt>
                <c:pt idx="17">
                  <c:v>6.85846</c:v>
                </c:pt>
                <c:pt idx="18">
                  <c:v>7.2728599999999997</c:v>
                </c:pt>
                <c:pt idx="19">
                  <c:v>7.6867999999999999</c:v>
                </c:pt>
                <c:pt idx="20">
                  <c:v>8.0803399999999996</c:v>
                </c:pt>
                <c:pt idx="21">
                  <c:v>8.4886800000000004</c:v>
                </c:pt>
                <c:pt idx="22">
                  <c:v>8.8861500000000007</c:v>
                </c:pt>
                <c:pt idx="23">
                  <c:v>9.3189700000000002</c:v>
                </c:pt>
                <c:pt idx="24">
                  <c:v>9.7113899999999997</c:v>
                </c:pt>
                <c:pt idx="25">
                  <c:v>10.112500000000001</c:v>
                </c:pt>
              </c:numCache>
            </c:numRef>
          </c:xVal>
          <c:yVal>
            <c:numRef>
              <c:f>[0]!FT_E</c:f>
              <c:numCache>
                <c:formatCode>0.00</c:formatCode>
                <c:ptCount val="26"/>
                <c:pt idx="0">
                  <c:v>5.2114400000000005</c:v>
                </c:pt>
                <c:pt idx="1">
                  <c:v>5.19693</c:v>
                </c:pt>
                <c:pt idx="2">
                  <c:v>5.1627700000000001</c:v>
                </c:pt>
                <c:pt idx="3">
                  <c:v>5.0951900000000006</c:v>
                </c:pt>
                <c:pt idx="4">
                  <c:v>5.0177099999999992</c:v>
                </c:pt>
                <c:pt idx="5">
                  <c:v>4.9365600000000001</c:v>
                </c:pt>
                <c:pt idx="6">
                  <c:v>4.8603500000000004</c:v>
                </c:pt>
                <c:pt idx="7">
                  <c:v>4.7977100000000004</c:v>
                </c:pt>
                <c:pt idx="8">
                  <c:v>4.7558499999999997</c:v>
                </c:pt>
                <c:pt idx="9">
                  <c:v>4.7236799999999999</c:v>
                </c:pt>
                <c:pt idx="10">
                  <c:v>4.7005099999999995</c:v>
                </c:pt>
                <c:pt idx="11">
                  <c:v>4.67577</c:v>
                </c:pt>
                <c:pt idx="12">
                  <c:v>4.6443000000000003</c:v>
                </c:pt>
                <c:pt idx="13">
                  <c:v>4.6062900000000004</c:v>
                </c:pt>
                <c:pt idx="14">
                  <c:v>4.5685000000000002</c:v>
                </c:pt>
                <c:pt idx="15">
                  <c:v>4.5105199999999996</c:v>
                </c:pt>
                <c:pt idx="16">
                  <c:v>4.4518300000000002</c:v>
                </c:pt>
                <c:pt idx="17">
                  <c:v>4.3949400000000001</c:v>
                </c:pt>
                <c:pt idx="18">
                  <c:v>4.3278800000000004</c:v>
                </c:pt>
                <c:pt idx="19">
                  <c:v>4.2923799999999996</c:v>
                </c:pt>
                <c:pt idx="20">
                  <c:v>4.2527799999999996</c:v>
                </c:pt>
                <c:pt idx="21">
                  <c:v>4.2191600000000005</c:v>
                </c:pt>
                <c:pt idx="22">
                  <c:v>4.1909099999999997</c:v>
                </c:pt>
                <c:pt idx="23">
                  <c:v>4.1642700000000001</c:v>
                </c:pt>
                <c:pt idx="24">
                  <c:v>4.1265999999999998</c:v>
                </c:pt>
                <c:pt idx="25">
                  <c:v>4.0744600000000002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5.2114400000000005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5.2114400000000005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5.2114400000000005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5.2114400000000005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5.2114400000000005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5.2114400000000005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5.2114400000000005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5.2114400000000005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5.2114400000000005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5.2114400000000005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5.2114400000000005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5.2114400000000005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5.2114400000000005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5.2114400000000005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5.2114400000000005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5.2114400000000005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5.2114400000000005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5.2114400000000005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5.2114400000000005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5.2114400000000005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5.2114400000000005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5.2114400000000005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5.2114400000000005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5.2114400000000005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0.36180699999999999</c:v>
                </c:pt>
                <c:pt idx="2">
                  <c:v>0.76492800000000005</c:v>
                </c:pt>
                <c:pt idx="3">
                  <c:v>1.1877599999999999</c:v>
                </c:pt>
                <c:pt idx="4">
                  <c:v>1.5904499999999999</c:v>
                </c:pt>
                <c:pt idx="5">
                  <c:v>2.0035699999999999</c:v>
                </c:pt>
                <c:pt idx="6">
                  <c:v>2.39053</c:v>
                </c:pt>
                <c:pt idx="7">
                  <c:v>2.8065500000000001</c:v>
                </c:pt>
                <c:pt idx="8">
                  <c:v>3.21346</c:v>
                </c:pt>
                <c:pt idx="9">
                  <c:v>3.6189100000000001</c:v>
                </c:pt>
                <c:pt idx="10">
                  <c:v>4.0162199999999997</c:v>
                </c:pt>
                <c:pt idx="11">
                  <c:v>4.4206599999999998</c:v>
                </c:pt>
                <c:pt idx="12">
                  <c:v>4.8396499999999998</c:v>
                </c:pt>
                <c:pt idx="13">
                  <c:v>5.25244</c:v>
                </c:pt>
                <c:pt idx="14">
                  <c:v>5.63856</c:v>
                </c:pt>
                <c:pt idx="15">
                  <c:v>6.0610499999999998</c:v>
                </c:pt>
                <c:pt idx="16">
                  <c:v>6.4668799999999997</c:v>
                </c:pt>
                <c:pt idx="17">
                  <c:v>6.85846</c:v>
                </c:pt>
                <c:pt idx="18">
                  <c:v>7.2728599999999997</c:v>
                </c:pt>
                <c:pt idx="19">
                  <c:v>7.6867999999999999</c:v>
                </c:pt>
                <c:pt idx="20">
                  <c:v>8.0803399999999996</c:v>
                </c:pt>
                <c:pt idx="21">
                  <c:v>8.4886800000000004</c:v>
                </c:pt>
                <c:pt idx="22">
                  <c:v>8.8861500000000007</c:v>
                </c:pt>
                <c:pt idx="23">
                  <c:v>9.3189700000000002</c:v>
                </c:pt>
                <c:pt idx="24">
                  <c:v>9.7113899999999997</c:v>
                </c:pt>
                <c:pt idx="25">
                  <c:v>10.112500000000001</c:v>
                </c:pt>
              </c:numCache>
            </c:numRef>
          </c:xVal>
          <c:yVal>
            <c:numRef>
              <c:f>[0]!FT_PH</c:f>
              <c:numCache>
                <c:formatCode>0.00</c:formatCode>
                <c:ptCount val="26"/>
                <c:pt idx="0">
                  <c:v>44.815899999999999</c:v>
                </c:pt>
                <c:pt idx="1">
                  <c:v>46.635300000000001</c:v>
                </c:pt>
                <c:pt idx="2">
                  <c:v>47.568899999999999</c:v>
                </c:pt>
                <c:pt idx="3">
                  <c:v>47.348800000000004</c:v>
                </c:pt>
                <c:pt idx="4">
                  <c:v>47.349400000000003</c:v>
                </c:pt>
                <c:pt idx="5">
                  <c:v>46.4666</c:v>
                </c:pt>
                <c:pt idx="6">
                  <c:v>45.634799999999998</c:v>
                </c:pt>
                <c:pt idx="7">
                  <c:v>44.677099999999996</c:v>
                </c:pt>
                <c:pt idx="8">
                  <c:v>43.8429</c:v>
                </c:pt>
                <c:pt idx="9">
                  <c:v>42.888300000000001</c:v>
                </c:pt>
                <c:pt idx="10">
                  <c:v>42.075699999999998</c:v>
                </c:pt>
                <c:pt idx="11">
                  <c:v>41.578299999999999</c:v>
                </c:pt>
                <c:pt idx="12">
                  <c:v>41.390599999999999</c:v>
                </c:pt>
                <c:pt idx="13">
                  <c:v>42.209699999999998</c:v>
                </c:pt>
                <c:pt idx="14">
                  <c:v>43.740299999999998</c:v>
                </c:pt>
                <c:pt idx="15">
                  <c:v>44.852599999999995</c:v>
                </c:pt>
                <c:pt idx="16">
                  <c:v>45.844900000000003</c:v>
                </c:pt>
                <c:pt idx="17">
                  <c:v>46.868200000000002</c:v>
                </c:pt>
                <c:pt idx="18">
                  <c:v>47.788599999999995</c:v>
                </c:pt>
                <c:pt idx="19">
                  <c:v>48.432900000000004</c:v>
                </c:pt>
                <c:pt idx="20">
                  <c:v>49.0901</c:v>
                </c:pt>
                <c:pt idx="21">
                  <c:v>49.619799999999998</c:v>
                </c:pt>
                <c:pt idx="22">
                  <c:v>49.867699999999999</c:v>
                </c:pt>
                <c:pt idx="23">
                  <c:v>50.151299999999999</c:v>
                </c:pt>
                <c:pt idx="24">
                  <c:v>50.443400000000004</c:v>
                </c:pt>
                <c:pt idx="25">
                  <c:v>51.417599999999993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44.815899999999999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44.815899999999999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44.815899999999999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44.815899999999999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44.815899999999999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44.815899999999999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44.815899999999999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44.815899999999999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44.815899999999999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44.815899999999999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44.815899999999999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44.815899999999999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44.815899999999999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44.815899999999999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44.815899999999999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44.815899999999999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44.815899999999999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44.815899999999999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44.815899999999999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44.815899999999999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44.815899999999999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44.815899999999999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44.815899999999999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44.815899999999999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77.09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0.87178532662147123</c:v>
                </c:pt>
                <c:pt idx="1">
                  <c:v>0.87178532662147123</c:v>
                </c:pt>
                <c:pt idx="2">
                  <c:v>-7</c:v>
                </c:pt>
              </c:numCache>
            </c:numRef>
          </c:xVal>
          <c:yVal>
            <c:numRef>
              <c:f>'R'!$I$5:$I$7</c:f>
              <c:numCache>
                <c:formatCode>0.0_ </c:formatCode>
                <c:ptCount val="3"/>
                <c:pt idx="0">
                  <c:v>0</c:v>
                </c:pt>
                <c:pt idx="1">
                  <c:v>77.094351466765488</c:v>
                </c:pt>
                <c:pt idx="2">
                  <c:v>77.094351466765488</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0.87178532662147123</c:v>
                </c:pt>
                <c:pt idx="1">
                  <c:v>0.87178532662147123</c:v>
                </c:pt>
                <c:pt idx="2">
                  <c:v>-7</c:v>
                </c:pt>
              </c:numCache>
            </c:numRef>
          </c:xVal>
          <c:yVal>
            <c:numRef>
              <c:f>'R'!$I$5:$I$7</c:f>
              <c:numCache>
                <c:formatCode>0.0_ </c:formatCode>
                <c:ptCount val="3"/>
                <c:pt idx="0">
                  <c:v>0</c:v>
                </c:pt>
                <c:pt idx="1">
                  <c:v>77.094351466765488</c:v>
                </c:pt>
                <c:pt idx="2">
                  <c:v>77.094351466765488</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0.87178532662147123</c:v>
                </c:pt>
              </c:numCache>
            </c:numRef>
          </c:xVal>
          <c:yVal>
            <c:numRef>
              <c:f>'R'!$I$4</c:f>
              <c:numCache>
                <c:formatCode>0.00_ </c:formatCode>
                <c:ptCount val="1"/>
                <c:pt idx="0">
                  <c:v>77.094351466765488</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45.69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45.689140000000002</c:v>
                </c:pt>
                <c:pt idx="1">
                  <c:v>45.689140000000002</c:v>
                </c:pt>
                <c:pt idx="2">
                  <c:v>0</c:v>
                </c:pt>
              </c:numCache>
            </c:numRef>
          </c:xVal>
          <c:yVal>
            <c:numRef>
              <c:f>'R2'!$I$5:$I$7</c:f>
              <c:numCache>
                <c:formatCode>0.0_ </c:formatCode>
                <c:ptCount val="3"/>
                <c:pt idx="0">
                  <c:v>0</c:v>
                </c:pt>
                <c:pt idx="1">
                  <c:v>42.301634262618698</c:v>
                </c:pt>
                <c:pt idx="2">
                  <c:v>42.301634262618698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2.28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2.2777699999999999</c:v>
                </c:pt>
                <c:pt idx="1">
                  <c:v>2.2777699999999999</c:v>
                </c:pt>
                <c:pt idx="2">
                  <c:v>0</c:v>
                </c:pt>
              </c:numCache>
            </c:numRef>
          </c:xVal>
          <c:yVal>
            <c:numRef>
              <c:f>'R3'!$I$6:$I$8</c:f>
              <c:numCache>
                <c:formatCode>0.0_ </c:formatCode>
                <c:ptCount val="3"/>
                <c:pt idx="0">
                  <c:v>0</c:v>
                </c:pt>
                <c:pt idx="1">
                  <c:v>70.190893552622683</c:v>
                </c:pt>
                <c:pt idx="2">
                  <c:v>70.190893552622683</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감정변이도2.28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2.2777699999999999</c:v>
                </c:pt>
                <c:pt idx="1">
                  <c:v>2.2777699999999999</c:v>
                </c:pt>
                <c:pt idx="2">
                  <c:v>0</c:v>
                </c:pt>
              </c:numCache>
            </c:numRef>
          </c:xVal>
          <c:yVal>
            <c:numRef>
              <c:f>'R4'!$I$5:$I$7</c:f>
              <c:numCache>
                <c:formatCode>0.0_ </c:formatCode>
                <c:ptCount val="3"/>
                <c:pt idx="0">
                  <c:v>0</c:v>
                </c:pt>
                <c:pt idx="1">
                  <c:v>8.3200809433755352E-2</c:v>
                </c:pt>
                <c:pt idx="2">
                  <c:v>8.3200809433755352E-2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0.61850472182411509</c:v>
                </c:pt>
                <c:pt idx="1">
                  <c:v>0.24334577484464026</c:v>
                </c:pt>
                <c:pt idx="2">
                  <c:v>0.13814950333124465</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0.22972496757698044</c:v>
                </c:pt>
                <c:pt idx="1">
                  <c:v>0.43037484825859768</c:v>
                </c:pt>
                <c:pt idx="2">
                  <c:v>0.33990018416442186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(91.3 , 70.2)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91.305921996108324</c:v>
                      </c:pt>
                    </c:numCache>
                  </c:numRef>
                </c:xVal>
                <c:yVal>
                  <c:numRef>
                    <c:extLst>
                      <c:ext uri="{02D57815-91ED-43cb-92C2-25804820EDAC}">
                        <c15:formulaRef>
                          <c15:sqref>info!$W$20:$W$21</c15:sqref>
                        </c15:formulaRef>
                      </c:ext>
                    </c:extLst>
                    <c:numCache>
                      <c:formatCode>General</c:formatCode>
                      <c:ptCount val="2"/>
                      <c:pt idx="0">
                        <c:v>50</c:v>
                      </c:pt>
                      <c:pt idx="1">
                        <c:v>70.190893552622683</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(57.8 , 42.3)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57.817300000000003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57.672699999999999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(91.3 , 70.2)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91.305921996108324</c:v>
                      </c:pt>
                    </c:numCache>
                  </c:numRef>
                </c:xVal>
                <c:yVal>
                  <c:numRef>
                    <c:extLst>
                      <c:ext uri="{02D57815-91ED-43cb-92C2-25804820EDAC}">
                        <c15:formulaRef>
                          <c15:sqref>info!$W$20:$W$21</c15:sqref>
                        </c15:formulaRef>
                      </c:ext>
                    </c:extLst>
                    <c:numCache>
                      <c:formatCode>General</c:formatCode>
                      <c:ptCount val="2"/>
                      <c:pt idx="0">
                        <c:v>50</c:v>
                      </c:pt>
                      <c:pt idx="1">
                        <c:v>70.190893552622683</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(57.8 , 42.3)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57.817300000000003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57.672699999999999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(91.3 , 70.2)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91.305921996108324</c:v>
                      </c:pt>
                    </c:numCache>
                  </c:numRef>
                </c:xVal>
                <c:yVal>
                  <c:numRef>
                    <c:extLst>
                      <c:ext uri="{02D57815-91ED-43cb-92C2-25804820EDAC}">
                        <c15:formulaRef>
                          <c15:sqref>info!$W$20:$W$21</c15:sqref>
                        </c15:formulaRef>
                      </c:ext>
                    </c:extLst>
                    <c:numCache>
                      <c:formatCode>General</c:formatCode>
                      <c:ptCount val="2"/>
                      <c:pt idx="0">
                        <c:v>50</c:v>
                      </c:pt>
                      <c:pt idx="1">
                        <c:v>70.190893552622683</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(57.8 , 42.3)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57.817300000000003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57.672699999999999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(91.3 , 70.2)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91.305921996108324</c:v>
                      </c:pt>
                    </c:numCache>
                  </c:numRef>
                </c:xVal>
                <c:yVal>
                  <c:numRef>
                    <c:extLst>
                      <c:ext uri="{02D57815-91ED-43cb-92C2-25804820EDAC}">
                        <c15:formulaRef>
                          <c15:sqref>info!$W$20:$W$21</c15:sqref>
                        </c15:formulaRef>
                      </c:ext>
                    </c:extLst>
                    <c:numCache>
                      <c:formatCode>General</c:formatCode>
                      <c:ptCount val="2"/>
                      <c:pt idx="0">
                        <c:v>50</c:v>
                      </c:pt>
                      <c:pt idx="1">
                        <c:v>70.190893552622683</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(57.8 , 42.3)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57.817300000000003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57.672699999999999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(91.3 , 70.2)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91.305921996108324</c:v>
                      </c:pt>
                    </c:numCache>
                  </c:numRef>
                </c:xVal>
                <c:yVal>
                  <c:numRef>
                    <c:extLst>
                      <c:ext uri="{02D57815-91ED-43cb-92C2-25804820EDAC}">
                        <c15:formulaRef>
                          <c15:sqref>info!$W$20:$W$21</c15:sqref>
                        </c15:formulaRef>
                      </c:ext>
                    </c:extLst>
                    <c:numCache>
                      <c:formatCode>General</c:formatCode>
                      <c:ptCount val="2"/>
                      <c:pt idx="0">
                        <c:v>50</c:v>
                      </c:pt>
                      <c:pt idx="1">
                        <c:v>70.190893552622683</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(57.8 , 42.3)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57.817300000000003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57.672699999999999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(91.3 , 70.2)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91.305921996108324</c:v>
                      </c:pt>
                    </c:numCache>
                  </c:numRef>
                </c:xVal>
                <c:yVal>
                  <c:numRef>
                    <c:extLst>
                      <c:ext uri="{02D57815-91ED-43cb-92C2-25804820EDAC}">
                        <c15:formulaRef>
                          <c15:sqref>info!$W$20:$W$21</c15:sqref>
                        </c15:formulaRef>
                      </c:ext>
                    </c:extLst>
                    <c:numCache>
                      <c:formatCode>General</c:formatCode>
                      <c:ptCount val="2"/>
                      <c:pt idx="0">
                        <c:v>50</c:v>
                      </c:pt>
                      <c:pt idx="1">
                        <c:v>70.190893552622683</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(57.8 , 42.3)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57.817300000000003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57.672699999999999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(91.3 , 70.2)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91.305921996108324</c:v>
                      </c:pt>
                    </c:numCache>
                  </c:numRef>
                </c:xVal>
                <c:yVal>
                  <c:numRef>
                    <c:extLst>
                      <c:ext uri="{02D57815-91ED-43cb-92C2-25804820EDAC}">
                        <c15:formulaRef>
                          <c15:sqref>info!$W$20:$W$21</c15:sqref>
                        </c15:formulaRef>
                      </c:ext>
                    </c:extLst>
                    <c:numCache>
                      <c:formatCode>General</c:formatCode>
                      <c:ptCount val="2"/>
                      <c:pt idx="0">
                        <c:v>50</c:v>
                      </c:pt>
                      <c:pt idx="1">
                        <c:v>70.190893552622683</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(57.8 , 42.3)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57.817300000000003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57.672699999999999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(91.3 , 70.2)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91.305921996108324</c:v>
                      </c:pt>
                    </c:numCache>
                  </c:numRef>
                </c:xVal>
                <c:yVal>
                  <c:numRef>
                    <c:extLst>
                      <c:ext uri="{02D57815-91ED-43cb-92C2-25804820EDAC}">
                        <c15:formulaRef>
                          <c15:sqref>info!$W$20:$W$21</c15:sqref>
                        </c15:formulaRef>
                      </c:ext>
                    </c:extLst>
                    <c:numCache>
                      <c:formatCode>General</c:formatCode>
                      <c:ptCount val="2"/>
                      <c:pt idx="0">
                        <c:v>50</c:v>
                      </c:pt>
                      <c:pt idx="1">
                        <c:v>70.190893552622683</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(57.8 , 42.3)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57.817300000000003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57.672699999999999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(91.3 , 70.2)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91.305921996108324</c:v>
                      </c:pt>
                    </c:numCache>
                  </c:numRef>
                </c:xVal>
                <c:yVal>
                  <c:numRef>
                    <c:extLst>
                      <c:ext uri="{02D57815-91ED-43cb-92C2-25804820EDAC}">
                        <c15:formulaRef>
                          <c15:sqref>info!$W$20:$W$21</c15:sqref>
                        </c15:formulaRef>
                      </c:ext>
                    </c:extLst>
                    <c:numCache>
                      <c:formatCode>General</c:formatCode>
                      <c:ptCount val="2"/>
                      <c:pt idx="0">
                        <c:v>50</c:v>
                      </c:pt>
                      <c:pt idx="1">
                        <c:v>70.190893552622683</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(57.8 , 42.3)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57.817300000000003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57.672699999999999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(91.3 , 70.2)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91.305921996108324</c:v>
                      </c:pt>
                    </c:numCache>
                  </c:numRef>
                </c:xVal>
                <c:yVal>
                  <c:numRef>
                    <c:extLst>
                      <c:ext uri="{02D57815-91ED-43cb-92C2-25804820EDAC}">
                        <c15:formulaRef>
                          <c15:sqref>info!$W$20:$W$21</c15:sqref>
                        </c15:formulaRef>
                      </c:ext>
                    </c:extLst>
                    <c:numCache>
                      <c:formatCode>General</c:formatCode>
                      <c:ptCount val="2"/>
                      <c:pt idx="0">
                        <c:v>50</c:v>
                      </c:pt>
                      <c:pt idx="1">
                        <c:v>70.190893552622683</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(57.8 , 42.3)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57.817300000000003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57.672699999999999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(91.3 , 70.2)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91.305921996108324</c:v>
                      </c:pt>
                    </c:numCache>
                  </c:numRef>
                </c:xVal>
                <c:yVal>
                  <c:numRef>
                    <c:extLst>
                      <c:ext uri="{02D57815-91ED-43cb-92C2-25804820EDAC}">
                        <c15:formulaRef>
                          <c15:sqref>info!$W$20:$W$21</c15:sqref>
                        </c15:formulaRef>
                      </c:ext>
                    </c:extLst>
                    <c:numCache>
                      <c:formatCode>General</c:formatCode>
                      <c:ptCount val="2"/>
                      <c:pt idx="0">
                        <c:v>50</c:v>
                      </c:pt>
                      <c:pt idx="1">
                        <c:v>70.190893552622683</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(57.8 , 42.3)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57.817300000000003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57.672699999999999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(91.3 , 70.2)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91.305921996108324</c:v>
                      </c:pt>
                    </c:numCache>
                  </c:numRef>
                </c:xVal>
                <c:yVal>
                  <c:numRef>
                    <c:extLst>
                      <c:ext uri="{02D57815-91ED-43cb-92C2-25804820EDAC}">
                        <c15:formulaRef>
                          <c15:sqref>info!$W$20:$W$21</c15:sqref>
                        </c15:formulaRef>
                      </c:ext>
                    </c:extLst>
                    <c:numCache>
                      <c:formatCode>General</c:formatCode>
                      <c:ptCount val="2"/>
                      <c:pt idx="0">
                        <c:v>50</c:v>
                      </c:pt>
                      <c:pt idx="1">
                        <c:v>70.190893552622683</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(57.8 , 42.3)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57.817300000000003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57.672699999999999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(91.3 , 70.2)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91.305921996108324</c:v>
                      </c:pt>
                    </c:numCache>
                  </c:numRef>
                </c:xVal>
                <c:yVal>
                  <c:numRef>
                    <c:extLst>
                      <c:ext uri="{02D57815-91ED-43cb-92C2-25804820EDAC}">
                        <c15:formulaRef>
                          <c15:sqref>info!$W$20:$W$21</c15:sqref>
                        </c15:formulaRef>
                      </c:ext>
                    </c:extLst>
                    <c:numCache>
                      <c:formatCode>General</c:formatCode>
                      <c:ptCount val="2"/>
                      <c:pt idx="0">
                        <c:v>50</c:v>
                      </c:pt>
                      <c:pt idx="1">
                        <c:v>70.190893552622683</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(57.8 , 42.3)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57.817300000000003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57.672699999999999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(91.3 , 70.2)
열광하는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91.305921996108324</c:v>
                      </c:pt>
                    </c:numCache>
                  </c:numRef>
                </c:xVal>
                <c:yVal>
                  <c:numRef>
                    <c:extLst>
                      <c:ext uri="{02D57815-91ED-43cb-92C2-25804820EDAC}">
                        <c15:formulaRef>
                          <c15:sqref>info!$W$20:$W$21</c15:sqref>
                        </c15:formulaRef>
                      </c:ext>
                    </c:extLst>
                    <c:numCache>
                      <c:formatCode>General</c:formatCode>
                      <c:ptCount val="2"/>
                      <c:pt idx="0">
                        <c:v>50</c:v>
                      </c:pt>
                      <c:pt idx="1">
                        <c:v>70.190893552622683</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(57.8 , 42.3)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57.817300000000003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57.672699999999999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7\vision%5eCVEY%5e1%5e1%5e\2025-05-07%2015_29_1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7\vision%5eCVEY%5e1%5e1%5e\2025-05-07%2015_29_1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B603541B-14AF-4935-04CD-E984C889365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87D91AA9-9AAE-FFF7-994D-C0D4F72B6F5E}"/>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45784.645451388889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CVEY</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45784.645451388889</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CVEY</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0.87178532662147123</v>
      </c>
      <c r="I20" s="862"/>
      <c r="J20" s="311" t="str">
        <f>lang!B174</f>
        <v>정보량</v>
      </c>
      <c r="K20" s="236">
        <f ca="1">info!N9</f>
        <v>46.253834615384626</v>
      </c>
      <c r="L20" s="312" t="str">
        <f>lang!B175</f>
        <v>에너지</v>
      </c>
      <c r="M20" s="863">
        <f ca="1">info!M9</f>
        <v>4.6138188461538467</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 편안함이 증가하는정서 상태이다.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41.427500000000002</v>
      </c>
      <c r="N32" s="816"/>
      <c r="O32" s="817">
        <f>Measurement!N7</f>
        <v>45.601999999999997</v>
      </c>
      <c r="P32" s="818"/>
      <c r="Q32" s="819">
        <f>Measurement!T7</f>
        <v>52.872599999999998</v>
      </c>
      <c r="R32" s="820"/>
    </row>
    <row r="33" spans="3:18" ht="12.75" customHeight="1">
      <c r="C33" s="77"/>
      <c r="I33" s="502">
        <f>Measurement!L8</f>
        <v>1</v>
      </c>
      <c r="J33" s="139" t="str">
        <f>lang!B15</f>
        <v>스트레스</v>
      </c>
      <c r="K33" s="90" t="s">
        <v>226</v>
      </c>
      <c r="L33" s="504" t="str">
        <f>Measurement!Y8</f>
        <v>매우 낮음</v>
      </c>
      <c r="M33" s="792">
        <f>Measurement!R8</f>
        <v>9.8569600000000008</v>
      </c>
      <c r="N33" s="793"/>
      <c r="O33" s="806">
        <f>Measurement!N8</f>
        <v>13.6221</v>
      </c>
      <c r="P33" s="807"/>
      <c r="Q33" s="792">
        <f>Measurement!T8</f>
        <v>24.147600000000001</v>
      </c>
      <c r="R33" s="808"/>
    </row>
    <row r="34" spans="3:18" ht="12.75" customHeight="1">
      <c r="C34" s="77"/>
      <c r="I34" s="502">
        <f>Measurement!L9</f>
        <v>1</v>
      </c>
      <c r="J34" s="139" t="str">
        <f>lang!B16</f>
        <v>불안</v>
      </c>
      <c r="K34" s="90" t="s">
        <v>227</v>
      </c>
      <c r="L34" s="504" t="str">
        <f>Measurement!Y9</f>
        <v>매우 낮음</v>
      </c>
      <c r="M34" s="792">
        <f>Measurement!R9</f>
        <v>5.4736500000000001</v>
      </c>
      <c r="N34" s="793"/>
      <c r="O34" s="806">
        <f>Measurement!N9</f>
        <v>14.790100000000001</v>
      </c>
      <c r="P34" s="807"/>
      <c r="Q34" s="792">
        <f>Measurement!T9</f>
        <v>37.260100000000001</v>
      </c>
      <c r="R34" s="808"/>
    </row>
    <row r="35" spans="3:18" ht="12.75" customHeight="1">
      <c r="C35" s="77"/>
      <c r="I35" s="502">
        <f>Measurement!L10</f>
        <v>3</v>
      </c>
      <c r="J35" s="139" t="str">
        <f>lang!B17</f>
        <v>의심</v>
      </c>
      <c r="K35" s="90" t="s">
        <v>225</v>
      </c>
      <c r="L35" s="504" t="str">
        <f>Measurement!Y10</f>
        <v>보통</v>
      </c>
      <c r="M35" s="792">
        <f>Measurement!R10</f>
        <v>22.607299999999999</v>
      </c>
      <c r="N35" s="793"/>
      <c r="O35" s="806">
        <f>Measurement!N10</f>
        <v>25.366</v>
      </c>
      <c r="P35" s="807"/>
      <c r="Q35" s="792">
        <f>Measurement!T10</f>
        <v>29.224399999999999</v>
      </c>
      <c r="R35" s="808"/>
    </row>
    <row r="36" spans="3:18" ht="12.75" customHeight="1">
      <c r="C36" s="77"/>
      <c r="I36" s="502">
        <f>Measurement!L11</f>
        <v>3</v>
      </c>
      <c r="J36" s="139" t="str">
        <f>lang!B18</f>
        <v>밸런스</v>
      </c>
      <c r="K36" s="90" t="s">
        <v>2171</v>
      </c>
      <c r="L36" s="504" t="str">
        <f>Measurement!Y11</f>
        <v>보통</v>
      </c>
      <c r="M36" s="792">
        <f>Measurement!R11</f>
        <v>42.812399999999997</v>
      </c>
      <c r="N36" s="793"/>
      <c r="O36" s="806">
        <f>Measurement!N11</f>
        <v>60.5062</v>
      </c>
      <c r="P36" s="807"/>
      <c r="Q36" s="792">
        <f>Measurement!T11</f>
        <v>83.927400000000006</v>
      </c>
      <c r="R36" s="808"/>
    </row>
    <row r="37" spans="3:18" ht="12.75" customHeight="1">
      <c r="C37" s="77"/>
      <c r="I37" s="502">
        <f>Measurement!L12</f>
        <v>5</v>
      </c>
      <c r="J37" s="139" t="str">
        <f>lang!B19</f>
        <v>카리스마</v>
      </c>
      <c r="K37" s="90" t="s">
        <v>229</v>
      </c>
      <c r="L37" s="504" t="str">
        <f>Measurement!Y12</f>
        <v>매우 높음</v>
      </c>
      <c r="M37" s="792">
        <f>Measurement!R12</f>
        <v>69.586699999999993</v>
      </c>
      <c r="N37" s="793"/>
      <c r="O37" s="806">
        <f>Measurement!N12</f>
        <v>83.913399999999996</v>
      </c>
      <c r="P37" s="807"/>
      <c r="Q37" s="792">
        <f>Measurement!T12</f>
        <v>89.845200000000006</v>
      </c>
      <c r="R37" s="808"/>
    </row>
    <row r="38" spans="3:18" ht="12.75" customHeight="1">
      <c r="C38" s="77"/>
      <c r="I38" s="502">
        <f>Measurement!L13</f>
        <v>4</v>
      </c>
      <c r="J38" s="139" t="str">
        <f>lang!B20</f>
        <v>에너지</v>
      </c>
      <c r="K38" s="90" t="s">
        <v>2170</v>
      </c>
      <c r="L38" s="504" t="str">
        <f>Measurement!Y13</f>
        <v>높음</v>
      </c>
      <c r="M38" s="792">
        <f>Measurement!R13</f>
        <v>30.9069</v>
      </c>
      <c r="N38" s="793"/>
      <c r="O38" s="806">
        <f>Measurement!N13</f>
        <v>35.345599999999997</v>
      </c>
      <c r="P38" s="807"/>
      <c r="Q38" s="792">
        <f>Measurement!T13</f>
        <v>43.872999999999998</v>
      </c>
      <c r="R38" s="808"/>
    </row>
    <row r="39" spans="3:18" ht="12.75" customHeight="1">
      <c r="C39" s="77"/>
      <c r="I39" s="502">
        <f>Measurement!L14</f>
        <v>3</v>
      </c>
      <c r="J39" s="139" t="str">
        <f>lang!B21</f>
        <v>자기조절</v>
      </c>
      <c r="K39" s="90" t="s">
        <v>230</v>
      </c>
      <c r="L39" s="504" t="str">
        <f>Measurement!Y14</f>
        <v>보통</v>
      </c>
      <c r="M39" s="792">
        <f>Measurement!R14</f>
        <v>64.725999999999999</v>
      </c>
      <c r="N39" s="793"/>
      <c r="O39" s="806">
        <f>Measurement!N14</f>
        <v>72.826499999999996</v>
      </c>
      <c r="P39" s="807"/>
      <c r="Q39" s="792">
        <f>Measurement!T14</f>
        <v>83.537099999999995</v>
      </c>
      <c r="R39" s="808"/>
    </row>
    <row r="40" spans="3:18" ht="12.75" customHeight="1">
      <c r="C40" s="77"/>
      <c r="I40" s="502">
        <f>Measurement!L15</f>
        <v>3</v>
      </c>
      <c r="J40" s="139" t="str">
        <f>lang!B22</f>
        <v>억제</v>
      </c>
      <c r="K40" s="91" t="s">
        <v>248</v>
      </c>
      <c r="L40" s="504" t="str">
        <f>Measurement!Y15</f>
        <v>보통</v>
      </c>
      <c r="M40" s="792">
        <f>Measurement!R15</f>
        <v>14.525700000000001</v>
      </c>
      <c r="N40" s="793"/>
      <c r="O40" s="806">
        <f>Measurement!N15</f>
        <v>16.658999999999999</v>
      </c>
      <c r="P40" s="807"/>
      <c r="Q40" s="792">
        <f>Measurement!T15</f>
        <v>29.812000000000001</v>
      </c>
      <c r="R40" s="808"/>
    </row>
    <row r="41" spans="3:18" ht="12.75" customHeight="1" thickBot="1">
      <c r="C41" s="77"/>
      <c r="I41" s="502">
        <f>Measurement!L16</f>
        <v>3</v>
      </c>
      <c r="J41" s="140" t="str">
        <f>lang!B23</f>
        <v>신경성</v>
      </c>
      <c r="K41" s="92" t="s">
        <v>231</v>
      </c>
      <c r="L41" s="504" t="str">
        <f>Measurement!Y16</f>
        <v>보통</v>
      </c>
      <c r="M41" s="794">
        <f>Measurement!R16</f>
        <v>2.8782299999999998</v>
      </c>
      <c r="N41" s="795"/>
      <c r="O41" s="796">
        <f>Measurement!N16</f>
        <v>39.76</v>
      </c>
      <c r="P41" s="797"/>
      <c r="Q41" s="794">
        <f>Measurement!T16</f>
        <v>42.968499999999999</v>
      </c>
      <c r="R41" s="798"/>
    </row>
    <row r="42" spans="3:18" ht="29.25" customHeight="1" thickBot="1">
      <c r="C42" s="77"/>
      <c r="I42" s="84"/>
      <c r="J42" s="780" t="str">
        <f>lang!B215</f>
        <v>감정변이도</v>
      </c>
      <c r="K42" s="781"/>
      <c r="L42" s="319" t="str">
        <f>info!V43</f>
        <v>보통</v>
      </c>
      <c r="M42" s="782">
        <f>info!W43</f>
        <v>17.9541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2.2777699999999999</v>
      </c>
      <c r="E44" s="249" t="s">
        <v>1072</v>
      </c>
      <c r="G44" s="289"/>
      <c r="H44" s="289"/>
      <c r="I44" s="290"/>
      <c r="J44" s="802">
        <f>info!$W$36</f>
        <v>45.689140000000002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45784.645451388889</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CVEY</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0.87178532662147123</v>
      </c>
      <c r="I20" s="862"/>
      <c r="J20" s="311" t="str">
        <f>lang!B174</f>
        <v>정보량</v>
      </c>
      <c r="K20" s="236">
        <f ca="1">info!N9</f>
        <v>46.253834615384626</v>
      </c>
      <c r="L20" s="312" t="str">
        <f>lang!B175</f>
        <v>에너지</v>
      </c>
      <c r="M20" s="863">
        <f ca="1">info!M9</f>
        <v>4.6138188461538467</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 편안함이 증가하는정서 상태이다.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41.427500000000002</v>
      </c>
      <c r="N32" s="816"/>
      <c r="O32" s="817">
        <f>Measurement!N7</f>
        <v>45.601999999999997</v>
      </c>
      <c r="P32" s="818"/>
      <c r="Q32" s="819">
        <f>Measurement!T7</f>
        <v>52.872599999999998</v>
      </c>
      <c r="R32" s="820"/>
    </row>
    <row r="33" spans="3:18" ht="12.75" customHeight="1">
      <c r="C33" s="77"/>
      <c r="I33" s="502">
        <f>Measurement!L8</f>
        <v>1</v>
      </c>
      <c r="J33" s="139" t="str">
        <f>lang!B15</f>
        <v>스트레스</v>
      </c>
      <c r="K33" s="90" t="s">
        <v>226</v>
      </c>
      <c r="L33" s="504" t="str">
        <f>Measurement!Y8</f>
        <v>매우 낮음</v>
      </c>
      <c r="M33" s="792">
        <f>Measurement!R8</f>
        <v>9.8569600000000008</v>
      </c>
      <c r="N33" s="793"/>
      <c r="O33" s="806">
        <f>Measurement!N8</f>
        <v>13.6221</v>
      </c>
      <c r="P33" s="807"/>
      <c r="Q33" s="792">
        <f>Measurement!T8</f>
        <v>24.147600000000001</v>
      </c>
      <c r="R33" s="808"/>
    </row>
    <row r="34" spans="3:18" ht="12.75" customHeight="1">
      <c r="C34" s="77"/>
      <c r="I34" s="502">
        <f>Measurement!L9</f>
        <v>1</v>
      </c>
      <c r="J34" s="139" t="str">
        <f>lang!B16</f>
        <v>불안</v>
      </c>
      <c r="K34" s="90" t="s">
        <v>227</v>
      </c>
      <c r="L34" s="504" t="str">
        <f>Measurement!Y9</f>
        <v>매우 낮음</v>
      </c>
      <c r="M34" s="792">
        <f>Measurement!R9</f>
        <v>5.4736500000000001</v>
      </c>
      <c r="N34" s="793"/>
      <c r="O34" s="806">
        <f>Measurement!N9</f>
        <v>14.790100000000001</v>
      </c>
      <c r="P34" s="807"/>
      <c r="Q34" s="792">
        <f>Measurement!T9</f>
        <v>37.260100000000001</v>
      </c>
      <c r="R34" s="808"/>
    </row>
    <row r="35" spans="3:18" ht="12.75" customHeight="1">
      <c r="C35" s="77"/>
      <c r="I35" s="502">
        <f>Measurement!L10</f>
        <v>3</v>
      </c>
      <c r="J35" s="139" t="str">
        <f>lang!B17</f>
        <v>의심</v>
      </c>
      <c r="K35" s="90" t="s">
        <v>225</v>
      </c>
      <c r="L35" s="504" t="str">
        <f>Measurement!Y10</f>
        <v>보통</v>
      </c>
      <c r="M35" s="792">
        <f>Measurement!R10</f>
        <v>22.607299999999999</v>
      </c>
      <c r="N35" s="793"/>
      <c r="O35" s="806">
        <f>Measurement!N10</f>
        <v>25.366</v>
      </c>
      <c r="P35" s="807"/>
      <c r="Q35" s="792">
        <f>Measurement!T10</f>
        <v>29.224399999999999</v>
      </c>
      <c r="R35" s="808"/>
    </row>
    <row r="36" spans="3:18" ht="12.75" customHeight="1">
      <c r="C36" s="77"/>
      <c r="I36" s="502">
        <f>Measurement!L11</f>
        <v>3</v>
      </c>
      <c r="J36" s="139" t="str">
        <f>lang!B18</f>
        <v>밸런스</v>
      </c>
      <c r="K36" s="90" t="s">
        <v>2171</v>
      </c>
      <c r="L36" s="504" t="str">
        <f>Measurement!Y11</f>
        <v>보통</v>
      </c>
      <c r="M36" s="792">
        <f>Measurement!R11</f>
        <v>42.812399999999997</v>
      </c>
      <c r="N36" s="793"/>
      <c r="O36" s="806">
        <f>Measurement!N11</f>
        <v>60.5062</v>
      </c>
      <c r="P36" s="807"/>
      <c r="Q36" s="792">
        <f>Measurement!T11</f>
        <v>83.927400000000006</v>
      </c>
      <c r="R36" s="808"/>
    </row>
    <row r="37" spans="3:18" ht="12.75" customHeight="1">
      <c r="C37" s="77"/>
      <c r="I37" s="502">
        <f>Measurement!L12</f>
        <v>5</v>
      </c>
      <c r="J37" s="139" t="str">
        <f>lang!B19</f>
        <v>카리스마</v>
      </c>
      <c r="K37" s="90" t="s">
        <v>229</v>
      </c>
      <c r="L37" s="504" t="str">
        <f>Measurement!Y12</f>
        <v>매우 높음</v>
      </c>
      <c r="M37" s="792">
        <f>Measurement!R12</f>
        <v>69.586699999999993</v>
      </c>
      <c r="N37" s="793"/>
      <c r="O37" s="806">
        <f>Measurement!N12</f>
        <v>83.913399999999996</v>
      </c>
      <c r="P37" s="807"/>
      <c r="Q37" s="792">
        <f>Measurement!T12</f>
        <v>89.845200000000006</v>
      </c>
      <c r="R37" s="808"/>
    </row>
    <row r="38" spans="3:18" ht="12.75" customHeight="1">
      <c r="C38" s="77"/>
      <c r="I38" s="502">
        <f>Measurement!L13</f>
        <v>4</v>
      </c>
      <c r="J38" s="139" t="str">
        <f>lang!B20</f>
        <v>에너지</v>
      </c>
      <c r="K38" s="90" t="s">
        <v>2170</v>
      </c>
      <c r="L38" s="504" t="str">
        <f>Measurement!Y13</f>
        <v>높음</v>
      </c>
      <c r="M38" s="792">
        <f>Measurement!R13</f>
        <v>30.9069</v>
      </c>
      <c r="N38" s="793"/>
      <c r="O38" s="806">
        <f>Measurement!N13</f>
        <v>35.345599999999997</v>
      </c>
      <c r="P38" s="807"/>
      <c r="Q38" s="792">
        <f>Measurement!T13</f>
        <v>43.872999999999998</v>
      </c>
      <c r="R38" s="808"/>
    </row>
    <row r="39" spans="3:18" ht="12.75" customHeight="1">
      <c r="C39" s="77"/>
      <c r="I39" s="502">
        <f>Measurement!L14</f>
        <v>3</v>
      </c>
      <c r="J39" s="139" t="str">
        <f>lang!B21</f>
        <v>자기조절</v>
      </c>
      <c r="K39" s="90" t="s">
        <v>230</v>
      </c>
      <c r="L39" s="504" t="str">
        <f>Measurement!Y14</f>
        <v>보통</v>
      </c>
      <c r="M39" s="792">
        <f>Measurement!R14</f>
        <v>64.725999999999999</v>
      </c>
      <c r="N39" s="793"/>
      <c r="O39" s="806">
        <f>Measurement!N14</f>
        <v>72.826499999999996</v>
      </c>
      <c r="P39" s="807"/>
      <c r="Q39" s="792">
        <f>Measurement!T14</f>
        <v>83.537099999999995</v>
      </c>
      <c r="R39" s="808"/>
    </row>
    <row r="40" spans="3:18" ht="12.75" customHeight="1">
      <c r="C40" s="77"/>
      <c r="I40" s="502">
        <f>Measurement!L15</f>
        <v>3</v>
      </c>
      <c r="J40" s="139" t="str">
        <f>lang!B22</f>
        <v>억제</v>
      </c>
      <c r="K40" s="91" t="s">
        <v>248</v>
      </c>
      <c r="L40" s="504" t="str">
        <f>Measurement!Y15</f>
        <v>보통</v>
      </c>
      <c r="M40" s="792">
        <f>Measurement!R15</f>
        <v>14.525700000000001</v>
      </c>
      <c r="N40" s="793"/>
      <c r="O40" s="806">
        <f>Measurement!N15</f>
        <v>16.658999999999999</v>
      </c>
      <c r="P40" s="807"/>
      <c r="Q40" s="792">
        <f>Measurement!T15</f>
        <v>29.812000000000001</v>
      </c>
      <c r="R40" s="808"/>
    </row>
    <row r="41" spans="3:18" ht="12.75" customHeight="1" thickBot="1">
      <c r="C41" s="77"/>
      <c r="I41" s="502">
        <f>Measurement!L16</f>
        <v>3</v>
      </c>
      <c r="J41" s="140" t="str">
        <f>lang!B23</f>
        <v>신경성</v>
      </c>
      <c r="K41" s="92" t="s">
        <v>231</v>
      </c>
      <c r="L41" s="504" t="str">
        <f>Measurement!Y16</f>
        <v>보통</v>
      </c>
      <c r="M41" s="794">
        <f>Measurement!R16</f>
        <v>2.8782299999999998</v>
      </c>
      <c r="N41" s="795"/>
      <c r="O41" s="796">
        <f>Measurement!N16</f>
        <v>39.76</v>
      </c>
      <c r="P41" s="797"/>
      <c r="Q41" s="794">
        <f>Measurement!T16</f>
        <v>42.968499999999999</v>
      </c>
      <c r="R41" s="798"/>
    </row>
    <row r="42" spans="3:18" ht="29.25" customHeight="1" thickBot="1">
      <c r="C42" s="77"/>
      <c r="I42" s="84"/>
      <c r="J42" s="780" t="str">
        <f>lang!B215</f>
        <v>감정변이도</v>
      </c>
      <c r="K42" s="781"/>
      <c r="L42" s="319" t="str">
        <f>info!V43</f>
        <v>보통</v>
      </c>
      <c r="M42" s="782">
        <f>info!W43</f>
        <v>17.9541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2.2777699999999999</v>
      </c>
      <c r="E44" s="249" t="s">
        <v>1195</v>
      </c>
      <c r="G44" s="289"/>
      <c r="H44" s="289"/>
      <c r="I44" s="290"/>
      <c r="J44" s="802">
        <f>info!$W$36</f>
        <v>45.689140000000002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45784.645451388889</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CVEY</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(-0.04,-0.01)</v>
      </c>
      <c r="S18" s="966"/>
      <c r="T18" s="967"/>
    </row>
    <row r="19" spans="2:22" ht="16.5" customHeight="1">
      <c r="C19" s="136" t="str">
        <f>lang!B328</f>
        <v>최소값</v>
      </c>
      <c r="D19" s="105">
        <f ca="1">info!M7</f>
        <v>41.390599999999999</v>
      </c>
      <c r="E19" s="94" t="str">
        <f>lang!B330</f>
        <v>평균값</v>
      </c>
      <c r="F19" s="971">
        <f ca="1">info!N9</f>
        <v>46.253834615384626</v>
      </c>
      <c r="G19" s="972"/>
      <c r="H19" s="912" t="str">
        <f>lang!B329</f>
        <v>최대값</v>
      </c>
      <c r="I19" s="913"/>
      <c r="J19" s="105">
        <f ca="1">info!M8</f>
        <v>51.417599999999993</v>
      </c>
      <c r="K19" s="137" t="str">
        <f>lang!B328</f>
        <v>최소값</v>
      </c>
      <c r="L19" s="105">
        <f ca="1">info!M5</f>
        <v>4.0744600000000002</v>
      </c>
      <c r="M19" s="94" t="str">
        <f>lang!B330</f>
        <v>평균값</v>
      </c>
      <c r="N19" s="971">
        <f ca="1">info!M9</f>
        <v>4.6138188461538467</v>
      </c>
      <c r="O19" s="972">
        <f>info!T9</f>
        <v>1</v>
      </c>
      <c r="P19" s="94" t="str">
        <f>lang!B329</f>
        <v>최대값</v>
      </c>
      <c r="Q19" s="105">
        <f ca="1">info!M6</f>
        <v>5.2114400000000005</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10.105502258788546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2.277771</v>
      </c>
      <c r="N47" s="986"/>
      <c r="O47" s="451"/>
      <c r="P47" s="491" t="s">
        <v>1101</v>
      </c>
      <c r="Q47" s="987">
        <f>hist!M3</f>
        <v>0.95362000000000002</v>
      </c>
      <c r="R47" s="986"/>
      <c r="S47" s="451"/>
      <c r="T47" s="452"/>
    </row>
    <row r="48" spans="3:20" ht="18" customHeight="1">
      <c r="C48" s="931"/>
      <c r="D48" s="910"/>
      <c r="E48" s="910"/>
      <c r="F48" s="355"/>
      <c r="G48" s="355"/>
      <c r="H48" s="356"/>
      <c r="I48" s="356"/>
      <c r="J48" s="951"/>
      <c r="K48" s="951"/>
      <c r="L48" s="936"/>
      <c r="M48" s="988">
        <f>hist!N2</f>
        <v>0.57364899999999996</v>
      </c>
      <c r="N48" s="989"/>
      <c r="O48" s="451"/>
      <c r="P48" s="491" t="s">
        <v>1102</v>
      </c>
      <c r="Q48" s="986">
        <f>hist!N3</f>
        <v>0.50620399999999999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0.329073</v>
      </c>
      <c r="N49" s="991"/>
      <c r="O49" s="453"/>
      <c r="P49" s="454" t="s">
        <v>1588</v>
      </c>
      <c r="Q49" s="992">
        <f>hist!O3</f>
        <v>0.256243</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vision^CVEY^1^1^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1</v>
      </c>
      <c r="CI4" t="s">
        <v>1570</v>
      </c>
      <c r="CJ4" s="426">
        <f>DK17*100</f>
        <v>91.305921996108324</v>
      </c>
      <c r="CK4" s="422">
        <f>info!W21</f>
        <v>70.190893552622683</v>
      </c>
      <c r="CL4">
        <f>100-M!B19*100</f>
        <v>57.672699999999999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45784.645451388889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17.9541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8</v>
      </c>
      <c r="BY6" s="220">
        <f t="shared" si="0"/>
        <v>3</v>
      </c>
      <c r="BZ6" s="220">
        <f t="shared" si="0"/>
        <v>1</v>
      </c>
      <c r="CA6" s="220">
        <f t="shared" si="0"/>
        <v>9</v>
      </c>
      <c r="CB6" s="220">
        <f t="shared" si="0"/>
        <v>6</v>
      </c>
      <c r="CC6" s="220">
        <f t="shared" si="0"/>
        <v>7</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45.601999999999997</v>
      </c>
      <c r="O7" s="48">
        <f>M!C5*1</f>
        <v>2.8710399999999998</v>
      </c>
      <c r="P7" s="48">
        <f>M!D5*1</f>
        <v>6.2958699999999999</v>
      </c>
      <c r="Q7" s="48">
        <f>M!E5*1</f>
        <v>20</v>
      </c>
      <c r="R7" s="48">
        <f>IF(M!B5="","",M!F5*1)</f>
        <v>41.427500000000002</v>
      </c>
      <c r="S7" s="48">
        <f>M!G5*1</f>
        <v>50</v>
      </c>
      <c r="T7" s="48">
        <f>IF(M!B5="","",M!H5*1)</f>
        <v>52.872599999999998</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1.0586399427577382</v>
      </c>
      <c r="AI7" s="98">
        <v>2.5024862326905418E-2</v>
      </c>
      <c r="AJ7" s="98">
        <v>-7.7313821231156016E-2</v>
      </c>
      <c r="AK7" s="98">
        <v>0.50012525104428274</v>
      </c>
      <c r="AL7" s="98">
        <v>-8.545985269705475E-2</v>
      </c>
      <c r="AM7" s="98">
        <f>$AH7*AI7+$AH8*AI8+$AH9*AI9+$AH10*AI10+$AH11*AI11+$AH12*AI12+$AH13*AI13+$AH14*AI14+$AH15*AI15+$AH16*AI16</f>
        <v>4.1499895671518781</v>
      </c>
      <c r="AN7" s="98">
        <f t="shared" ref="AN7:AP7" si="2">$AH7*AJ7+$AH8*AJ8+$AH9*AJ9+$AH10*AJ10+$AH11*AJ11+$AH12*AJ12+$AH13*AJ13+$AH14*AJ14+$AH15*AJ15+$AH16*AJ16</f>
        <v>-0.48485935725054369</v>
      </c>
      <c r="AO7" s="98">
        <f t="shared" si="2"/>
        <v>0.57079666743691904</v>
      </c>
      <c r="AP7" s="98">
        <f t="shared" si="2"/>
        <v>-2.3015326662815534</v>
      </c>
      <c r="AQ7" s="335">
        <f>IF(SUM(N7:N16)&gt;0, 0.8608*AM7+0.333*AN7+0.104*AO7+1.129*AP7,"")</f>
        <v>0.87178532662147123</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45.601999999999997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266.29462382660006</v>
      </c>
      <c r="BL7" s="56">
        <f t="shared" ref="BL7:BT7" si="3">BB7*$AY7+BB8*$AY8+BB9*$AY9+BB10*$AY10+BB11*$AY11+BB12*$AY12+BB13*$AY13+BB14</f>
        <v>255.49531611359981</v>
      </c>
      <c r="BM7" s="56">
        <f t="shared" si="3"/>
        <v>241.23168652560003</v>
      </c>
      <c r="BN7" s="56">
        <f t="shared" si="3"/>
        <v>266.27228420179989</v>
      </c>
      <c r="BO7" s="56">
        <f t="shared" si="3"/>
        <v>279.5058131024</v>
      </c>
      <c r="BP7" s="56">
        <f t="shared" si="3"/>
        <v>238.32969816799982</v>
      </c>
      <c r="BQ7" s="56">
        <f t="shared" si="3"/>
        <v>248.87823841679995</v>
      </c>
      <c r="BR7" s="56">
        <f t="shared" si="3"/>
        <v>241.93906361659992</v>
      </c>
      <c r="BS7" s="56">
        <f t="shared" si="3"/>
        <v>254.2205292754</v>
      </c>
      <c r="BT7" s="56">
        <f t="shared" si="3"/>
        <v>220.00674419519987</v>
      </c>
      <c r="BU7" s="56">
        <f>EXP(BK7)+EXP(BL7)+EXP(BM7)+EXP(BN7)+EXP(BO7)+EXP(BP7)+EXP(BQ7)+EXP(BR7)+EXP(BS7)+EXP(BT7)</f>
        <v>2.4424960060711075E+121</v>
      </c>
      <c r="BV7" s="56">
        <f>IF(SUM($AY$7:$AY$13)&gt;0,EXP(BK7)/$BU$7,"")</f>
        <v>1.8300031030946985E-6</v>
      </c>
      <c r="BW7" s="56">
        <f t="shared" ref="BW7:CE7" si="4">IF(SUM($AY$7:$AY$13)&gt;0,EXP(BL7)/$BU$7,"")</f>
        <v>3.7357007364765497E-11</v>
      </c>
      <c r="BX7" s="56">
        <f t="shared" si="4"/>
        <v>2.3864726198490335E-17</v>
      </c>
      <c r="BY7" s="56">
        <f t="shared" si="4"/>
        <v>1.7895747785183215E-6</v>
      </c>
      <c r="BZ7" s="56">
        <f t="shared" si="4"/>
        <v>0.99999638037427041</v>
      </c>
      <c r="CA7" s="56">
        <f t="shared" si="4"/>
        <v>1.3105057348641335E-18</v>
      </c>
      <c r="CB7" s="56">
        <f t="shared" si="4"/>
        <v>4.9958771219983276E-14</v>
      </c>
      <c r="CC7" s="56">
        <f t="shared" si="4"/>
        <v>4.8413493609929969E-17</v>
      </c>
      <c r="CD7" s="56">
        <f t="shared" si="4"/>
        <v>1.0440930108057704E-11</v>
      </c>
      <c r="CE7" s="56">
        <f t="shared" si="4"/>
        <v>1.4450441735280943E-26</v>
      </c>
      <c r="CF7" s="418" t="s">
        <v>1870</v>
      </c>
      <c r="CG7" s="221">
        <f>IF(SUM($AY$7:$AY$13)&gt;0,HLOOKUP(1,$BV$6:$CE$7,2,FALSE),"")</f>
        <v>0.99999638037427041</v>
      </c>
      <c r="CH7" s="221">
        <f>IF(SUM($AY$7:$AY$13)&gt;0,HLOOKUP(2,$BV$6:$CE$7,2,FALSE),"")</f>
        <v>1.8300031030946985E-6</v>
      </c>
      <c r="CI7" s="425" t="str">
        <f>"( "&amp;IF(CG7&lt;&gt;"",ROUND(CG7*100,0),"")&amp;" , "&amp;IF(CH7&lt;&gt;"",ROUND(CH7*100,0),"")&amp;" )"</f>
        <v>( 100 , 0 )</v>
      </c>
      <c r="CJ7" s="420">
        <f>CG7</f>
        <v>0.99999638037427041</v>
      </c>
      <c r="CK7" s="420">
        <f>CH7</f>
        <v>1.8300031030946985E-6</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45.601999999999997</v>
      </c>
      <c r="DJ7" s="265">
        <f>(DI7-$DB7)/$DC7</f>
        <v>1.3557094937459493</v>
      </c>
      <c r="DK7" s="266">
        <f>IF(DH7=1,(DJ7-DF7)^2,0)</f>
        <v>4.3821436265918272E-2</v>
      </c>
      <c r="DL7" s="267">
        <f>IF(DH7=1,(DJ7-DG7)^2,0)</f>
        <v>0.45781963598026959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13.6221</v>
      </c>
      <c r="O8" s="48">
        <f>M!C6*1</f>
        <v>3.0632000000000001</v>
      </c>
      <c r="P8" s="48">
        <f>M!D6*1</f>
        <v>22.486899999999999</v>
      </c>
      <c r="Q8" s="48">
        <f>M!E6*1</f>
        <v>20</v>
      </c>
      <c r="R8" s="48">
        <f>IF(M!B6="","",M!F6*1)</f>
        <v>9.8569600000000008</v>
      </c>
      <c r="S8" s="48">
        <f>M!G6*1</f>
        <v>40</v>
      </c>
      <c r="T8" s="48">
        <f>IF(M!B6="","",M!H6*1)</f>
        <v>24.147600000000001</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-6.4881834544987029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13.6221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13.6221</v>
      </c>
      <c r="DJ8" s="265">
        <f t="shared" ref="DJ8:DJ14" si="8">(DI8-$DB8)/$DC8</f>
        <v>-2.5261740412057399</v>
      </c>
      <c r="DK8" s="273">
        <f t="shared" ref="DK8:DK14" si="9">IF(DH8=1,(DJ8-DF8)^2,0)</f>
        <v>1.0889641467913076</v>
      </c>
      <c r="DL8" s="274">
        <f t="shared" ref="DL8:DL14" si="10">IF(DH8=1,(DJ8-DG8)^2,0)</f>
        <v>7.8269866905787246</v>
      </c>
    </row>
    <row r="9" spans="2:119" s="5" customFormat="1" ht="24.75" customHeight="1" thickBot="1">
      <c r="B9" s="62" t="str">
        <f>CONCATENATE(M7,"
(20 ~ 50)")</f>
        <v>적극/공격성
(20 ~ 50)</v>
      </c>
      <c r="C9" s="63">
        <f>R7</f>
        <v>41.427500000000002</v>
      </c>
      <c r="D9" s="64">
        <f>N7</f>
        <v>45.601999999999997</v>
      </c>
      <c r="E9" s="65">
        <f>T7</f>
        <v>52.872599999999998</v>
      </c>
      <c r="F9" s="65">
        <f>P7</f>
        <v>6.2958699999999999</v>
      </c>
      <c r="G9" s="66" t="str">
        <f>CONCATENATE(M8,"
(20 ~ 40)")</f>
        <v>스트레스
(20 ~ 40)</v>
      </c>
      <c r="H9" s="63">
        <f>R8</f>
        <v>9.8569600000000008</v>
      </c>
      <c r="I9" s="67">
        <f>N8</f>
        <v>13.6221</v>
      </c>
      <c r="J9" s="63">
        <f>T8</f>
        <v>24.147600000000001</v>
      </c>
      <c r="K9" s="68">
        <f>P8</f>
        <v>22.486899999999999</v>
      </c>
      <c r="L9" s="1">
        <f>IF(M!B7="","",IF(N9&lt;U9,1,IF(N9&lt;V9,2,IF(N9&lt;W9,3,IF(N9&lt;X9,4,5)))))</f>
        <v>1</v>
      </c>
      <c r="M9" s="162" t="str">
        <f>lang!B16</f>
        <v>불안</v>
      </c>
      <c r="N9" s="48">
        <f>IF(M!B7="","",M!B7*1)</f>
        <v>14.790100000000001</v>
      </c>
      <c r="O9" s="48">
        <f>M!C7*1</f>
        <v>6.1187699999999996</v>
      </c>
      <c r="P9" s="48">
        <f>M!D7*1</f>
        <v>41.370800000000003</v>
      </c>
      <c r="Q9" s="48">
        <f>M!E7*1</f>
        <v>15</v>
      </c>
      <c r="R9" s="48">
        <f>IF(M!B7="","",M!F7*1)</f>
        <v>5.4736500000000001</v>
      </c>
      <c r="S9" s="48">
        <f>M!G7*1</f>
        <v>40</v>
      </c>
      <c r="T9" s="48">
        <f>IF(M!B7="","",M!H7*1)</f>
        <v>37.260100000000001</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-1.188086005296437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14.790100000000001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14.790100000000001</v>
      </c>
      <c r="DJ9" s="265">
        <f t="shared" si="8"/>
        <v>-1.861984335141583</v>
      </c>
      <c r="DK9" s="273">
        <f t="shared" si="9"/>
        <v>0.41447688631072688</v>
      </c>
      <c r="DL9" s="274">
        <f t="shared" si="10"/>
        <v>4.0814867695708799</v>
      </c>
      <c r="DM9"/>
      <c r="DN9"/>
    </row>
    <row r="10" spans="2:119" s="4" customFormat="1" ht="30.3" thickBot="1">
      <c r="B10" s="57" t="str">
        <f>CONCATENATE(M9,"
(15 ~ 40)")</f>
        <v>불안
(15 ~ 40)</v>
      </c>
      <c r="C10" s="17">
        <f>R9</f>
        <v>5.4736500000000001</v>
      </c>
      <c r="D10" s="41">
        <f>N9</f>
        <v>14.790100000000001</v>
      </c>
      <c r="E10" s="43">
        <f>T9</f>
        <v>37.260100000000001</v>
      </c>
      <c r="F10" s="43">
        <f>P9</f>
        <v>41.370800000000003</v>
      </c>
      <c r="G10" s="59" t="str">
        <f>CONCATENATE(M10,"
(20 ~ 50)")</f>
        <v>의심
(20 ~ 50)</v>
      </c>
      <c r="H10" s="17">
        <f>R10</f>
        <v>22.607299999999999</v>
      </c>
      <c r="I10" s="42">
        <f>N10</f>
        <v>25.366</v>
      </c>
      <c r="J10" s="17">
        <f>T10</f>
        <v>29.224399999999999</v>
      </c>
      <c r="K10" s="18">
        <f>P10</f>
        <v>7.1162099999999997</v>
      </c>
      <c r="L10" s="1">
        <f>IF(M!B8="","",IF(N10&lt;U10,1,IF(N10&lt;V10,2,IF(N10&lt;W10,3,IF(N10&lt;X10,4,5)))))</f>
        <v>3</v>
      </c>
      <c r="M10" s="162" t="str">
        <f>lang!B17</f>
        <v>의심</v>
      </c>
      <c r="N10" s="48">
        <f>IF(M!B8="","",M!B8*1)</f>
        <v>25.366</v>
      </c>
      <c r="O10" s="48">
        <f>M!C8*1</f>
        <v>1.8050999999999999</v>
      </c>
      <c r="P10" s="48">
        <f>M!D8*1</f>
        <v>7.1162099999999997</v>
      </c>
      <c r="Q10" s="48">
        <f>M!E8*1</f>
        <v>20</v>
      </c>
      <c r="R10" s="48">
        <f>IF(M!B8="","",M!F8*1)</f>
        <v>22.607299999999999</v>
      </c>
      <c r="S10" s="48">
        <f>M!G8*1</f>
        <v>50</v>
      </c>
      <c r="T10" s="48">
        <f>IF(M!B8="","",M!H8*1)</f>
        <v>29.224399999999999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-1.527245557470438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60.5062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60.5062</v>
      </c>
      <c r="DJ10" s="265">
        <f t="shared" si="8"/>
        <v>-0.64736643451198972</v>
      </c>
      <c r="DK10" s="273">
        <f t="shared" si="9"/>
        <v>0.15201636995129666</v>
      </c>
      <c r="DL10" s="274">
        <f t="shared" si="10"/>
        <v>0.84064372918937891</v>
      </c>
      <c r="DM10"/>
      <c r="DN10"/>
    </row>
    <row r="11" spans="2:119" s="4" customFormat="1" ht="24.75" customHeight="1" thickBot="1">
      <c r="B11" s="57" t="str">
        <f>CONCATENATE(M11,"
(50 ~ 100)")</f>
        <v>밸런스
(50 ~ 100)</v>
      </c>
      <c r="C11" s="17">
        <f>R11</f>
        <v>42.812399999999997</v>
      </c>
      <c r="D11" s="42">
        <f>N11</f>
        <v>60.5062</v>
      </c>
      <c r="E11" s="17">
        <f>T11</f>
        <v>83.927400000000006</v>
      </c>
      <c r="F11" s="17">
        <f>P11</f>
        <v>16.786799999999999</v>
      </c>
      <c r="G11" s="59" t="str">
        <f>CONCATENATE(M12,"
(40 ~ 100)")</f>
        <v>카리스마
(40 ~ 100)</v>
      </c>
      <c r="H11" s="17">
        <f>R12</f>
        <v>69.586699999999993</v>
      </c>
      <c r="I11" s="42">
        <f>N12</f>
        <v>83.913399999999996</v>
      </c>
      <c r="J11" s="17">
        <f>T12</f>
        <v>89.845200000000006</v>
      </c>
      <c r="K11" s="18">
        <f>P12</f>
        <v>7.4401099999999998</v>
      </c>
      <c r="L11" s="1">
        <f>IF(M!B9="","",IF(N11&lt;U11,1,IF(N11&lt;V11,2,IF(N11&lt;W11,3,IF(N11&lt;X11,4,5)))))</f>
        <v>3</v>
      </c>
      <c r="M11" s="162" t="str">
        <f>lang!B18</f>
        <v>밸런스</v>
      </c>
      <c r="N11" s="48">
        <f>IF(M!B9="","",M!B9*1)</f>
        <v>60.5062</v>
      </c>
      <c r="O11" s="48">
        <f>M!C9*1</f>
        <v>10.157</v>
      </c>
      <c r="P11" s="48">
        <f>M!D9*1</f>
        <v>16.786799999999999</v>
      </c>
      <c r="Q11" s="48">
        <f>M!E9*1</f>
        <v>50</v>
      </c>
      <c r="R11" s="48">
        <f>IF(M!B9="","",M!F9*1)</f>
        <v>42.812399999999997</v>
      </c>
      <c r="S11" s="48">
        <f>M!G9*1</f>
        <v>100</v>
      </c>
      <c r="T11" s="48">
        <f>IF(M!B9="","",M!H9*1)</f>
        <v>83.927400000000006</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-2.1392266399170659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83.913399999999996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83.913399999999996</v>
      </c>
      <c r="DJ11" s="265">
        <f t="shared" si="8"/>
        <v>1.2536772792667499</v>
      </c>
      <c r="DK11" s="273">
        <f t="shared" si="9"/>
        <v>5.9173548653883981E-2</v>
      </c>
      <c r="DL11" s="274">
        <f t="shared" si="10"/>
        <v>2.6570592189415287</v>
      </c>
      <c r="DM11"/>
      <c r="DN11"/>
    </row>
    <row r="12" spans="2:119" s="4" customFormat="1" ht="24.75" customHeight="1" thickBot="1">
      <c r="B12" s="57" t="str">
        <f>CONCATENATE(M13,"
(10 ~ 50)")</f>
        <v>에너지
(10 ~ 50)</v>
      </c>
      <c r="C12" s="17">
        <f>R13</f>
        <v>30.9069</v>
      </c>
      <c r="D12" s="41">
        <f>N13</f>
        <v>35.345599999999997</v>
      </c>
      <c r="E12" s="43">
        <f>T13</f>
        <v>43.872999999999998</v>
      </c>
      <c r="F12" s="43">
        <f>P13</f>
        <v>10.2669</v>
      </c>
      <c r="G12" s="59" t="str">
        <f>CONCATENATE(M14,"
(50 ~ 100)")</f>
        <v>자기조절
(50 ~ 100)</v>
      </c>
      <c r="H12" s="17">
        <f>R14</f>
        <v>64.725999999999999</v>
      </c>
      <c r="I12" s="42">
        <f>N14</f>
        <v>72.826499999999996</v>
      </c>
      <c r="J12" s="17">
        <f>T14</f>
        <v>83.537099999999995</v>
      </c>
      <c r="K12" s="18">
        <f>P14</f>
        <v>6.7511599999999996</v>
      </c>
      <c r="L12" s="1">
        <f>IF(M!B10="","",IF(N12&lt;U12,1,IF(N12&lt;V12,2,IF(N12&lt;W12,3,IF(N12&lt;X12,4,5)))))</f>
        <v>5</v>
      </c>
      <c r="M12" s="162" t="str">
        <f>lang!B19</f>
        <v>카리스마</v>
      </c>
      <c r="N12" s="48">
        <f>IF(M!B10="","",M!B10*1)</f>
        <v>83.913399999999996</v>
      </c>
      <c r="O12" s="48">
        <f>M!C10*1</f>
        <v>6.2432499999999997</v>
      </c>
      <c r="P12" s="48">
        <f>M!D10*1</f>
        <v>7.4401099999999998</v>
      </c>
      <c r="Q12" s="48">
        <f>M!E10*1</f>
        <v>40</v>
      </c>
      <c r="R12" s="48">
        <f>IF(M!B10="","",M!F10*1)</f>
        <v>69.586699999999993</v>
      </c>
      <c r="S12" s="48">
        <f>M!G10*1</f>
        <v>100</v>
      </c>
      <c r="T12" s="48">
        <f>IF(M!B10="","",M!H10*1)</f>
        <v>89.845200000000006</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1.5888797627831215</v>
      </c>
      <c r="AI12" s="98">
        <v>0.31913434649697919</v>
      </c>
      <c r="AJ12" s="98">
        <v>3.8587997439955973E-2</v>
      </c>
      <c r="AK12" s="98">
        <v>1.0272327081707585E-2</v>
      </c>
      <c r="AL12" s="98">
        <v>1.9404033844491575E-2</v>
      </c>
      <c r="AM12" s="101"/>
      <c r="AN12" s="101"/>
      <c r="AO12" s="101"/>
      <c r="AP12" s="101"/>
      <c r="AX12" s="171"/>
      <c r="AY12" s="219">
        <f>N13</f>
        <v>35.345599999999997</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35.345599999999997</v>
      </c>
      <c r="DJ12" s="265">
        <f t="shared" si="8"/>
        <v>2.7217727229418367</v>
      </c>
      <c r="DK12" s="273">
        <f t="shared" si="9"/>
        <v>0.69551523229774515</v>
      </c>
      <c r="DL12" s="274">
        <f t="shared" si="10"/>
        <v>5.6662645897155404</v>
      </c>
      <c r="DM12"/>
      <c r="DN12"/>
    </row>
    <row r="13" spans="2:119" ht="24.75" customHeight="1" thickBot="1">
      <c r="B13" s="58" t="str">
        <f>CONCATENATE(M15,"
(10 ~ 25)")</f>
        <v>억제
(10 ~ 25)</v>
      </c>
      <c r="C13" s="44">
        <f>R15</f>
        <v>14.525700000000001</v>
      </c>
      <c r="D13" s="45">
        <f>N15</f>
        <v>16.658999999999999</v>
      </c>
      <c r="E13" s="46">
        <f>T15</f>
        <v>29.812000000000001</v>
      </c>
      <c r="F13" s="46">
        <f>P15</f>
        <v>23.867000000000001</v>
      </c>
      <c r="G13" s="60" t="str">
        <f>CONCATENATE(M16,"
(10 ~ 50)")</f>
        <v>신경성
(10 ~ 50)</v>
      </c>
      <c r="H13" s="44">
        <f>R16</f>
        <v>2.8782299999999998</v>
      </c>
      <c r="I13" s="45">
        <f>N16</f>
        <v>39.76</v>
      </c>
      <c r="J13" s="46">
        <f>T16</f>
        <v>42.968499999999999</v>
      </c>
      <c r="K13" s="47">
        <f>P16</f>
        <v>37.158900000000003</v>
      </c>
      <c r="L13" s="1">
        <f>IF(M!B11="","",IF(N13&lt;U13,1,IF(N13&lt;V13,2,IF(N13&lt;W13,3,IF(N13&lt;X13,4,5)))))</f>
        <v>4</v>
      </c>
      <c r="M13" s="162" t="str">
        <f>lang!B20</f>
        <v>에너지</v>
      </c>
      <c r="N13" s="48">
        <f>IF(M!B11="","",M!B11*1)</f>
        <v>35.345599999999997</v>
      </c>
      <c r="O13" s="48">
        <f>M!C11*1</f>
        <v>3.6289099999999999</v>
      </c>
      <c r="P13" s="48">
        <f>M!D11*1</f>
        <v>10.2669</v>
      </c>
      <c r="Q13" s="48">
        <f>M!E11*1</f>
        <v>10</v>
      </c>
      <c r="R13" s="48">
        <f>IF(M!B11="","",M!F11*1)</f>
        <v>30.9069</v>
      </c>
      <c r="S13" s="48">
        <f>M!G11*1</f>
        <v>50</v>
      </c>
      <c r="T13" s="48">
        <f>IF(M!B11="","",M!H11*1)</f>
        <v>43.872999999999998</v>
      </c>
      <c r="U13" s="500">
        <v>15</v>
      </c>
      <c r="V13" s="125">
        <v>20</v>
      </c>
      <c r="W13" s="125">
        <v>35</v>
      </c>
      <c r="X13" s="125">
        <v>40</v>
      </c>
      <c r="Y13" s="126" t="str">
        <f>IF(M!B11="","",IF(N13&lt;U13,lang!B$210,IF(N13&lt;V13,lang!B$211,IF(N13&lt;W13,lang!B$212,IF(N13&lt;X13,lang!B$213,lang!B$214)))))</f>
        <v>높음</v>
      </c>
      <c r="Z13" s="97">
        <v>20.2</v>
      </c>
      <c r="AA13" s="97">
        <v>3.991924</v>
      </c>
      <c r="AB13" s="97">
        <v>27.38</v>
      </c>
      <c r="AC13" s="97">
        <v>3.7510599999999998</v>
      </c>
      <c r="AD13" s="97">
        <v>24.5</v>
      </c>
      <c r="AE13" s="97">
        <v>3.7597699999999996</v>
      </c>
      <c r="AF13" s="172">
        <f t="shared" si="6"/>
        <v>24.5</v>
      </c>
      <c r="AG13" s="172">
        <f t="shared" si="7"/>
        <v>3.7597699999999996</v>
      </c>
      <c r="AH13" s="97">
        <f t="shared" si="1"/>
        <v>2.8846445394266134</v>
      </c>
      <c r="AI13" s="98">
        <v>0.16093442074971984</v>
      </c>
      <c r="AJ13" s="98">
        <v>-1.0988594420247608E-2</v>
      </c>
      <c r="AK13" s="98">
        <v>0.37151940745754808</v>
      </c>
      <c r="AL13" s="98">
        <v>8.9062029657998948E-2</v>
      </c>
      <c r="AM13" s="96"/>
      <c r="AN13" s="96"/>
      <c r="AO13" s="96"/>
      <c r="AP13" s="96"/>
      <c r="AX13" s="171"/>
      <c r="AY13" s="219">
        <f>info!W36</f>
        <v>45.689140000000002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39.76</v>
      </c>
      <c r="DJ13" s="265">
        <f t="shared" si="8"/>
        <v>0.88090938740173663</v>
      </c>
      <c r="DK13" s="273">
        <f>IF(DH13=1,(DJ13-DF13)^2,0)</f>
        <v>0.19454737866629782</v>
      </c>
      <c r="DL13" s="274">
        <f t="shared" si="10"/>
        <v>1.559572869578272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72.826499999999996</v>
      </c>
      <c r="O14" s="48">
        <f>M!C12*1</f>
        <v>4.9166299999999996</v>
      </c>
      <c r="P14" s="48">
        <f>M!D12*1</f>
        <v>6.7511599999999996</v>
      </c>
      <c r="Q14" s="48">
        <f>M!E12*1</f>
        <v>50</v>
      </c>
      <c r="R14" s="48">
        <f>IF(M!B12="","",M!F12*1)</f>
        <v>64.725999999999999</v>
      </c>
      <c r="S14" s="48">
        <f>M!G12*1</f>
        <v>100</v>
      </c>
      <c r="T14" s="48">
        <f>IF(M!B12="","",M!H12*1)</f>
        <v>83.537099999999995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0.38210386187161205</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57.817300000000003</v>
      </c>
      <c r="DJ14" s="265">
        <f t="shared" si="8"/>
        <v>0.18113053413233107</v>
      </c>
      <c r="DK14" s="279">
        <f t="shared" si="9"/>
        <v>6.2895167632516485E-2</v>
      </c>
      <c r="DL14" s="280">
        <f t="shared" si="10"/>
        <v>5.3856189892169617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16.658999999999999</v>
      </c>
      <c r="O15" s="48">
        <f>M!C13*1</f>
        <v>3.976</v>
      </c>
      <c r="P15" s="48">
        <f>M!D13*1</f>
        <v>23.867000000000001</v>
      </c>
      <c r="Q15" s="48">
        <f>M!E13*1</f>
        <v>10</v>
      </c>
      <c r="R15" s="48">
        <f>IF(M!B13="","",M!F13*1)</f>
        <v>14.525700000000001</v>
      </c>
      <c r="S15" s="48">
        <f>M!G13*1</f>
        <v>25</v>
      </c>
      <c r="T15" s="48">
        <f>IF(M!B13="","",M!H13*1)</f>
        <v>29.812000000000001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-1.0147309757510292</v>
      </c>
      <c r="AI15" s="98">
        <v>-8.3250321124619289E-2</v>
      </c>
      <c r="AJ15" s="98">
        <v>-0.44690513063775733</v>
      </c>
      <c r="AK15" s="98">
        <v>0.12052818186953573</v>
      </c>
      <c r="AL15" s="98">
        <v>-2.4174505446491225E-2</v>
      </c>
      <c r="AM15" s="96"/>
      <c r="AN15" s="96"/>
      <c r="AO15" s="96"/>
      <c r="AP15" s="96"/>
      <c r="AX15" s="171"/>
      <c r="AY15" s="50">
        <f>SUM(AY7:AY14)</f>
        <v>299.46853999999996</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2.711410166569693</v>
      </c>
      <c r="DL15" s="281">
        <f>IF(SUM($DI$7:$DI$14)&gt;0,SUM(DL7:DL14),0)</f>
        <v>28.475452492771556</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39.76</v>
      </c>
      <c r="O16" s="48">
        <f>M!C14*1</f>
        <v>14.7744</v>
      </c>
      <c r="P16" s="48">
        <f>M!D14*1</f>
        <v>37.158900000000003</v>
      </c>
      <c r="Q16" s="48">
        <f>M!E14*1</f>
        <v>10</v>
      </c>
      <c r="R16" s="48">
        <f>IF(M!B14="","",M!F14*1)</f>
        <v>2.8782299999999998</v>
      </c>
      <c r="S16" s="48">
        <f>M!G14*1</f>
        <v>50</v>
      </c>
      <c r="T16" s="48">
        <f>IF(M!B14="","",M!H14*1)</f>
        <v>42.968499999999999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1.2181896513303514</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0.36881177636990925</v>
      </c>
      <c r="DL16" s="281">
        <f>IF(DL15&gt;0,1/DL15,0)</f>
        <v>3.5117966966595117E-2</v>
      </c>
      <c r="DM16" t="s">
        <v>1207</v>
      </c>
    </row>
    <row r="17" spans="2:117" ht="21" customHeight="1" thickBot="1">
      <c r="B17" s="20"/>
      <c r="C17"/>
      <c r="D17"/>
      <c r="E17"/>
      <c r="F17"/>
      <c r="G17" s="1071"/>
      <c r="H17" s="827"/>
      <c r="I17" s="827"/>
      <c r="J17" s="827"/>
      <c r="K17" s="828"/>
      <c r="M17" s="163" t="str">
        <f>lang!B7</f>
        <v>긍정감정</v>
      </c>
      <c r="N17" s="54">
        <f>SUM(N11:N14)/4</f>
        <v>63.147925000000001</v>
      </c>
      <c r="O17" s="16">
        <f>N17/(N17+N18+N19)</f>
        <v>0.54343012057187257</v>
      </c>
      <c r="P17" s="54">
        <f>SUM(P11:P14)/4</f>
        <v>10.311242499999999</v>
      </c>
      <c r="Q17" s="16">
        <f>P17/(P17+P18+P19)</f>
        <v>0.17144931412949968</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0.91305921996108319</v>
      </c>
      <c r="DL17" s="283"/>
      <c r="DM17" s="284" t="s">
        <v>1208</v>
      </c>
    </row>
    <row r="18" spans="2:117" ht="21" customHeight="1">
      <c r="B18" s="20"/>
      <c r="C18"/>
      <c r="D18"/>
      <c r="E18"/>
      <c r="F18"/>
      <c r="G18" s="1071"/>
      <c r="H18" s="827"/>
      <c r="I18" s="827"/>
      <c r="J18" s="827"/>
      <c r="K18" s="828"/>
      <c r="M18" s="163" t="str">
        <f>lang!B8</f>
        <v>부정감정</v>
      </c>
      <c r="N18" s="14">
        <f>SUM(N7:N10)/4</f>
        <v>24.845049999999997</v>
      </c>
      <c r="O18" s="16">
        <f>N18/(N17+N18+N19)</f>
        <v>0.21380826871372574</v>
      </c>
      <c r="P18" s="14">
        <f>SUM(P7:P10)/4</f>
        <v>19.317444999999999</v>
      </c>
      <c r="Q18" s="16">
        <f>P18/(P17+P18+P19)</f>
        <v>0.32119918583859641</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28.209499999999998</v>
      </c>
      <c r="O19" s="16">
        <f>N19/(N17+N18+N19)</f>
        <v>0.24276161071440175</v>
      </c>
      <c r="P19" s="14">
        <f>(P15+P16)/2</f>
        <v>30.512950000000004</v>
      </c>
      <c r="Q19" s="16">
        <f>P19/(P17+P18+P19)</f>
        <v>0.50735150003190388</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2.2777699999999999</v>
      </c>
      <c r="D24" s="34" t="str">
        <f>lang!B11</f>
        <v>편차</v>
      </c>
      <c r="E24" s="1077">
        <f>FH_info!G2*1</f>
        <v>0.57364899999999996</v>
      </c>
      <c r="F24" s="1078"/>
      <c r="G24" s="1075" t="str">
        <f>lang!B12</f>
        <v>정보(I)변화량</v>
      </c>
      <c r="H24" s="1076"/>
      <c r="I24" s="51" t="str">
        <f ca="1">CONCATENATE(info!N7,"-",info!N8)</f>
        <v>41.4-51.4</v>
      </c>
      <c r="J24" s="32" t="str">
        <f>lang!B13</f>
        <v>Kcal/분</v>
      </c>
      <c r="K24" s="31" t="str">
        <f ca="1">CONCATENATE(info!N5,"-",info!N6)</f>
        <v>4.1-5.2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57.817300000000003</v>
      </c>
      <c r="F27" s="1043"/>
      <c r="G27" s="1055" t="str">
        <f>lang!B33</f>
        <v>정서안정성</v>
      </c>
      <c r="H27" s="1056"/>
      <c r="I27" s="1057"/>
      <c r="J27" s="993">
        <f>M!B19*100</f>
        <v>42.327300000000001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5.2114400000000005</v>
      </c>
      <c r="H2" s="50">
        <f>IF(FT!B2&lt;&gt;"",FT!B2*100,"")</f>
        <v>44.815899999999999</v>
      </c>
      <c r="I2" s="50">
        <f>(IF(G2&lt;&gt;"",1,""))</f>
        <v>1</v>
      </c>
      <c r="J2" t="str">
        <f>IF(FT!B2&lt;&gt;"",FT!E2,"")</f>
        <v>0 [0.000000]</v>
      </c>
      <c r="K2">
        <f>IF(FT!B2&lt;&gt;"",IF(FT!C2&lt;&gt;"",FT!C2,F2/$M$3*$M$4),"")</f>
        <v>0</v>
      </c>
      <c r="L2" t="s">
        <v>52</v>
      </c>
      <c r="M2">
        <f>FH_info!E2</f>
        <v>4.9234099999999996</v>
      </c>
      <c r="N2" s="75">
        <f>LOOKUP(O3,A2:A1000,B2:B1000)</f>
        <v>2.4327437647058821</v>
      </c>
      <c r="O2" s="50">
        <f>MAX(C2:C1000)</f>
        <v>1</v>
      </c>
      <c r="P2" t="s">
        <v>60</v>
      </c>
      <c r="Q2" t="s">
        <v>61</v>
      </c>
      <c r="R2" t="s">
        <v>62</v>
      </c>
      <c r="S2" t="s">
        <v>63</v>
      </c>
      <c r="T2" t="s">
        <v>64</v>
      </c>
      <c r="V2" s="50">
        <f>FT!G2*10</f>
        <v>5.19693</v>
      </c>
      <c r="W2" s="50">
        <f>FT!H2*100</f>
        <v>46.635300000000001</v>
      </c>
      <c r="Y2">
        <f>IF(I2=1,H2/G2,"")</f>
        <v>8.5995233563084277</v>
      </c>
      <c r="Z2">
        <f>AVERAGE(Y2:Y2000)</f>
        <v>10.105502258788546</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0</v>
      </c>
      <c r="AP2" s="429">
        <f>AD12</f>
        <v>1</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5.19693</v>
      </c>
      <c r="H3" s="50">
        <f>IF(FT!B3&lt;&gt;"",FT!B3*100,"")</f>
        <v>46.635300000000001</v>
      </c>
      <c r="I3" s="50">
        <f t="shared" ref="I3:I66" si="2">(IF(G3&lt;&gt;"",1,""))</f>
        <v>1</v>
      </c>
      <c r="J3" t="str">
        <f>IF(FT!B3&lt;&gt;"",FT!E3,"")</f>
        <v>0 [0.361807]</v>
      </c>
      <c r="K3">
        <f>IF(FT!B3&lt;&gt;"",IF(FT!C3&lt;&gt;"",FT!C3,F3/$M$3*$M$4),"")</f>
        <v>0.36180699999999999</v>
      </c>
      <c r="L3" t="s">
        <v>53</v>
      </c>
      <c r="M3">
        <f>SUM(I2:I2005)</f>
        <v>26</v>
      </c>
      <c r="O3" s="104">
        <f>MATCH(O2,C2:C1000,0)-1</f>
        <v>126</v>
      </c>
      <c r="P3">
        <v>0</v>
      </c>
      <c r="Q3">
        <v>0</v>
      </c>
      <c r="R3">
        <f>IF(S4=0,M3,0)</f>
        <v>26</v>
      </c>
      <c r="S3">
        <f t="array" ref="S3">MAX(IF(ft_nq=0,row_n))</f>
        <v>1998</v>
      </c>
      <c r="T3">
        <f>R3-Q3</f>
        <v>26</v>
      </c>
      <c r="V3" s="50">
        <f>FT!G3*10</f>
        <v>4.1909099999999997</v>
      </c>
      <c r="W3" s="50">
        <f>FT!H3*100</f>
        <v>49.867699999999999</v>
      </c>
      <c r="Y3" s="75">
        <f t="shared" ref="Y3:Y66" si="3">IF(I3=1,H3/G3,"")</f>
        <v>8.9736248131108169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5.1627700000000001</v>
      </c>
      <c r="H4" s="50">
        <f>IF(FT!B4&lt;&gt;"",FT!B4*100,"")</f>
        <v>47.568899999999999</v>
      </c>
      <c r="I4" s="50">
        <f t="shared" si="2"/>
        <v>1</v>
      </c>
      <c r="J4" t="str">
        <f>IF(FT!B4&lt;&gt;"",FT!E4,"")</f>
        <v>0 [0.764928]</v>
      </c>
      <c r="K4">
        <f>IF(FT!B4&lt;&gt;"",IF(FT!C4&lt;&gt;"",FT!C4,F4/$M$3*$M$4),"")</f>
        <v>0.76492800000000005</v>
      </c>
      <c r="L4" t="s">
        <v>246</v>
      </c>
      <c r="M4">
        <f>IF(M2&lt;&gt;0,M3/M2*2,0)</f>
        <v>10.561785429204557</v>
      </c>
      <c r="P4">
        <f>P3+1</f>
        <v>1</v>
      </c>
      <c r="Q4">
        <v>0</v>
      </c>
      <c r="R4">
        <f>IF(S4=1998,0,S4)</f>
        <v>0</v>
      </c>
      <c r="S4">
        <f t="array" ref="S4">MAX(IF(ft_nq=P4,row_n))</f>
        <v>0</v>
      </c>
      <c r="T4">
        <f>R4-Q4+1</f>
        <v>1</v>
      </c>
      <c r="V4" t="s">
        <v>209</v>
      </c>
      <c r="W4" s="23">
        <f>IF(ISERROR(V3-V2)=FALSE,(V3-V2)*10,0)</f>
        <v>-10.060200000000004</v>
      </c>
      <c r="Y4" s="75">
        <f t="shared" si="3"/>
        <v>9.2138328842849866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v>
      </c>
      <c r="E5" s="50">
        <f t="shared" si="1"/>
        <v>2.2686280082898476E-5</v>
      </c>
      <c r="F5">
        <f t="shared" si="6"/>
        <v>3</v>
      </c>
      <c r="G5" s="50">
        <f>IF(FT!A5&lt;&gt;"",FT!A5*10,"")</f>
        <v>5.0951900000000006</v>
      </c>
      <c r="H5" s="50">
        <f>IF(FT!B5&lt;&gt;"",FT!B5*100,"")</f>
        <v>47.348800000000004</v>
      </c>
      <c r="I5" s="50">
        <f t="shared" si="2"/>
        <v>1</v>
      </c>
      <c r="J5" t="str">
        <f>IF(FT!B5&lt;&gt;"",FT!E5,"")</f>
        <v>0 [1.187755]</v>
      </c>
      <c r="K5">
        <f>IF(FT!B5&lt;&gt;"",IF(FT!C5&lt;&gt;"",FT!C5,F5/$M$3*$M$4),"")</f>
        <v>1.1877599999999999</v>
      </c>
      <c r="L5" t="s">
        <v>54</v>
      </c>
      <c r="M5" s="52">
        <f ca="1">IF(M3&gt;0,MIN(FT_E),0)</f>
        <v>4.0744600000000002</v>
      </c>
      <c r="N5" s="52">
        <f ca="1">IF(M3&gt;0,ROUND(M5,1),0)</f>
        <v>4.0999999999999996</v>
      </c>
      <c r="P5">
        <f t="shared" ref="P5:P27" si="10">P4+1</f>
        <v>2</v>
      </c>
      <c r="Q5">
        <f>IF(S5=1998,0,R4)</f>
        <v>0</v>
      </c>
      <c r="R5">
        <f>IF(S5=1998,0,S5)</f>
        <v>0</v>
      </c>
      <c r="S5">
        <f t="array" ref="S5">MAX(IF(ft_nq=P5,row_n))</f>
        <v>0</v>
      </c>
      <c r="T5">
        <f t="shared" ref="T5:T27" si="11">R5-Q5+1</f>
        <v>1</v>
      </c>
      <c r="V5" t="s">
        <v>210</v>
      </c>
      <c r="W5" s="23">
        <f>IF(ISERROR(W3-W2)=FALSE,W3-W2,0)</f>
        <v>3.2323999999999984</v>
      </c>
      <c r="Y5" s="75">
        <f t="shared" si="3"/>
        <v>9.2928428576755717</v>
      </c>
      <c r="Z5" s="52"/>
      <c r="AB5" s="1">
        <v>20</v>
      </c>
      <c r="AC5" s="1">
        <v>30</v>
      </c>
      <c r="AD5" s="1">
        <f t="shared" si="7"/>
        <v>0</v>
      </c>
      <c r="AE5" s="1">
        <f t="shared" si="8"/>
        <v>0</v>
      </c>
      <c r="AF5" s="430">
        <f>AE10</f>
        <v>1</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1</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5.0177099999999992</v>
      </c>
      <c r="H6" s="50">
        <f>IF(FT!B6&lt;&gt;"",FT!B6*100,"")</f>
        <v>47.349400000000003</v>
      </c>
      <c r="I6" s="50">
        <f t="shared" si="2"/>
        <v>1</v>
      </c>
      <c r="J6" t="str">
        <f>IF(FT!B6&lt;&gt;"",FT!E6,"")</f>
        <v>0 [1.590452]</v>
      </c>
      <c r="K6">
        <f>IF(FT!B6&lt;&gt;"",IF(FT!C6&lt;&gt;"",FT!C6,F6/$M$3*$M$4),"")</f>
        <v>1.5904499999999999</v>
      </c>
      <c r="L6" t="s">
        <v>55</v>
      </c>
      <c r="M6" s="52">
        <f ca="1">IF(M3&gt;0,MAX(FT_E),0)</f>
        <v>5.2114400000000005</v>
      </c>
      <c r="N6" s="52">
        <f ca="1">IF(M3&gt;0,ROUND(M6,1),0)</f>
        <v>5.2</v>
      </c>
      <c r="P6">
        <f t="shared" si="10"/>
        <v>3</v>
      </c>
      <c r="Q6">
        <f t="shared" ref="Q6:Q27" si="12">IF(S6=1998,0,R5)</f>
        <v>0</v>
      </c>
      <c r="R6">
        <f t="shared" ref="R6:R27" si="13">IF(S6=1998,0,S6)</f>
        <v>0</v>
      </c>
      <c r="S6">
        <f t="array" ref="S6">MAX(IF(ft_nq=P6,row_n))</f>
        <v>0</v>
      </c>
      <c r="T6">
        <f t="shared" si="11"/>
        <v>1</v>
      </c>
      <c r="V6" t="s">
        <v>211</v>
      </c>
      <c r="W6" s="23">
        <f>IF(W4&lt;&gt;0,W5/W4,0)</f>
        <v>-0.32130573944851964</v>
      </c>
      <c r="Y6" s="75">
        <f t="shared" si="3"/>
        <v>9.4364560725908859</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4.9365600000000001</v>
      </c>
      <c r="H7" s="50">
        <f>IF(FT!B7&lt;&gt;"",FT!B7*100,"")</f>
        <v>46.4666</v>
      </c>
      <c r="I7" s="50">
        <f t="shared" si="2"/>
        <v>1</v>
      </c>
      <c r="J7" t="str">
        <f>IF(FT!B7&lt;&gt;"",FT!E7,"")</f>
        <v>0 [2.003566]</v>
      </c>
      <c r="K7">
        <f>IF(FT!B7&lt;&gt;"",IF(FT!C7&lt;&gt;"",FT!C7,F7/$M$3*$M$4),"")</f>
        <v>2.0035699999999999</v>
      </c>
      <c r="L7" t="s">
        <v>56</v>
      </c>
      <c r="M7" s="366">
        <f ca="1">IF(M3&gt;0,MIN(FT_PH),0)</f>
        <v>41.390599999999999</v>
      </c>
      <c r="N7" s="52">
        <f ca="1">IF(M3&gt;0,ROUND(M7,1),0)</f>
        <v>41.4</v>
      </c>
      <c r="P7">
        <f t="shared" si="10"/>
        <v>4</v>
      </c>
      <c r="Q7">
        <f t="shared" si="12"/>
        <v>0</v>
      </c>
      <c r="R7">
        <f t="shared" si="13"/>
        <v>0</v>
      </c>
      <c r="S7">
        <f t="array" ref="S7">MAX(IF(ft_nq=P7,row_n))</f>
        <v>0</v>
      </c>
      <c r="T7">
        <f t="shared" si="11"/>
        <v>1</v>
      </c>
      <c r="V7" t="s">
        <v>212</v>
      </c>
      <c r="W7" s="23">
        <f>DEGREES(ATAN(W6))</f>
        <v>-17.812509958914177</v>
      </c>
      <c r="X7" s="106">
        <v>0.05</v>
      </c>
      <c r="Y7" s="75">
        <f t="shared" si="3"/>
        <v>9.4127489587891162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v>
      </c>
      <c r="E8" s="50">
        <f t="shared" si="1"/>
        <v>4.239235128206329E-5</v>
      </c>
      <c r="F8">
        <f t="shared" si="6"/>
        <v>6</v>
      </c>
      <c r="G8" s="50">
        <f>IF(FT!A8&lt;&gt;"",FT!A8*10,"")</f>
        <v>4.8603500000000004</v>
      </c>
      <c r="H8" s="50">
        <f>IF(FT!B8&lt;&gt;"",FT!B8*100,"")</f>
        <v>45.634799999999998</v>
      </c>
      <c r="I8" s="50">
        <f t="shared" si="2"/>
        <v>1</v>
      </c>
      <c r="J8" t="str">
        <f>IF(FT!B8&lt;&gt;"",FT!E8,"")</f>
        <v>0 [2.390526]</v>
      </c>
      <c r="K8">
        <f>IF(FT!B8&lt;&gt;"",IF(FT!C8&lt;&gt;"",FT!C8,F8/$M$3*$M$4),"")</f>
        <v>2.39053</v>
      </c>
      <c r="L8" t="s">
        <v>57</v>
      </c>
      <c r="M8" s="52">
        <f ca="1">IF(M3&gt;0,MAX(FT_PH),0)</f>
        <v>51.417599999999993</v>
      </c>
      <c r="N8" s="52">
        <f ca="1">IF(M3&gt;0,ROUND(M8,1),0)</f>
        <v>51.4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9.3892003662287689</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3.98075773475229E-3</v>
      </c>
      <c r="E9" s="50">
        <f t="shared" si="1"/>
        <v>5.1995855953647485E-5</v>
      </c>
      <c r="F9">
        <f t="shared" si="6"/>
        <v>7</v>
      </c>
      <c r="G9" s="50">
        <f>IF(FT!A9&lt;&gt;"",FT!A9*10,"")</f>
        <v>4.7977100000000004</v>
      </c>
      <c r="H9" s="50">
        <f>IF(FT!B9&lt;&gt;"",FT!B9*100,"")</f>
        <v>44.677099999999996</v>
      </c>
      <c r="I9" s="50">
        <f t="shared" si="2"/>
        <v>1</v>
      </c>
      <c r="J9" t="str">
        <f>IF(FT!B9&lt;&gt;"",FT!E9,"")</f>
        <v>0 [2.806551]</v>
      </c>
      <c r="K9">
        <f>IF(FT!B9&lt;&gt;"",IF(FT!C9&lt;&gt;"",FT!C9,F9/$M$3*$M$4),"")</f>
        <v>2.8065500000000001</v>
      </c>
      <c r="L9" t="s">
        <v>222</v>
      </c>
      <c r="M9" s="74">
        <f ca="1">IF(M3&gt;0,IF(COUNT(FT_E)&gt;0,AVERAGE(FT_E),0),0)</f>
        <v>4.6138188461538467</v>
      </c>
      <c r="N9" s="365">
        <f ca="1">IF(M3&gt;0,IF(COUNT(FT_PH)&gt;0,AVERAGE(FT_PH),0),0)</f>
        <v>46.253834615384626</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3</v>
      </c>
      <c r="X9">
        <v>2</v>
      </c>
      <c r="Y9" s="75">
        <f t="shared" si="3"/>
        <v>9.3121718486527936</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6.9328954999153059E-3</v>
      </c>
      <c r="E10" s="50">
        <f t="shared" si="1"/>
        <v>6.3640932711193118E-5</v>
      </c>
      <c r="F10">
        <f t="shared" si="6"/>
        <v>8</v>
      </c>
      <c r="G10" s="50">
        <f>IF(FT!A10&lt;&gt;"",FT!A10*10,"")</f>
        <v>4.7558499999999997</v>
      </c>
      <c r="H10" s="50">
        <f>IF(FT!B10&lt;&gt;"",FT!B10*100,"")</f>
        <v>43.8429</v>
      </c>
      <c r="I10" s="50">
        <f t="shared" si="2"/>
        <v>1</v>
      </c>
      <c r="J10" t="str">
        <f>IF(FT!B10&lt;&gt;"",FT!E10,"")</f>
        <v>0 [3.213459]</v>
      </c>
      <c r="K10">
        <f>IF(FT!B10&lt;&gt;"",IF(FT!C10&lt;&gt;"",FT!C10,F10/$M$3*$M$4),"")</f>
        <v>3.21346</v>
      </c>
      <c r="M10">
        <v>2</v>
      </c>
      <c r="P10">
        <f t="shared" si="10"/>
        <v>7</v>
      </c>
      <c r="Q10">
        <f t="shared" si="12"/>
        <v>0</v>
      </c>
      <c r="R10">
        <f t="shared" si="13"/>
        <v>0</v>
      </c>
      <c r="S10">
        <f t="array" ref="S10">MAX(IF(ft_nq=P10,row_n))</f>
        <v>0</v>
      </c>
      <c r="T10">
        <f t="shared" si="11"/>
        <v>1</v>
      </c>
      <c r="V10" t="s">
        <v>215</v>
      </c>
      <c r="X10" s="71" t="s">
        <v>270</v>
      </c>
      <c r="Y10" s="75">
        <f t="shared" si="3"/>
        <v>9.2187306159782167</v>
      </c>
      <c r="AB10" s="1">
        <v>70</v>
      </c>
      <c r="AC10" s="1">
        <v>80</v>
      </c>
      <c r="AD10" s="1">
        <f t="shared" si="7"/>
        <v>0</v>
      </c>
      <c r="AE10" s="1">
        <f t="shared" si="8"/>
        <v>1</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4.7236799999999999</v>
      </c>
      <c r="H11" s="50">
        <f>IF(FT!B11&lt;&gt;"",FT!B11*100,"")</f>
        <v>42.888300000000001</v>
      </c>
      <c r="I11" s="50">
        <f t="shared" si="2"/>
        <v>1</v>
      </c>
      <c r="J11" t="str">
        <f>IF(FT!B11&lt;&gt;"",FT!E11,"")</f>
        <v>0 [3.618908]</v>
      </c>
      <c r="K11">
        <f>IF(FT!B11&lt;&gt;"",IF(FT!C11&lt;&gt;"",FT!C11,F11/$M$3*$M$4),"")</f>
        <v>3.6189100000000001</v>
      </c>
      <c r="M11" s="49">
        <f>MAX(IF(ft_nq=1,row_n))</f>
        <v>0</v>
      </c>
      <c r="P11">
        <f t="shared" si="10"/>
        <v>8</v>
      </c>
      <c r="Q11">
        <f t="shared" si="12"/>
        <v>0</v>
      </c>
      <c r="R11">
        <f t="shared" si="13"/>
        <v>0</v>
      </c>
      <c r="S11">
        <f t="array" ref="S11">MAX(IF(ft_nq=P11,row_n))</f>
        <v>0</v>
      </c>
      <c r="T11">
        <f t="shared" si="11"/>
        <v>1</v>
      </c>
      <c r="V11" s="71" t="s">
        <v>216</v>
      </c>
      <c r="W11" s="23">
        <f>FT!H11*100</f>
        <v>41.390599999999999</v>
      </c>
      <c r="Y11" s="75">
        <f t="shared" si="3"/>
        <v>9.0794253632760906</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1.5323003279160419E-2</v>
      </c>
      <c r="E12" s="50">
        <f t="shared" si="1"/>
        <v>9.4739671855514963E-5</v>
      </c>
      <c r="F12">
        <f t="shared" si="6"/>
        <v>10</v>
      </c>
      <c r="G12" s="50">
        <f>IF(FT!A12&lt;&gt;"",FT!A12*10,"")</f>
        <v>4.7005099999999995</v>
      </c>
      <c r="H12" s="50">
        <f>IF(FT!B12&lt;&gt;"",FT!B12*100,"")</f>
        <v>42.075699999999998</v>
      </c>
      <c r="I12" s="50">
        <f t="shared" si="2"/>
        <v>1</v>
      </c>
      <c r="J12" t="str">
        <f>IF(FT!B12&lt;&gt;"",FT!E12,"")</f>
        <v>0 [4.016217]</v>
      </c>
      <c r="K12">
        <f>IF(FT!B12&lt;&gt;"",IF(FT!C12&lt;&gt;"",FT!C12,F12/$M$3*$M$4),"")</f>
        <v>4.0162199999999997</v>
      </c>
      <c r="M12">
        <f>M11+1</f>
        <v>1</v>
      </c>
      <c r="P12">
        <f t="shared" si="10"/>
        <v>9</v>
      </c>
      <c r="Q12">
        <f t="shared" si="12"/>
        <v>0</v>
      </c>
      <c r="R12">
        <f t="shared" si="13"/>
        <v>0</v>
      </c>
      <c r="S12">
        <f t="array" ref="S12">MAX(IF(ft_nq=P12,row_n))</f>
        <v>0</v>
      </c>
      <c r="T12">
        <f t="shared" si="11"/>
        <v>1</v>
      </c>
      <c r="V12" s="71" t="s">
        <v>217</v>
      </c>
      <c r="W12" s="23">
        <f>FT!H12*100</f>
        <v>51.417599999999993</v>
      </c>
      <c r="Y12" s="75">
        <f t="shared" si="3"/>
        <v>8.951305283894726</v>
      </c>
      <c r="AB12" s="1">
        <v>90</v>
      </c>
      <c r="AC12" s="1">
        <v>100</v>
      </c>
      <c r="AD12" s="1">
        <f t="shared" si="7"/>
        <v>1</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5.1328119957730782E-2</v>
      </c>
      <c r="E13" s="50">
        <f t="shared" si="1"/>
        <v>1.1522836836240688E-4</v>
      </c>
      <c r="F13">
        <f t="shared" si="6"/>
        <v>11</v>
      </c>
      <c r="G13" s="50">
        <f>IF(FT!A13&lt;&gt;"",FT!A13*10,"")</f>
        <v>4.67577</v>
      </c>
      <c r="H13" s="50">
        <f>IF(FT!B13&lt;&gt;"",FT!B13*100,"")</f>
        <v>41.578299999999999</v>
      </c>
      <c r="I13" s="50">
        <f t="shared" si="2"/>
        <v>1</v>
      </c>
      <c r="J13" t="str">
        <f>IF(FT!B13&lt;&gt;"",FT!E13,"")</f>
        <v>0 [4.420656]</v>
      </c>
      <c r="K13">
        <f>IF(FT!B13&lt;&gt;"",IF(FT!C13&lt;&gt;"",FT!C13,F13/$M$3*$M$4),"")</f>
        <v>4.4206599999999998</v>
      </c>
      <c r="M13" s="49">
        <f t="array" ref="M13">MAX(IF(ft_nq=2,row_n))</f>
        <v>0</v>
      </c>
      <c r="P13">
        <f t="shared" si="10"/>
        <v>10</v>
      </c>
      <c r="Q13">
        <f t="shared" si="12"/>
        <v>0</v>
      </c>
      <c r="R13">
        <f t="shared" si="13"/>
        <v>0</v>
      </c>
      <c r="S13">
        <f t="array" ref="S13">MAX(IF(ft_nq=P13,row_n))</f>
        <v>0</v>
      </c>
      <c r="T13">
        <f t="shared" si="11"/>
        <v>1</v>
      </c>
      <c r="V13" s="71" t="s">
        <v>219</v>
      </c>
      <c r="W13">
        <f>FT!H13</f>
        <v>13</v>
      </c>
      <c r="Y13" s="75">
        <f t="shared" si="3"/>
        <v>8.8922893983236975</v>
      </c>
    </row>
    <row r="14" spans="1:104">
      <c r="A14" s="50">
        <f t="shared" si="5"/>
        <v>12</v>
      </c>
      <c r="B14" s="50">
        <f t="shared" si="0"/>
        <v>0.23168988235294116</v>
      </c>
      <c r="C14" s="50">
        <f>IF(FH!$C$2&gt;0,FH!A14/FH!$C$2,0)</f>
        <v>0</v>
      </c>
      <c r="D14" s="50">
        <f>IF(hist!$D$2&gt;0,hist!B14/hist!$D$2,0)</f>
        <v>5.8418737868291243E-2</v>
      </c>
      <c r="E14" s="50">
        <f t="shared" si="1"/>
        <v>1.3985355997663738E-4</v>
      </c>
      <c r="F14">
        <f t="shared" si="6"/>
        <v>12</v>
      </c>
      <c r="G14" s="50">
        <f>IF(FT!A14&lt;&gt;"",FT!A14*10,"")</f>
        <v>4.6443000000000003</v>
      </c>
      <c r="H14" s="50">
        <f>IF(FT!B14&lt;&gt;"",FT!B14*100,"")</f>
        <v>41.390599999999999</v>
      </c>
      <c r="I14" s="50">
        <f t="shared" si="2"/>
        <v>1</v>
      </c>
      <c r="J14" t="str">
        <f>IF(FT!B14&lt;&gt;"",FT!E14,"")</f>
        <v>0 [4.839650]</v>
      </c>
      <c r="K14">
        <f>IF(FT!B14&lt;&gt;"",IF(FT!C14&lt;&gt;"",FT!C14,F14/$M$3*$M$4),"")</f>
        <v>4.8396499999999998</v>
      </c>
      <c r="M14">
        <f>M13+1</f>
        <v>1</v>
      </c>
      <c r="P14">
        <f t="shared" si="10"/>
        <v>11</v>
      </c>
      <c r="Q14">
        <f t="shared" si="12"/>
        <v>0</v>
      </c>
      <c r="R14">
        <f t="shared" si="13"/>
        <v>0</v>
      </c>
      <c r="S14">
        <f t="array" ref="S14">MAX(IF(ft_nq=P14,row_n))</f>
        <v>0</v>
      </c>
      <c r="T14">
        <f t="shared" si="11"/>
        <v>1</v>
      </c>
      <c r="V14" s="71" t="s">
        <v>221</v>
      </c>
      <c r="W14">
        <f>FT!H14</f>
        <v>26</v>
      </c>
      <c r="Y14" s="75">
        <f t="shared" si="3"/>
        <v>8.9121288461124379</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1.8542582708553048E-2</v>
      </c>
      <c r="E15" s="50">
        <f t="shared" si="1"/>
        <v>1.6938471460455832E-4</v>
      </c>
      <c r="F15">
        <f t="shared" si="6"/>
        <v>13</v>
      </c>
      <c r="G15" s="50">
        <f>IF(FT!A15&lt;&gt;"",FT!A15*10,"")</f>
        <v>4.6062900000000004</v>
      </c>
      <c r="H15" s="50">
        <f>IF(FT!B15&lt;&gt;"",FT!B15*100,"")</f>
        <v>42.209699999999998</v>
      </c>
      <c r="I15" s="50">
        <f t="shared" si="2"/>
        <v>1</v>
      </c>
      <c r="J15" t="str">
        <f>IF(FT!B15&lt;&gt;"",FT!E15,"")</f>
        <v>0 [5.252444]</v>
      </c>
      <c r="K15">
        <f>IF(FT!B15&lt;&gt;"",IF(FT!C15&lt;&gt;"",FT!C15,F15/$M$3*$M$4),"")</f>
        <v>5.25244</v>
      </c>
      <c r="M15">
        <f t="array" ref="M15">MAX(IF(ft_nq=3,row_n))</f>
        <v>0</v>
      </c>
      <c r="P15">
        <f t="shared" si="10"/>
        <v>12</v>
      </c>
      <c r="Q15">
        <f t="shared" si="12"/>
        <v>0</v>
      </c>
      <c r="R15">
        <f t="shared" si="13"/>
        <v>0</v>
      </c>
      <c r="S15">
        <f t="array" ref="S15">MAX(IF(ft_nq=P15,row_n))</f>
        <v>0</v>
      </c>
      <c r="T15">
        <f t="shared" si="11"/>
        <v>1</v>
      </c>
      <c r="V15" s="23">
        <f>FT!G15*10</f>
        <v>4.6443000000000003</v>
      </c>
      <c r="W15" s="23">
        <f>FT!H15*100</f>
        <v>41.390599999999999</v>
      </c>
      <c r="Y15" s="75">
        <f t="shared" si="3"/>
        <v>9.1634916603166534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0.12001591372460595</v>
      </c>
      <c r="E16" s="50">
        <f t="shared" si="1"/>
        <v>2.0472057137382575E-4</v>
      </c>
      <c r="F16">
        <f t="shared" si="6"/>
        <v>14</v>
      </c>
      <c r="G16" s="50">
        <f>IF(FT!A16&lt;&gt;"",FT!A16*10,"")</f>
        <v>4.5685000000000002</v>
      </c>
      <c r="H16" s="50">
        <f>IF(FT!B16&lt;&gt;"",FT!B16*100,"")</f>
        <v>43.740299999999998</v>
      </c>
      <c r="I16" s="50">
        <f t="shared" si="2"/>
        <v>1</v>
      </c>
      <c r="J16" t="str">
        <f>IF(FT!B16&lt;&gt;"",FT!E16,"")</f>
        <v>0 [5.638564]</v>
      </c>
      <c r="K16">
        <f>IF(FT!B16&lt;&gt;"",IF(FT!C16&lt;&gt;"",FT!C16,F16/$M$3*$M$4),"")</f>
        <v>5.63856</v>
      </c>
      <c r="M16">
        <f>M15+1</f>
        <v>1</v>
      </c>
      <c r="P16">
        <f t="shared" si="10"/>
        <v>13</v>
      </c>
      <c r="Q16">
        <f t="shared" si="12"/>
        <v>0</v>
      </c>
      <c r="R16">
        <f t="shared" si="13"/>
        <v>0</v>
      </c>
      <c r="S16">
        <f t="array" ref="S16">MAX(IF(ft_nq=P16,row_n))</f>
        <v>0</v>
      </c>
      <c r="T16">
        <f t="shared" si="11"/>
        <v>1</v>
      </c>
      <c r="V16" s="23">
        <f>FT!G16*10</f>
        <v>4.0744600000000002</v>
      </c>
      <c r="W16" s="23">
        <f>FT!H16*100</f>
        <v>51.417599999999993</v>
      </c>
      <c r="Y16" s="75">
        <f t="shared" si="3"/>
        <v>9.574324176425522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7.1528780385141533E-4</v>
      </c>
      <c r="D17" s="50">
        <f>IF(hist!$D$2&gt;0,hist!B17/hist!$D$2,0)</f>
        <v>0.12026962146553247</v>
      </c>
      <c r="E17" s="50">
        <f t="shared" si="1"/>
        <v>2.4690809609102658E-4</v>
      </c>
      <c r="F17">
        <f t="shared" si="6"/>
        <v>15</v>
      </c>
      <c r="G17" s="50">
        <f>IF(FT!A17&lt;&gt;"",FT!A17*10,"")</f>
        <v>4.5105199999999996</v>
      </c>
      <c r="H17" s="50">
        <f>IF(FT!B17&lt;&gt;"",FT!B17*100,"")</f>
        <v>44.852599999999995</v>
      </c>
      <c r="I17" s="50">
        <f t="shared" si="2"/>
        <v>1</v>
      </c>
      <c r="J17" t="str">
        <f>IF(FT!B17&lt;&gt;"",FT!E17,"")</f>
        <v>0 [6.061050]</v>
      </c>
      <c r="K17">
        <f>IF(FT!B17&lt;&gt;"",IF(FT!C17&lt;&gt;"",FT!C17,F17/$M$3*$M$4),"")</f>
        <v>6.0610499999999998</v>
      </c>
      <c r="M17">
        <f>M3+1</f>
        <v>27</v>
      </c>
      <c r="P17">
        <f t="shared" si="10"/>
        <v>14</v>
      </c>
      <c r="Q17">
        <f t="shared" si="12"/>
        <v>0</v>
      </c>
      <c r="R17">
        <f t="shared" si="13"/>
        <v>0</v>
      </c>
      <c r="S17">
        <f t="array" ref="S17">MAX(IF(ft_nq=P17,row_n))</f>
        <v>0</v>
      </c>
      <c r="T17">
        <f t="shared" si="11"/>
        <v>1</v>
      </c>
      <c r="V17" t="s">
        <v>1522</v>
      </c>
      <c r="Y17" s="75">
        <f t="shared" si="3"/>
        <v>9.9439975878612668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열광하는</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1.4030664000841838E-3</v>
      </c>
      <c r="D18" s="50">
        <f>IF(hist!$D$2&gt;0,hist!B18/hist!$D$2,0)</f>
        <v>0.16244303234975271</v>
      </c>
      <c r="E18" s="50">
        <f t="shared" si="1"/>
        <v>2.9716369761879154E-4</v>
      </c>
      <c r="F18">
        <f t="shared" si="6"/>
        <v>16</v>
      </c>
      <c r="G18" s="50">
        <f>IF(FT!A18&lt;&gt;"",FT!A18*10,"")</f>
        <v>4.4518300000000002</v>
      </c>
      <c r="H18" s="50">
        <f>IF(FT!B18&lt;&gt;"",FT!B18*100,"")</f>
        <v>45.844900000000003</v>
      </c>
      <c r="I18" s="50">
        <f t="shared" si="2"/>
        <v>1</v>
      </c>
      <c r="J18" t="str">
        <f>IF(FT!B18&lt;&gt;"",FT!E18,"")</f>
        <v>0 [6.466883]</v>
      </c>
      <c r="K18">
        <f>IF(FT!B18&lt;&gt;"",IF(FT!C18&lt;&gt;"",FT!C18,F18/$M$3*$M$4),"")</f>
        <v>6.4668799999999997</v>
      </c>
      <c r="P18">
        <f t="shared" si="10"/>
        <v>15</v>
      </c>
      <c r="Q18">
        <f t="shared" si="12"/>
        <v>0</v>
      </c>
      <c r="R18">
        <f t="shared" si="13"/>
        <v>0</v>
      </c>
      <c r="S18">
        <f t="array" ref="S18">MAX(IF(ft_nq=P18,row_n))</f>
        <v>0</v>
      </c>
      <c r="T18">
        <f t="shared" si="11"/>
        <v>1</v>
      </c>
      <c r="V18" s="288">
        <f>M!B18*100</f>
        <v>57.817300000000003</v>
      </c>
      <c r="W18" s="287">
        <f>100-M!B19*100</f>
        <v>57.672699999999999</v>
      </c>
      <c r="X18" t="str">
        <f>"(" &amp; ROUND(V18,1) &amp; " , " &amp; ROUND(100-W18,1) &amp; ")"</f>
        <v>(57.8 , 42.3)</v>
      </c>
      <c r="Y18" s="75">
        <f t="shared" si="3"/>
        <v>10.297989815424218</v>
      </c>
      <c r="Z18">
        <f>M!B18*100</f>
        <v>57.817300000000003</v>
      </c>
      <c r="AA18">
        <f>100-M!B19*100</f>
        <v>57.672699999999999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7.1528780385141533E-4</v>
      </c>
      <c r="D19" s="50">
        <f>IF(hist!$D$2&gt;0,hist!B19/hist!$D$2,0)</f>
        <v>0.17537620707113546</v>
      </c>
      <c r="E19" s="50">
        <f t="shared" si="1"/>
        <v>3.5689688220270742E-4</v>
      </c>
      <c r="F19">
        <f t="shared" si="6"/>
        <v>17</v>
      </c>
      <c r="G19" s="50">
        <f>IF(FT!A19&lt;&gt;"",FT!A19*10,"")</f>
        <v>4.3949400000000001</v>
      </c>
      <c r="H19" s="50">
        <f>IF(FT!B19&lt;&gt;"",FT!B19*100,"")</f>
        <v>46.868200000000002</v>
      </c>
      <c r="I19" s="50">
        <f t="shared" si="2"/>
        <v>1</v>
      </c>
      <c r="J19" t="str">
        <f>IF(FT!B19&lt;&gt;"",FT!E19,"")</f>
        <v>0 [6.858459]</v>
      </c>
      <c r="K19">
        <f>IF(FT!B19&lt;&gt;"",IF(FT!C19&lt;&gt;"",FT!C19,F19/$M$3*$M$4),"")</f>
        <v>6.85846</v>
      </c>
      <c r="P19">
        <f t="shared" si="10"/>
        <v>16</v>
      </c>
      <c r="Q19">
        <f t="shared" si="12"/>
        <v>0</v>
      </c>
      <c r="R19">
        <f t="shared" si="13"/>
        <v>0</v>
      </c>
      <c r="S19">
        <f t="array" ref="S19">MAX(IF(ft_nq=P19,row_n))</f>
        <v>0</v>
      </c>
      <c r="T19">
        <f t="shared" si="11"/>
        <v>1</v>
      </c>
      <c r="V19" t="s">
        <v>1521</v>
      </c>
      <c r="Y19" s="75">
        <f t="shared" si="3"/>
        <v>10.664127382853918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1.8432431863622013E-3</v>
      </c>
      <c r="D20" s="50">
        <f>IF(hist!$D$2&gt;0,hist!B20/hist!$D$2,0)</f>
        <v>0.27439113958613537</v>
      </c>
      <c r="E20" s="50">
        <f t="shared" si="1"/>
        <v>4.2773652004581729E-4</v>
      </c>
      <c r="F20">
        <f t="shared" si="6"/>
        <v>18</v>
      </c>
      <c r="G20" s="50">
        <f>IF(FT!A20&lt;&gt;"",FT!A20*10,"")</f>
        <v>4.3278800000000004</v>
      </c>
      <c r="H20" s="50">
        <f>IF(FT!B20&lt;&gt;"",FT!B20*100,"")</f>
        <v>47.788599999999995</v>
      </c>
      <c r="I20" s="50">
        <f t="shared" si="2"/>
        <v>1</v>
      </c>
      <c r="J20" t="str">
        <f>IF(FT!B20&lt;&gt;"",FT!E20,"")</f>
        <v>0 [7.272861]</v>
      </c>
      <c r="K20">
        <f>IF(FT!B20&lt;&gt;"",IF(FT!C20&lt;&gt;"",FT!C20,F20/$M$3*$M$4),"")</f>
        <v>7.2728599999999997</v>
      </c>
      <c r="P20">
        <f t="shared" si="10"/>
        <v>17</v>
      </c>
      <c r="Q20">
        <f t="shared" si="12"/>
        <v>0</v>
      </c>
      <c r="R20">
        <f t="shared" si="13"/>
        <v>0</v>
      </c>
      <c r="S20">
        <f t="array" ref="S20">MAX(IF(ft_nq=P20,row_n))</f>
        <v>0</v>
      </c>
      <c r="T20">
        <f t="shared" si="11"/>
        <v>1</v>
      </c>
      <c r="V20" s="56">
        <v>50</v>
      </c>
      <c r="W20">
        <v>50</v>
      </c>
      <c r="Y20" s="75">
        <f t="shared" si="3"/>
        <v>11.042034437184023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3.5764495422498159E-4</v>
      </c>
      <c r="D21" s="50">
        <f>IF(hist!$D$2&gt;0,hist!B21/hist!$D$2,0)</f>
        <v>0.2290461576755432</v>
      </c>
      <c r="E21" s="50">
        <f t="shared" si="1"/>
        <v>5.1155989191839816E-4</v>
      </c>
      <c r="F21">
        <f t="shared" si="6"/>
        <v>19</v>
      </c>
      <c r="G21" s="50">
        <f>IF(FT!A21&lt;&gt;"",FT!A21*10,"")</f>
        <v>4.2923799999999996</v>
      </c>
      <c r="H21" s="50">
        <f>IF(FT!B21&lt;&gt;"",FT!B21*100,"")</f>
        <v>48.432900000000004</v>
      </c>
      <c r="I21" s="50">
        <f t="shared" si="2"/>
        <v>1</v>
      </c>
      <c r="J21" t="str">
        <f>IF(FT!B21&lt;&gt;"",FT!E21,"")</f>
        <v>0 [7.686804]</v>
      </c>
      <c r="K21">
        <f>IF(FT!B21&lt;&gt;"",IF(FT!C21&lt;&gt;"",FT!C21,F21/$M$3*$M$4),"")</f>
        <v>7.6867999999999999</v>
      </c>
      <c r="P21">
        <f t="shared" si="10"/>
        <v>18</v>
      </c>
      <c r="Q21">
        <f t="shared" si="12"/>
        <v>0</v>
      </c>
      <c r="R21">
        <f t="shared" si="13"/>
        <v>0</v>
      </c>
      <c r="S21">
        <f t="array" ref="S21">MAX(IF(ft_nq=P21,row_n))</f>
        <v>0</v>
      </c>
      <c r="T21">
        <f t="shared" si="11"/>
        <v>1</v>
      </c>
      <c r="V21" s="288">
        <f>Measurement!DK17*100</f>
        <v>91.305921996108324</v>
      </c>
      <c r="W21" s="287">
        <f>'R3'!I3</f>
        <v>70.190893552622683</v>
      </c>
      <c r="X21" t="str">
        <f>"(" &amp; ROUND(V21,1) &amp; " , " &amp; ROUND(W21,1) &amp; ")" &amp; CHAR(10) &amp; AR26</f>
        <v>(91.3 , 70.2)
열광하는</v>
      </c>
      <c r="Y21" s="75">
        <f t="shared" si="3"/>
        <v>11.283460457834583</v>
      </c>
      <c r="AA21">
        <f>100-M!B19*100</f>
        <v>57.672699999999999</v>
      </c>
      <c r="AC21">
        <f>'R3'!I3</f>
        <v>70.190893552622683</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1.4580869199200251E-3</v>
      </c>
      <c r="D22" s="50">
        <f>IF(hist!$D$2&gt;0,hist!B22/hist!$D$2,0)</f>
        <v>0.5244725293441822</v>
      </c>
      <c r="E22" s="50">
        <f t="shared" si="1"/>
        <v>6.1052467266546498E-4</v>
      </c>
      <c r="F22">
        <f t="shared" si="6"/>
        <v>20</v>
      </c>
      <c r="G22" s="50">
        <f>IF(FT!A22&lt;&gt;"",FT!A22*10,"")</f>
        <v>4.2527799999999996</v>
      </c>
      <c r="H22" s="50">
        <f>IF(FT!B22&lt;&gt;"",FT!B22*100,"")</f>
        <v>49.0901</v>
      </c>
      <c r="I22" s="50">
        <f t="shared" si="2"/>
        <v>1</v>
      </c>
      <c r="J22" t="str">
        <f>IF(FT!B22&lt;&gt;"",FT!E22,"")</f>
        <v>0 [8.080335]</v>
      </c>
      <c r="K22">
        <f>IF(FT!B22&lt;&gt;"",IF(FT!C22&lt;&gt;"",FT!C22,F22/$M$3*$M$4),"")</f>
        <v>8.0803399999999996</v>
      </c>
      <c r="P22">
        <f t="shared" si="10"/>
        <v>19</v>
      </c>
      <c r="Q22">
        <f t="shared" si="12"/>
        <v>0</v>
      </c>
      <c r="R22">
        <f t="shared" si="13"/>
        <v>0</v>
      </c>
      <c r="S22">
        <f t="array" ref="S22">MAX(IF(ft_nq=P22,row_n))</f>
        <v>0</v>
      </c>
      <c r="T22">
        <f t="shared" si="11"/>
        <v>1</v>
      </c>
      <c r="V22" s="300">
        <f>X23</f>
        <v>90</v>
      </c>
      <c r="W22" s="300">
        <f>X23</f>
        <v>90</v>
      </c>
      <c r="X22" t="s">
        <v>1188</v>
      </c>
      <c r="Y22" s="75">
        <f t="shared" si="3"/>
        <v>11.543061244644681</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2.7511101757339788E-3</v>
      </c>
      <c r="D23" s="50">
        <f>IF(hist!$D$2&gt;0,hist!B23/hist!$D$2,0)</f>
        <v>0.35065643668092961</v>
      </c>
      <c r="E23" s="50">
        <f t="shared" si="1"/>
        <v>7.2710399246906645E-4</v>
      </c>
      <c r="F23">
        <f t="shared" si="6"/>
        <v>21</v>
      </c>
      <c r="G23" s="50">
        <f>IF(FT!A23&lt;&gt;"",FT!A23*10,"")</f>
        <v>4.2191600000000005</v>
      </c>
      <c r="H23" s="50">
        <f>IF(FT!B23&lt;&gt;"",FT!B23*100,"")</f>
        <v>49.619799999999998</v>
      </c>
      <c r="I23" s="50">
        <f t="shared" si="2"/>
        <v>1</v>
      </c>
      <c r="J23" t="str">
        <f>IF(FT!B23&lt;&gt;"",FT!E23,"")</f>
        <v>0 [8.488679]</v>
      </c>
      <c r="K23">
        <f>IF(FT!B23&lt;&gt;"",IF(FT!C23&lt;&gt;"",FT!C23,F23/$M$3*$M$4),"")</f>
        <v>8.4886800000000004</v>
      </c>
      <c r="P23">
        <f t="shared" si="10"/>
        <v>20</v>
      </c>
      <c r="Q23">
        <f t="shared" si="12"/>
        <v>0</v>
      </c>
      <c r="R23">
        <f t="shared" si="13"/>
        <v>0</v>
      </c>
      <c r="S23">
        <f t="array" ref="S23">MAX(IF(ft_nq=P23,row_n))</f>
        <v>0</v>
      </c>
      <c r="T23">
        <f t="shared" si="11"/>
        <v>1</v>
      </c>
      <c r="V23" s="300">
        <f>100-X23</f>
        <v>10</v>
      </c>
      <c r="W23" s="300">
        <f>X23</f>
        <v>90</v>
      </c>
      <c r="X23">
        <v>90</v>
      </c>
      <c r="Y23" s="75">
        <f t="shared" si="3"/>
        <v>11.760587415504506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4.8144375460380927E-3</v>
      </c>
      <c r="D24" s="50">
        <f>IF(hist!$D$2&gt;0,hist!B24/hist!$D$2,0)</f>
        <v>0.31088656729395003</v>
      </c>
      <c r="E24" s="50">
        <f t="shared" si="1"/>
        <v>8.6412469495482391E-4</v>
      </c>
      <c r="F24">
        <f t="shared" si="6"/>
        <v>22</v>
      </c>
      <c r="G24" s="50">
        <f>IF(FT!A24&lt;&gt;"",FT!A24*10,"")</f>
        <v>4.1909099999999997</v>
      </c>
      <c r="H24" s="50">
        <f>IF(FT!B24&lt;&gt;"",FT!B24*100,"")</f>
        <v>49.867699999999999</v>
      </c>
      <c r="I24" s="50">
        <f t="shared" si="2"/>
        <v>1</v>
      </c>
      <c r="J24" t="str">
        <f>IF(FT!B24&lt;&gt;"",FT!E24,"")</f>
        <v>0 [8.886154]</v>
      </c>
      <c r="K24">
        <f>IF(FT!B24&lt;&gt;"",IF(FT!C24&lt;&gt;"",FT!C24,F24/$M$3*$M$4),"")</f>
        <v>8.8861500000000007</v>
      </c>
      <c r="P24">
        <f t="shared" si="10"/>
        <v>21</v>
      </c>
      <c r="Q24">
        <f t="shared" si="12"/>
        <v>0</v>
      </c>
      <c r="R24">
        <f t="shared" si="13"/>
        <v>0</v>
      </c>
      <c r="S24">
        <f t="array" ref="S24">MAX(IF(ft_nq=P24,row_n))</f>
        <v>0</v>
      </c>
      <c r="T24">
        <f t="shared" si="11"/>
        <v>1</v>
      </c>
      <c r="V24" s="300">
        <f>100-X23</f>
        <v>10</v>
      </c>
      <c r="W24" s="300">
        <f>100-X23</f>
        <v>10</v>
      </c>
      <c r="Y24" s="75">
        <f t="shared" si="3"/>
        <v>11.899014772447989</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3.6589708513101128E-3</v>
      </c>
      <c r="D25" s="50">
        <f>IF(hist!$D$2&gt;0,hist!B25/hist!$D$2,0)</f>
        <v>0.64083344633568351</v>
      </c>
      <c r="E25" s="50">
        <f t="shared" si="1"/>
        <v>1.0248088830179514E-3</v>
      </c>
      <c r="F25">
        <f t="shared" si="6"/>
        <v>23</v>
      </c>
      <c r="G25" s="50">
        <f>IF(FT!A25&lt;&gt;"",FT!A25*10,"")</f>
        <v>4.1642700000000001</v>
      </c>
      <c r="H25" s="50">
        <f>IF(FT!B25&lt;&gt;"",FT!B25*100,"")</f>
        <v>50.151299999999999</v>
      </c>
      <c r="I25" s="50">
        <f t="shared" si="2"/>
        <v>1</v>
      </c>
      <c r="J25" t="str">
        <f>IF(FT!B25&lt;&gt;"",FT!E25,"")</f>
        <v>0 [9.318974]</v>
      </c>
      <c r="K25">
        <f>IF(FT!B25&lt;&gt;"",IF(FT!C25&lt;&gt;"",FT!C25,F25/$M$3*$M$4),"")</f>
        <v>9.3189700000000002</v>
      </c>
      <c r="P25">
        <f t="shared" si="10"/>
        <v>22</v>
      </c>
      <c r="Q25">
        <f t="shared" si="12"/>
        <v>0</v>
      </c>
      <c r="R25">
        <f t="shared" si="13"/>
        <v>0</v>
      </c>
      <c r="S25">
        <f t="array" ref="S25">MAX(IF(ft_nq=P25,row_n))</f>
        <v>0</v>
      </c>
      <c r="T25">
        <f t="shared" si="11"/>
        <v>1</v>
      </c>
      <c r="V25" s="300">
        <f>X23</f>
        <v>90</v>
      </c>
      <c r="W25" s="300">
        <f>100-X23</f>
        <v>10</v>
      </c>
      <c r="Y25" s="75">
        <f t="shared" si="3"/>
        <v>12.04323927122881</v>
      </c>
    </row>
    <row r="26" spans="1:120">
      <c r="A26" s="50">
        <f t="shared" si="5"/>
        <v>24</v>
      </c>
      <c r="B26" s="50">
        <f t="shared" si="0"/>
        <v>0.46337976470588232</v>
      </c>
      <c r="C26" s="50">
        <f>IF(FH!$C$2&gt;0,FH!A26/FH!$C$2,0)</f>
        <v>4.1541828896138064E-3</v>
      </c>
      <c r="D26" s="50">
        <f>IF(hist!$D$2&gt;0,hist!B26/hist!$D$2,0)</f>
        <v>0.6856503987645679</v>
      </c>
      <c r="E26" s="50">
        <f t="shared" si="1"/>
        <v>1.2128188079122912E-3</v>
      </c>
      <c r="F26">
        <f t="shared" si="6"/>
        <v>24</v>
      </c>
      <c r="G26" s="50">
        <f>IF(FT!A26&lt;&gt;"",FT!A26*10,"")</f>
        <v>4.1265999999999998</v>
      </c>
      <c r="H26" s="50">
        <f>IF(FT!B26&lt;&gt;"",FT!B26*100,"")</f>
        <v>50.443400000000004</v>
      </c>
      <c r="I26" s="50">
        <f t="shared" si="2"/>
        <v>1</v>
      </c>
      <c r="J26" t="str">
        <f>IF(FT!B26&lt;&gt;"",FT!E26,"")</f>
        <v>0 [9.711394]</v>
      </c>
      <c r="K26">
        <f>IF(FT!B26&lt;&gt;"",IF(FT!C26&lt;&gt;"",FT!C26,F26/$M$3*$M$4),"")</f>
        <v>9.7113899999999997</v>
      </c>
      <c r="P26">
        <f t="shared" si="10"/>
        <v>23</v>
      </c>
      <c r="Q26">
        <f t="shared" si="12"/>
        <v>0</v>
      </c>
      <c r="R26">
        <f t="shared" si="13"/>
        <v>0</v>
      </c>
      <c r="S26">
        <f t="array" ref="S26">MAX(IF(ft_nq=P26,row_n))</f>
        <v>0</v>
      </c>
      <c r="T26">
        <f t="shared" si="11"/>
        <v>1</v>
      </c>
      <c r="V26" s="300">
        <f>X23</f>
        <v>90</v>
      </c>
      <c r="W26" s="300">
        <f>X23</f>
        <v>90</v>
      </c>
      <c r="Y26" s="75">
        <f t="shared" si="3"/>
        <v>12.223961614888772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열광하는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열광하는</v>
      </c>
    </row>
    <row r="27" spans="1:120">
      <c r="A27" s="50">
        <f t="shared" si="5"/>
        <v>25</v>
      </c>
      <c r="B27" s="50">
        <f t="shared" si="0"/>
        <v>0.48268725490196074</v>
      </c>
      <c r="C27" s="50">
        <f>IF(FH!$C$2&gt;0,FH!A27/FH!$C$2,0)</f>
        <v>3.4388929811638427E-3</v>
      </c>
      <c r="D27" s="50">
        <f>IF(hist!$D$2&gt;0,hist!B27/hist!$D$2,0)</f>
        <v>0.41580916947540175</v>
      </c>
      <c r="E27" s="50">
        <f t="shared" si="1"/>
        <v>1.4323051140600783E-3</v>
      </c>
      <c r="F27">
        <f t="shared" si="6"/>
        <v>25</v>
      </c>
      <c r="G27" s="50">
        <f>IF(FT!A27&lt;&gt;"",FT!A27*10,"")</f>
        <v>4.0744600000000002</v>
      </c>
      <c r="H27" s="50">
        <f>IF(FT!B27&lt;&gt;"",FT!B27*100,"")</f>
        <v>51.417599999999993</v>
      </c>
      <c r="I27" s="50">
        <f t="shared" si="2"/>
        <v>1</v>
      </c>
      <c r="J27" t="str">
        <f>IF(FT!B27&lt;&gt;"",FT!E27,"")</f>
        <v>0 [10.112480]</v>
      </c>
      <c r="K27">
        <f>IF(FT!B27&lt;&gt;"",IF(FT!C27&lt;&gt;"",FT!C27,F27/$M$3*$M$4),"")</f>
        <v>10.112500000000001</v>
      </c>
      <c r="P27">
        <f t="shared" si="10"/>
        <v>24</v>
      </c>
      <c r="Q27">
        <f t="shared" si="12"/>
        <v>0</v>
      </c>
      <c r="R27">
        <f t="shared" si="13"/>
        <v>0</v>
      </c>
      <c r="S27">
        <f t="array" ref="S27">MAX(IF(ft_nq=P27,row_n))</f>
        <v>0</v>
      </c>
      <c r="T27">
        <f t="shared" si="11"/>
        <v>1</v>
      </c>
      <c r="V27" s="288">
        <v>60</v>
      </c>
      <c r="W27" s="288">
        <v>60</v>
      </c>
      <c r="X27" t="s">
        <v>1189</v>
      </c>
      <c r="Y27" s="75">
        <f t="shared" si="3"/>
        <v>12.619488226660708</v>
      </c>
      <c r="AS27" t="s">
        <v>2144</v>
      </c>
    </row>
    <row r="28" spans="1:120">
      <c r="A28" s="50">
        <f t="shared" si="5"/>
        <v>26</v>
      </c>
      <c r="B28" s="50">
        <f t="shared" si="0"/>
        <v>0.50199474509803921</v>
      </c>
      <c r="C28" s="50">
        <f>IF(FH!$C$2&gt;0,FH!A28/FH!$C$2,0)</f>
        <v>5.4472061454277597E-3</v>
      </c>
      <c r="D28" s="50">
        <f>IF(hist!$D$2&gt;0,hist!B28/hist!$D$2,0)</f>
        <v>0.63973968465768472</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0.83076808162151405</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0.89796433354676175</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4.6768809849521205E-4</v>
      </c>
      <c r="D31" s="50">
        <f>IF(hist!$D$2&gt;0,hist!B31/hist!$D$2,0)</f>
        <v>0.33311501921025966</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 편안함이 증가하는정서 상태이다. 에너지 대사량이 매우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3.6314637482900139E-3</v>
      </c>
      <c r="D32" s="50">
        <f>IF(hist!$D$2&gt;0,hist!B32/hist!$D$2,0)</f>
        <v>1</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1.934029253919815E-2</v>
      </c>
      <c r="D33" s="50">
        <f>IF(hist!$D$2&gt;0,hist!B33/hist!$D$2,0)</f>
        <v>0.70978529025364256</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0.57364899999999996</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심리적 편안함이 증가하고 안정된 정서 상태이다.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1.0179101336420077E-3</v>
      </c>
      <c r="D34" s="50">
        <f>IF(hist!$D$2&gt;0,hist!B34/hist!$D$2,0)</f>
        <v>0.67567278217427396</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42.635100000000001</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1.8157318741450069E-3</v>
      </c>
      <c r="D35" s="50">
        <f>IF(hist!$D$2&gt;0,hist!B35/hist!$D$2,0)</f>
        <v>0.58837384624749056</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75.925666666666658</v>
      </c>
      <c r="W35" s="23">
        <f>IF(FH_info!G2*1&lt;&gt;0,(1-NORMSDIST((FH_info!G2*1-0.5308)/0.1538))*100,0)</f>
        <v>39.027510790060418</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편안하고 기분좋은 정서 상태이다.심리적 정보가 감소할 가능성이 있다. 에너지 칼로리 소모량이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2.1926339050826055E-2</v>
      </c>
      <c r="D36" s="50">
        <f>IF(hist!$D$2&gt;0,hist!B36/hist!$D$2,0)</f>
        <v>0.73471552698561426</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2.2777699999999999</v>
      </c>
      <c r="W36" s="495">
        <f>IF(W34&gt;=60,30/40*(W34-60)+70,IF(W34&gt;=35,35/25*(W34-35)+35,IF(W34&gt;=0,W34,0)))</f>
        <v>45.689140000000002</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8.1597811217510266E-2</v>
      </c>
      <c r="D37" s="50">
        <f>IF(hist!$D$2&gt;0,hist!B37/hist!$D$2,0)</f>
        <v>0.62841115205273967</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8.5559507523939801E-3</v>
      </c>
      <c r="D38" s="50">
        <f>IF(hist!$D$2&gt;0,hist!B38/hist!$D$2,0)</f>
        <v>0.7216040683133319</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3.0647374513311586E-2</v>
      </c>
      <c r="D39" s="50">
        <f>IF(hist!$D$2&gt;0,hist!B39/hist!$D$2,0)</f>
        <v>0.54009730122688993</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 편안함이 증가하는정서 상태이다.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7.9947174576449551E-2</v>
      </c>
      <c r="D40" s="50">
        <f>IF(hist!$D$2&gt;0,hist!B40/hist!$D$2,0)</f>
        <v>0.41060439287563161</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매우 크며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0.17868462590760811</v>
      </c>
      <c r="D41" s="50">
        <f>IF(hist!$D$2&gt;0,hist!B41/hist!$D$2,0)</f>
        <v>0.69866587997550911</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7.6370830264127124E-2</v>
      </c>
      <c r="D42" s="50">
        <f>IF(hist!$D$2&gt;0,hist!B42/hist!$D$2,0)</f>
        <v>0.54466778617901368</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9.9672734925812898E-2</v>
      </c>
      <c r="D43" s="50">
        <f>IF(hist!$D$2&gt;0,hist!B43/hist!$D$2,0)</f>
        <v>0.51808825896496924</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17.9541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0.23508155319372831</v>
      </c>
      <c r="D44" s="50">
        <f>IF(hist!$D$2&gt;0,hist!B44/hist!$D$2,0)</f>
        <v>0.63664698926302543</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0.1375279385457224</v>
      </c>
      <c r="D45" s="50">
        <f>IF(hist!$D$2&gt;0,hist!B45/hist!$D$2,0)</f>
        <v>0.37572047424590621</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0.24875512995896032</v>
      </c>
      <c r="D46" s="50">
        <f>IF(hist!$D$2&gt;0,hist!B46/hist!$D$2,0)</f>
        <v>0.61352016931818554</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0.14198484689045565</v>
      </c>
      <c r="D47" s="50">
        <f>IF(hist!$D$2&gt;0,hist!B47/hist!$D$2,0)</f>
        <v>0.34605849699709967</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0.22798484689045567</v>
      </c>
      <c r="D48" s="50">
        <f>IF(hist!$D$2&gt;0,hist!B48/hist!$D$2,0)</f>
        <v>0.53461816616461866</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0.15684078711985688</v>
      </c>
      <c r="D49" s="50">
        <f>IF(hist!$D$2&gt;0,hist!B49/hist!$D$2,0)</f>
        <v>0.52301195178150672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0.13012753867199833</v>
      </c>
      <c r="D50" s="50">
        <f>IF(hist!$D$2&gt;0,hist!B50/hist!$D$2,0)</f>
        <v>0.32011328503752162</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0.10258886667368199</v>
      </c>
      <c r="D51" s="50">
        <f>IF(hist!$D$2&gt;0,hist!B51/hist!$D$2,0)</f>
        <v>0.47829097419098365</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6.5146164369146581E-2</v>
      </c>
      <c r="D52" s="50">
        <f>IF(hist!$D$2&gt;0,hist!B52/hist!$D$2,0)</f>
        <v>0.35029986877913011</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91.305921996108324</v>
      </c>
      <c r="W52" s="303">
        <f ca="1">100-N9</f>
        <v>53.746165384615374</v>
      </c>
      <c r="X52" t="str">
        <f ca="1">"(" &amp; ROUND(V52,1) &amp; " , " &amp; ROUND(100-W52,1) &amp; ")"</f>
        <v>(91.3 , 46.3)</v>
      </c>
      <c r="Y52" s="75" t="str">
        <f t="shared" si="3"/>
        <v/>
      </c>
    </row>
    <row r="53" spans="1:25">
      <c r="A53" s="50">
        <f t="shared" si="5"/>
        <v>51</v>
      </c>
      <c r="B53" s="50">
        <f t="shared" si="0"/>
        <v>0.98468199999999995</v>
      </c>
      <c r="C53" s="50">
        <f>IF(FH!$C$2&gt;0,FH!A53/FH!$C$2,0)</f>
        <v>4.7896874671156477E-2</v>
      </c>
      <c r="D53" s="50">
        <f>IF(hist!$D$2&gt;0,hist!B53/hist!$D$2,0)</f>
        <v>0.27014636842201928</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8.1873092707566028E-2</v>
      </c>
      <c r="D54" s="50">
        <f>IF(hist!$D$2&gt;0,hist!B54/hist!$D$2,0)</f>
        <v>0.51048679733768998</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3.4499000315689782E-2</v>
      </c>
      <c r="D55" s="50">
        <f>IF(hist!$D$2&gt;0,hist!B55/hist!$D$2,0)</f>
        <v>0.30438911270456681</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3.2298011154372301E-2</v>
      </c>
      <c r="D56" s="50">
        <f>IF(hist!$D$2&gt;0,hist!B56/hist!$D$2,0)</f>
        <v>0.31309810665486798</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3.584699568557298E-2</v>
      </c>
      <c r="D57" s="50">
        <f>IF(hist!$D$2&gt;0,hist!B57/hist!$D$2,0)</f>
        <v>0.37787025554262033</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1.774464905819215E-2</v>
      </c>
      <c r="D58" s="50">
        <f>IF(hist!$D$2&gt;0,hist!B58/hist!$D$2,0)</f>
        <v>0.27533061233431477</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1.4085678206882037E-2</v>
      </c>
      <c r="D59" s="50">
        <f>IF(hist!$D$2&gt;0,hist!B59/hist!$D$2,0)</f>
        <v>0.20416042766828632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1.4360791329053983E-2</v>
      </c>
      <c r="D60" s="50">
        <f>IF(hist!$D$2&gt;0,hist!B60/hist!$D$2,0)</f>
        <v>0.33678377347348742</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8.7210144165000524E-3</v>
      </c>
      <c r="D61" s="50">
        <f>IF(hist!$D$2&gt;0,hist!B61/hist!$D$2,0)</f>
        <v>0.30520515325969866</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6.3825739240239918E-3</v>
      </c>
      <c r="D62" s="50">
        <f>IF(hist!$D$2&gt;0,hist!B62/hist!$D$2,0)</f>
        <v>0.24648127363557443</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3.8240345154161842E-3</v>
      </c>
      <c r="D63" s="50">
        <f>IF(hist!$D$2&gt;0,hist!B63/hist!$D$2,0)</f>
        <v>0.17702543460168807</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3.6039566452699149E-3</v>
      </c>
      <c r="D64" s="50">
        <f>IF(hist!$D$2&gt;0,hist!B64/hist!$D$2,0)</f>
        <v>0.28089544015333012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1.9532884352309798E-3</v>
      </c>
      <c r="D65" s="50">
        <f>IF(hist!$D$2&gt;0,hist!B65/hist!$D$2,0)</f>
        <v>0.3159953874162188</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6.1349679048721458E-3</v>
      </c>
      <c r="D66" s="50">
        <f>IF(hist!$D$2&gt;0,hist!B66/hist!$D$2,0)</f>
        <v>0.15550328824904588</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1.0261643691465852E-2</v>
      </c>
      <c r="D67" s="50">
        <f>IF(hist!$D$2&gt;0,hist!B67/hist!$D$2,0)</f>
        <v>0.19361707625872129</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7.9507103020098908E-3</v>
      </c>
      <c r="D68" s="50">
        <f>IF(hist!$D$2&gt;0,hist!B68/hist!$D$2,0)</f>
        <v>0.19274960693464294</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1.5296159107650215E-2</v>
      </c>
      <c r="D69" s="50">
        <f>IF(hist!$D$2&gt;0,hist!B69/hist!$D$2,0)</f>
        <v>0.19151526139734779</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1.7469535936020204E-2</v>
      </c>
      <c r="D70" s="50">
        <f>IF(hist!$D$2&gt;0,hist!B70/hist!$D$2,0)</f>
        <v>0.20771259309329806</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1.9010165210986002E-2</v>
      </c>
      <c r="D71" s="50">
        <f>IF(hist!$D$2&gt;0,hist!B71/hist!$D$2,0)</f>
        <v>0.16865246012783175</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3.5131642639166578E-2</v>
      </c>
      <c r="D72" s="50">
        <f>IF(hist!$D$2&gt;0,hist!B72/hist!$D$2,0)</f>
        <v>0.16778842166159916</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2.4705040513522042E-2</v>
      </c>
      <c r="D73" s="50">
        <f>IF(hist!$D$2&gt;0,hist!B73/hist!$D$2,0)</f>
        <v>0.16695867603594425</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3.1802799116068606E-2</v>
      </c>
      <c r="D74" s="50">
        <f>IF(hist!$D$2&gt;0,hist!B74/hist!$D$2,0)</f>
        <v>0.18050901959150453</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4.3715037356624221E-2</v>
      </c>
      <c r="D75" s="50">
        <f>IF(hist!$D$2&gt;0,hist!B75/hist!$D$2,0)</f>
        <v>0.14926641623118073</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5.4747132484478579E-2</v>
      </c>
      <c r="D76" s="50">
        <f>IF(hist!$D$2&gt;0,hist!B76/hist!$D$2,0)</f>
        <v>0.14899554895506537</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4.4870672419236028E-2</v>
      </c>
      <c r="D77" s="50">
        <f>IF(hist!$D$2&gt;0,hist!B77/hist!$D$2,0)</f>
        <v>0.13578807347674149</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6.264274439650637E-2</v>
      </c>
      <c r="D78" s="50">
        <f>IF(hist!$D$2&gt;0,hist!B78/hist!$D$2,0)</f>
        <v>0.13306223331145892</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7.8434178680416702E-2</v>
      </c>
      <c r="D79" s="50">
        <f>IF(hist!$D$2&gt;0,hist!B79/hist!$D$2,0)</f>
        <v>0.13320967101750675</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7.3124487004103969E-2</v>
      </c>
      <c r="D80" s="50">
        <f>IF(hist!$D$2&gt;0,hist!B80/hist!$D$2,0)</f>
        <v>0.15951146137080427</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5.7553193728296329E-2</v>
      </c>
      <c r="D81" s="50">
        <f>IF(hist!$D$2&gt;0,hist!B81/hist!$D$2,0)</f>
        <v>0.12775455720611584</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6.2835315163632541E-2</v>
      </c>
      <c r="D82" s="50">
        <f>IF(hist!$D$2&gt;0,hist!B82/hist!$D$2,0)</f>
        <v>0.12242287821075244</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9.2657266126486379E-2</v>
      </c>
      <c r="D83" s="50">
        <f>IF(hist!$D$2&gt;0,hist!B83/hist!$D$2,0)</f>
        <v>0.11403619342041307</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4.6878880353572558E-2</v>
      </c>
      <c r="D84" s="50">
        <f>IF(hist!$D$2&gt;0,hist!B84/hist!$D$2,0)</f>
        <v>0.14945499800157774</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7.3757339787435539E-2</v>
      </c>
      <c r="D85" s="50">
        <f>IF(hist!$D$2&gt;0,hist!B85/hist!$D$2,0)</f>
        <v>0.14962643859764599</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8.289087656529516E-2</v>
      </c>
      <c r="D86" s="50">
        <f>IF(hist!$D$2&gt;0,hist!B86/hist!$D$2,0)</f>
        <v>0.14102374878096346</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7.9534673261075453E-2</v>
      </c>
      <c r="D88" s="50">
        <f>IF(hist!$D$2&gt;0,hist!B88/hist!$D$2,0)</f>
        <v>0.14167178746681294</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8.6687361885720293E-2</v>
      </c>
      <c r="D89" s="50">
        <f>IF(hist!$D$2&gt;0,hist!B89/hist!$D$2,0)</f>
        <v>0.14218609089415757</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9.5381037567084076E-2</v>
      </c>
      <c r="D90" s="50">
        <f>IF(hist!$D$2&gt;0,hist!B90/hist!$D$2,0)</f>
        <v>0.13461886702487583</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6.137724928969799E-2</v>
      </c>
      <c r="D91" s="50">
        <f>IF(hist!$D$2&gt;0,hist!B91/hist!$D$2,0)</f>
        <v>0.13623381482975083</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9.0621487951173321E-2</v>
      </c>
      <c r="D92" s="50">
        <f>IF(hist!$D$2&gt;0,hist!B92/hist!$D$2,0)</f>
        <v>0.10576266661044395</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0.18058276333789328</v>
      </c>
      <c r="D93" s="50">
        <f>IF(hist!$D$2&gt;0,hist!B93/hist!$D$2,0)</f>
        <v>0.10667813384562301</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0.14479090813427339</v>
      </c>
      <c r="D94" s="50">
        <f>IF(hist!$D$2&gt;0,hist!B94/hist!$D$2,0)</f>
        <v>0.10543693446157634</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8.800799747448175E-2</v>
      </c>
      <c r="D95" s="50">
        <f>IF(hist!$D$2&gt;0,hist!B95/hist!$D$2,0)</f>
        <v>0.10709301583888049</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0.20520530358834052</v>
      </c>
      <c r="D96" s="50">
        <f>IF(hist!$D$2&gt;0,hist!B96/hist!$D$2,0)</f>
        <v>0.12689736471769475</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0.19191728927707039</v>
      </c>
      <c r="D97" s="50">
        <f>IF(hist!$D$2&gt;0,hist!B97/hist!$D$2,0)</f>
        <v>0.10505977354376228</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0.23777754393349468</v>
      </c>
      <c r="D98" s="50">
        <f>IF(hist!$D$2&gt;0,hist!B98/hist!$D$2,0)</f>
        <v>7.7417344011470934E-2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0.26418815111017574</v>
      </c>
      <c r="D99" s="50">
        <f>IF(hist!$D$2&gt;0,hist!B99/hist!$D$2,0)</f>
        <v>0.15127565825925857</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0.28019993686204359</v>
      </c>
      <c r="D100" s="50">
        <f>IF(hist!$D$2&gt;0,hist!B100/hist!$D$2,0)</f>
        <v>7.4811502558410098E-2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0.28322634957381876</v>
      </c>
      <c r="D101" s="50">
        <f>IF(hist!$D$2&gt;0,hist!B101/hist!$D$2,0)</f>
        <v>0.12617047662993275</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0.34829001367989054</v>
      </c>
      <c r="D102" s="50">
        <f>IF(hist!$D$2&gt;0,hist!B102/hist!$D$2,0)</f>
        <v>9.6453660738174019E-2</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0.26429969483321053</v>
      </c>
      <c r="D103" s="50">
        <f>IF(hist!$D$2&gt;0,hist!B103/hist!$D$2,0)</f>
        <v>9.2267182681675886E-2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0.23942965379353889</v>
      </c>
      <c r="D104" s="50">
        <f>IF(hist!$D$2&gt;0,hist!B104/hist!$D$2,0)</f>
        <v>0.14154834478184541</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0.5299463327370304</v>
      </c>
      <c r="D105" s="50">
        <f>IF(hist!$D$2&gt;0,hist!B105/hist!$D$2,0)</f>
        <v>6.7542595450989909E-2</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0.2795959170788172</v>
      </c>
      <c r="D106" s="50">
        <f>IF(hist!$D$2&gt;0,hist!B106/hist!$D$2,0)</f>
        <v>6.3657833538438999E-2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0.34548458381563718</v>
      </c>
      <c r="D107" s="50">
        <f>IF(hist!$D$2&gt;0,hist!B107/hist!$D$2,0)</f>
        <v>0.10507692258703111</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0.36581500578764597</v>
      </c>
      <c r="D108" s="50">
        <f>IF(hist!$D$2&gt;0,hist!B108/hist!$D$2,0)</f>
        <v>0.1058758219678342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0.43415342523413653</v>
      </c>
      <c r="D109" s="50">
        <f>IF(hist!$D$2&gt;0,hist!B109/hist!$D$2,0)</f>
        <v>7.7976222361010497E-2</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0.28881195411975163</v>
      </c>
      <c r="D110" s="50">
        <f>IF(hist!$D$2&gt;0,hist!B110/hist!$D$2,0)</f>
        <v>7.2788555459809209E-2</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0.41142797011470061</v>
      </c>
      <c r="D111" s="50">
        <f>IF(hist!$D$2&gt;0,hist!B111/hist!$D$2,0)</f>
        <v>7.876483441423629E-2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0.4275218352099337</v>
      </c>
      <c r="D112" s="50">
        <f>IF(hist!$D$2&gt;0,hist!B112/hist!$D$2,0)</f>
        <v>8.439480918762117E-2</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0.2632263495738188</v>
      </c>
      <c r="D113" s="50">
        <f>IF(hist!$D$2&gt;0,hist!B113/hist!$D$2,0)</f>
        <v>6.9808986569760076E-2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0.45426286435862356</v>
      </c>
      <c r="D114" s="50">
        <f>IF(hist!$D$2&gt;0,hist!B114/hist!$D$2,0)</f>
        <v>4.4573516277655212E-2</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0.45382300326212777</v>
      </c>
      <c r="D115" s="50">
        <f>IF(hist!$D$2&gt;0,hist!B115/hist!$D$2,0)</f>
        <v>8.9788206902488329E-2</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0.35291171209091865</v>
      </c>
      <c r="D116" s="50">
        <f>IF(hist!$D$2&gt;0,hist!B116/hist!$D$2,0)</f>
        <v>4.7433078586542589E-2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0.36666736819951595</v>
      </c>
      <c r="D117" s="50">
        <f>IF(hist!$D$2&gt;0,hist!B117/hist!$D$2,0)</f>
        <v>6.8715219645801282E-2</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0.55861306955698198</v>
      </c>
      <c r="D118" s="50">
        <f>IF(hist!$D$2&gt;0,hist!B118/hist!$D$2,0)</f>
        <v>4.9401168681331264E-2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0.43206145427759651</v>
      </c>
      <c r="D119" s="50">
        <f>IF(hist!$D$2&gt;0,hist!B119/hist!$D$2,0)</f>
        <v>5.1081250325675745E-2</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0.428649900031569</v>
      </c>
      <c r="D120" s="50">
        <f>IF(hist!$D$2&gt;0,hist!B120/hist!$D$2,0)</f>
        <v>5.6409503709153402E-2</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0.40988740397769124</v>
      </c>
      <c r="D121" s="50">
        <f>IF(hist!$D$2&gt;0,hist!B121/hist!$D$2,0)</f>
        <v>3.5713672124320396E-2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0.43929706408502578</v>
      </c>
      <c r="D122" s="50">
        <f>IF(hist!$D$2&gt;0,hist!B122/hist!$D$2,0)</f>
        <v>4.8081109403452033E-2</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0.42664211301694199</v>
      </c>
      <c r="D123" s="50">
        <f>IF(hist!$D$2&gt;0,hist!B123/hist!$D$2,0)</f>
        <v>4.2036255259789664E-2</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0.69168473113753548</v>
      </c>
      <c r="D124" s="50">
        <f>IF(hist!$D$2&gt;0,hist!B124/hist!$D$2,0)</f>
        <v>3.5209648155613053E-2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0.29992633905082605</v>
      </c>
      <c r="D125" s="50">
        <f>IF(hist!$D$2&gt;0,hist!B125/hist!$D$2,0)</f>
        <v>3.3834724004981581E-2</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0.86693044301799427</v>
      </c>
      <c r="D126" s="50">
        <f>IF(hist!$D$2&gt;0,hist!B126/hist!$D$2,0)</f>
        <v>3.8302364534112406E-2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1.5264715417502427E-2</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1</v>
      </c>
      <c r="D128" s="50">
        <f>IF(hist!$D$2&gt;0,hist!B128/hist!$D$2,0)</f>
        <v>5.3560226104863308E-2</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v>
      </c>
      <c r="D129" s="50">
        <f>IF(hist!$D$2&gt;0,hist!B129/hist!$D$2,0)</f>
        <v>0</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0.82161843628327902</v>
      </c>
      <c r="D130" s="50">
        <f>IF(hist!$D$2&gt;0,hist!B130/hist!$D$2,0)</f>
        <v>4.122364556250354E-2</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v>
      </c>
      <c r="D131" s="50">
        <f>IF(hist!$D$2&gt;0,hist!B131/hist!$D$2,0)</f>
        <v>0</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0.98808797221929912</v>
      </c>
      <c r="D132" s="50">
        <f>IF(hist!$D$2&gt;0,hist!B132/hist!$D$2,0)</f>
        <v>4.068533399917855E-2</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7.6666453033688567E-3</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0.83930758707776487</v>
      </c>
      <c r="D134" s="50">
        <f>IF(hist!$D$2&gt;0,hist!B134/hist!$D$2,0)</f>
        <v>2.2485624613821933E-2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0.22793012732821213</v>
      </c>
      <c r="D135" s="50">
        <f>IF(hist!$D$2&gt;0,hist!B135/hist!$D$2,0)</f>
        <v>1.3173187883706236E-2</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0.74387246132800167</v>
      </c>
      <c r="D136" s="50">
        <f>IF(hist!$D$2&gt;0,hist!B136/hist!$D$2,0)</f>
        <v>1.5971034096069862E-2</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0.23813532568662527</v>
      </c>
      <c r="D137" s="50">
        <f>IF(hist!$D$2&gt;0,hist!B137/hist!$D$2,0)</f>
        <v>1.2000561065914862E-2</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0.48276544249184472</v>
      </c>
      <c r="D138" s="50">
        <f>IF(hist!$D$2&gt;0,hist!B138/hist!$D$2,0)</f>
        <v>1.2648591882824306E-2</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0.46083763022203511</v>
      </c>
      <c r="D139" s="50">
        <f>IF(hist!$D$2&gt;0,hist!B139/hist!$D$2,0)</f>
        <v>8.664405913206252E-3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0.49225507734399665</v>
      </c>
      <c r="D140" s="50">
        <f>IF(hist!$D$2&gt;0,hist!B140/hist!$D$2,0)</f>
        <v>1.1304529714924723E-2</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0.42477112490792379</v>
      </c>
      <c r="D141" s="50">
        <f>IF(hist!$D$2&gt;0,hist!B141/hist!$D$2,0)</f>
        <v>8.3901077792451137E-3</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0.44135957066189624</v>
      </c>
      <c r="D142" s="50">
        <f>IF(hist!$D$2&gt;0,hist!B142/hist!$D$2,0)</f>
        <v>6.3911557017245551E-3</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0.40895296222245608</v>
      </c>
      <c r="D143" s="50">
        <f>IF(hist!$D$2&gt;0,hist!B143/hist!$D$2,0)</f>
        <v>7.8723682480947108E-3</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0.29868883510470379</v>
      </c>
      <c r="D144" s="50">
        <f>IF(hist!$D$2&gt;0,hist!B144/hist!$D$2,0)</f>
        <v>5.3625383551152844E-3</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0.54735978112175099</v>
      </c>
      <c r="D145" s="50">
        <f>IF(hist!$D$2&gt;0,hist!B145/hist!$D$2,0)</f>
        <v>7.2689123533802042E-3</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0.33742397137745972</v>
      </c>
      <c r="D146" s="50">
        <f>IF(hist!$D$2&gt;0,hist!B146/hist!$D$2,0)</f>
        <v>2.2766784463474606E-3</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0.29733978743554668</v>
      </c>
      <c r="D147" s="50">
        <f>IF(hist!$D$2&gt;0,hist!B147/hist!$D$2,0)</f>
        <v>4.0801922837394554E-3</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0.34983057981689991</v>
      </c>
      <c r="D148" s="50">
        <f>IF(hist!$D$2&gt;0,hist!B148/hist!$D$2,0)</f>
        <v>4.1967680070554387E-3</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0.36347679680101025</v>
      </c>
      <c r="D149" s="50">
        <f>IF(hist!$D$2&gt;0,hist!B149/hist!$D$2,0)</f>
        <v>3.6550282088646871E-3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0.24622329790592443</v>
      </c>
      <c r="D150" s="50">
        <f>IF(hist!$D$2&gt;0,hist!B150/hist!$D$2,0)</f>
        <v>1.7897982749489371E-3</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0.26782068820372512</v>
      </c>
      <c r="D151" s="50">
        <f>IF(hist!$D$2&gt;0,hist!B151/hist!$D$2,0)</f>
        <v>1.9303768882852725E-3</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0.21785962327685993</v>
      </c>
      <c r="D152" s="50">
        <f>IF(hist!$D$2&gt;0,hist!B152/hist!$D$2,0)</f>
        <v>2.9007063732365513E-3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0.28628012206671577</v>
      </c>
      <c r="D153" s="50">
        <f>IF(hist!$D$2&gt;0,hist!B153/hist!$D$2,0)</f>
        <v>1.7006510535390665E-3</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0.17882205619278121</v>
      </c>
      <c r="D154" s="50">
        <f>IF(hist!$D$2&gt;0,hist!B154/hist!$D$2,0)</f>
        <v>5.3831156332498787E-4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0.15265894980532463</v>
      </c>
      <c r="D155" s="50">
        <f>IF(hist!$D$2&gt;0,hist!B155/hist!$D$2,0)</f>
        <v>1.0149044071462165E-3</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0.26691360622961169</v>
      </c>
      <c r="D156" s="50">
        <f>IF(hist!$D$2&gt;0,hist!B156/hist!$D$2,0)</f>
        <v>1.7212230857136515E-3</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0.15441986741029148</v>
      </c>
      <c r="D157" s="50">
        <f>IF(hist!$D$2&gt;0,hist!B157/hist!$D$2,0)</f>
        <v>8.6404108921259127E-4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0.19865768704619594</v>
      </c>
      <c r="D158" s="50">
        <f>IF(hist!$D$2&gt;0,hist!B158/hist!$D$2,0)</f>
        <v>4.1830498216323761E-4</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0.18545217299800063</v>
      </c>
      <c r="D159" s="50">
        <f>IF(hist!$D$2&gt;0,hist!B159/hist!$D$2,0)</f>
        <v>1.0354764393208015E-3</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0.19626412711775229</v>
      </c>
      <c r="D160" s="50">
        <f>IF(hist!$D$2&gt;0,hist!B160/hist!$D$2,0)</f>
        <v>3.0858572857878194E-4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0.14564369146585288</v>
      </c>
      <c r="D161" s="50">
        <f>IF(hist!$D$2&gt;0,hist!B161/hist!$D$2,0)</f>
        <v>5.4173979819075119E-4</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0.15032053035883405</v>
      </c>
      <c r="D162" s="50">
        <f>IF(hist!$D$2&gt;0,hist!B162/hist!$D$2,0)</f>
        <v>2.8115722667267025E-4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0.11573924023992423</v>
      </c>
      <c r="D163" s="50">
        <f>IF(hist!$D$2&gt;0,hist!B163/hist!$D$2,0)</f>
        <v>3.9773294998865266E-4</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0.14148963485215196</v>
      </c>
      <c r="D164" s="50">
        <f>IF(hist!$D$2&gt;0,hist!B164/hist!$D$2,0)</f>
        <v>2.0572294472585316E-4</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4.2174471219614859E-2</v>
      </c>
      <c r="D165" s="50">
        <f>IF(hist!$D$2&gt;0,hist!B165/hist!$D$2,0)</f>
        <v>3.3258599561913026E-4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0.11051204882668632</v>
      </c>
      <c r="D166" s="50">
        <f>IF(hist!$D$2&gt;0,hist!B166/hist!$D$2,0)</f>
        <v>1.9543824012856296E-4</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0.13043017994317585</v>
      </c>
      <c r="D167" s="50">
        <f>IF(hist!$D$2&gt;0,hist!B167/hist!$D$2,0)</f>
        <v>2.0572294472585316E-4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9.6811533200042085E-2</v>
      </c>
      <c r="D168" s="50">
        <f>IF(hist!$D$2&gt;0,hist!B168/hist!$D$2,0)</f>
        <v>1.0629101871869221E-4</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2.7483531516363253E-2</v>
      </c>
      <c r="D169" s="50">
        <f>IF(hist!$D$2&gt;0,hist!B169/hist!$D$2,0)</f>
        <v>1.6457888037668341E-4</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7.7526254866884151E-2</v>
      </c>
      <c r="D170" s="50">
        <f>IF(hist!$D$2&gt;0,hist!B170/hist!$D$2,0)</f>
        <v>8.9147221409870749E-5</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8.0662527622855931E-2</v>
      </c>
      <c r="D171" s="50">
        <f>IF(hist!$D$2&gt;0,hist!B171/hist!$D$2,0)</f>
        <v>1.2686305089327707E-4</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6.8575189235285861E-5</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6.5228875092076186E-2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4.5503314742712832E-2</v>
      </c>
      <c r="D174" s="50">
        <f>IF(hist!$D$2&gt;0,hist!B174/hist!$D$2,0)</f>
        <v>4.8003157060700987E-5</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3.0262232979059243E-2</v>
      </c>
      <c r="D175" s="50">
        <f>IF(hist!$D$2&gt;0,hist!B175/hist!$D$2,0)</f>
        <v>3.771582948340634E-5</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6.7952436072819108E-3</v>
      </c>
      <c r="D176" s="50">
        <f>IF(hist!$D$2&gt;0,hist!B176/hist!$D$2,0)</f>
        <v>2.0572032174584874E-5</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1.8404924760601914E-2</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1.0289150794485951E-2</v>
      </c>
      <c r="D178" s="50">
        <f>IF(hist!$D$2&gt;0,hist!B178/hist!$D$2,0)</f>
        <v>3.4282348657634111E-6</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7.7581184888982418E-3</v>
      </c>
      <c r="D179" s="50">
        <f>IF(hist!$D$2&gt;0,hist!B179/hist!$D$2,0)</f>
        <v>6.8564697315268222E-6</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8.4459012943281075E-3</v>
      </c>
      <c r="D180" s="50">
        <f>IF(hist!$D$2&gt;0,hist!B180/hist!$D$2,0)</f>
        <v>3.4282348657634111E-6</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8.2533305272019363E-3</v>
      </c>
      <c r="D181" s="50">
        <f>IF(hist!$D$2&gt;0,hist!B181/hist!$D$2,0)</f>
        <v>3.4282348657634111E-6</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4.7594233399978958E-3</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1.6231547932231928E-3</v>
      </c>
      <c r="D183" s="50">
        <f>IF(hist!$D$2&gt;0,hist!B183/hist!$D$2,0)</f>
        <v>3.4282348657634111E-6</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6.6026728401557405E-3</v>
      </c>
      <c r="D184" s="50">
        <f>IF(hist!$D$2&gt;0,hist!B184/hist!$D$2,0)</f>
        <v>3.4282348657634111E-6</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3.0537304009260234E-3</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45.601999999999997</v>
      </c>
      <c r="C5" s="49">
        <v>2.8710399999999998</v>
      </c>
      <c r="D5" s="49">
        <v>6.2958699999999999</v>
      </c>
      <c r="E5" s="49">
        <v>20</v>
      </c>
      <c r="F5" s="49">
        <v>41.427500000000002</v>
      </c>
      <c r="G5" s="49">
        <v>50</v>
      </c>
      <c r="H5" s="49">
        <v>52.872599999999998</v>
      </c>
    </row>
    <row r="6" spans="1:10">
      <c r="A6" t="s">
        <v>1111</v>
      </c>
      <c r="B6" s="49">
        <v>13.6221</v>
      </c>
      <c r="C6" s="49">
        <v>3.0632000000000001</v>
      </c>
      <c r="D6" s="49">
        <v>22.486899999999999</v>
      </c>
      <c r="E6" s="49">
        <v>20</v>
      </c>
      <c r="F6" s="49">
        <v>9.8569600000000008</v>
      </c>
      <c r="G6" s="49">
        <v>40</v>
      </c>
      <c r="H6" s="49">
        <v>24.147600000000001</v>
      </c>
    </row>
    <row r="7" spans="1:10">
      <c r="A7" t="s">
        <v>1112</v>
      </c>
      <c r="B7" s="49">
        <v>14.790100000000001</v>
      </c>
      <c r="C7" s="49">
        <v>6.1187699999999996</v>
      </c>
      <c r="D7" s="49">
        <v>41.370800000000003</v>
      </c>
      <c r="E7" s="49">
        <v>15</v>
      </c>
      <c r="F7" s="49">
        <v>5.4736500000000001</v>
      </c>
      <c r="G7" s="49">
        <v>40</v>
      </c>
      <c r="H7" s="49">
        <v>37.260100000000001</v>
      </c>
    </row>
    <row r="8" spans="1:10">
      <c r="A8" t="s">
        <v>1113</v>
      </c>
      <c r="B8" s="49">
        <v>25.366</v>
      </c>
      <c r="C8" s="49">
        <v>1.8050999999999999</v>
      </c>
      <c r="D8" s="49">
        <v>7.1162099999999997</v>
      </c>
      <c r="E8" s="49">
        <v>20</v>
      </c>
      <c r="F8" s="49">
        <v>22.607299999999999</v>
      </c>
      <c r="G8" s="49">
        <v>50</v>
      </c>
      <c r="H8" s="49">
        <v>29.224399999999999</v>
      </c>
    </row>
    <row r="9" spans="1:10">
      <c r="A9" t="s">
        <v>1114</v>
      </c>
      <c r="B9" s="49">
        <v>60.5062</v>
      </c>
      <c r="C9" s="49">
        <v>10.157</v>
      </c>
      <c r="D9" s="49">
        <v>16.786799999999999</v>
      </c>
      <c r="E9" s="49">
        <v>50</v>
      </c>
      <c r="F9" s="49">
        <v>42.812399999999997</v>
      </c>
      <c r="G9" s="49">
        <v>100</v>
      </c>
      <c r="H9" s="49">
        <v>83.927400000000006</v>
      </c>
    </row>
    <row r="10" spans="1:10">
      <c r="A10" t="s">
        <v>1115</v>
      </c>
      <c r="B10" s="49">
        <v>83.913399999999996</v>
      </c>
      <c r="C10" s="49">
        <v>6.2432499999999997</v>
      </c>
      <c r="D10" s="49">
        <v>7.4401099999999998</v>
      </c>
      <c r="E10" s="49">
        <v>40</v>
      </c>
      <c r="F10" s="49">
        <v>69.586699999999993</v>
      </c>
      <c r="G10" s="49">
        <v>100</v>
      </c>
      <c r="H10" s="49">
        <v>89.845200000000006</v>
      </c>
    </row>
    <row r="11" spans="1:10">
      <c r="A11" t="s">
        <v>1116</v>
      </c>
      <c r="B11" s="49">
        <v>35.345599999999997</v>
      </c>
      <c r="C11" s="49">
        <v>3.6289099999999999</v>
      </c>
      <c r="D11" s="49">
        <v>10.2669</v>
      </c>
      <c r="E11" s="49">
        <v>10</v>
      </c>
      <c r="F11" s="49">
        <v>30.9069</v>
      </c>
      <c r="G11" s="49">
        <v>50</v>
      </c>
      <c r="H11" s="49">
        <v>43.872999999999998</v>
      </c>
    </row>
    <row r="12" spans="1:10">
      <c r="A12" t="s">
        <v>1117</v>
      </c>
      <c r="B12" s="49">
        <v>72.826499999999996</v>
      </c>
      <c r="C12" s="49">
        <v>4.9166299999999996</v>
      </c>
      <c r="D12" s="49">
        <v>6.7511599999999996</v>
      </c>
      <c r="E12" s="49">
        <v>50</v>
      </c>
      <c r="F12" s="49">
        <v>64.725999999999999</v>
      </c>
      <c r="G12" s="49">
        <v>100</v>
      </c>
      <c r="H12" s="49">
        <v>83.537099999999995</v>
      </c>
    </row>
    <row r="13" spans="1:10">
      <c r="A13" t="s">
        <v>1118</v>
      </c>
      <c r="B13" s="49">
        <v>16.658999999999999</v>
      </c>
      <c r="C13" s="49">
        <v>3.976</v>
      </c>
      <c r="D13" s="49">
        <v>23.867000000000001</v>
      </c>
      <c r="E13" s="49">
        <v>10</v>
      </c>
      <c r="F13" s="49">
        <v>14.525700000000001</v>
      </c>
      <c r="G13" s="49">
        <v>25</v>
      </c>
      <c r="H13" s="49">
        <v>29.812000000000001</v>
      </c>
      <c r="J13" s="49"/>
    </row>
    <row r="14" spans="1:10">
      <c r="A14" t="s">
        <v>1119</v>
      </c>
      <c r="B14" s="49">
        <v>39.76</v>
      </c>
      <c r="C14" s="49">
        <v>14.7744</v>
      </c>
      <c r="D14" s="49">
        <v>37.158900000000003</v>
      </c>
      <c r="E14" s="49">
        <v>10</v>
      </c>
      <c r="F14" s="49">
        <v>2.8782299999999998</v>
      </c>
      <c r="G14" s="49">
        <v>50</v>
      </c>
      <c r="H14" s="49">
        <v>42.968499999999999</v>
      </c>
    </row>
    <row r="15" spans="1:10">
      <c r="A15" t="s">
        <v>1120</v>
      </c>
      <c r="B15" s="49">
        <v>-4.01083E-2</v>
      </c>
      <c r="C15" s="49">
        <v>0</v>
      </c>
      <c r="D15" s="49">
        <v>0</v>
      </c>
      <c r="E15" s="49">
        <v>0</v>
      </c>
      <c r="F15" s="49">
        <v>0</v>
      </c>
      <c r="G15" s="49">
        <v>0</v>
      </c>
      <c r="H15" s="49">
        <v>0</v>
      </c>
    </row>
    <row r="16" spans="1:10">
      <c r="A16" t="s">
        <v>1121</v>
      </c>
      <c r="B16" s="49">
        <v>-1.0842600000000001E-2</v>
      </c>
      <c r="C16" s="49">
        <v>0</v>
      </c>
      <c r="D16" s="49">
        <v>0</v>
      </c>
      <c r="E16" s="49">
        <v>0</v>
      </c>
      <c r="F16" s="49">
        <v>0</v>
      </c>
      <c r="G16" s="49">
        <v>0</v>
      </c>
      <c r="H16" s="49">
        <v>0</v>
      </c>
    </row>
    <row r="17" spans="1:8">
      <c r="A17" t="s">
        <v>1122</v>
      </c>
      <c r="B17" s="49">
        <v>17.9541</v>
      </c>
      <c r="C17" s="49">
        <v>0</v>
      </c>
      <c r="D17" s="49">
        <v>0</v>
      </c>
      <c r="E17" s="49">
        <v>0</v>
      </c>
      <c r="F17" s="49">
        <v>0</v>
      </c>
      <c r="G17" s="49">
        <v>0</v>
      </c>
      <c r="H17" s="49">
        <v>0</v>
      </c>
    </row>
    <row r="18" spans="1:8">
      <c r="A18" t="s">
        <v>1123</v>
      </c>
      <c r="B18" s="49">
        <v>0.57817300000000005</v>
      </c>
      <c r="C18" s="49">
        <v>0</v>
      </c>
      <c r="D18" s="49">
        <v>0</v>
      </c>
      <c r="E18" s="49">
        <v>0</v>
      </c>
      <c r="F18" s="49">
        <v>0</v>
      </c>
      <c r="G18" s="49">
        <v>0</v>
      </c>
      <c r="H18" s="49">
        <v>0</v>
      </c>
    </row>
    <row r="19" spans="1:8">
      <c r="A19" t="s">
        <v>1124</v>
      </c>
      <c r="B19" s="49">
        <v>0.42327300000000001</v>
      </c>
      <c r="C19" s="49">
        <v>0</v>
      </c>
      <c r="D19" s="49">
        <v>0</v>
      </c>
      <c r="E19" s="49">
        <v>0</v>
      </c>
      <c r="F19" s="49">
        <v>0</v>
      </c>
      <c r="G19" s="49">
        <v>0</v>
      </c>
      <c r="H19" s="49">
        <v>0</v>
      </c>
    </row>
    <row r="20" spans="1:8">
      <c r="A20" t="s">
        <v>1125</v>
      </c>
      <c r="B20" s="49">
        <v>0.252965</v>
      </c>
      <c r="C20" s="49">
        <v>2.3814199999999999</v>
      </c>
      <c r="D20" s="49">
        <v>9.4140499999999996</v>
      </c>
      <c r="E20" s="49">
        <v>0</v>
      </c>
      <c r="F20" s="49">
        <v>1.4501E-2</v>
      </c>
      <c r="G20" s="49">
        <v>0</v>
      </c>
      <c r="H20" s="49">
        <v>17.063099999999999</v>
      </c>
    </row>
    <row r="21" spans="1:8">
      <c r="A21" t="s">
        <v>1126</v>
      </c>
      <c r="B21" s="49">
        <v>1.92242</v>
      </c>
      <c r="C21" s="49">
        <v>8.7958099999999995</v>
      </c>
      <c r="D21" s="49">
        <v>4.57538</v>
      </c>
      <c r="E21" s="49">
        <v>0</v>
      </c>
      <c r="F21" s="49">
        <v>3.3669400000000002E-2</v>
      </c>
      <c r="G21" s="49">
        <v>0</v>
      </c>
      <c r="H21" s="49">
        <v>40.296999999999997</v>
      </c>
    </row>
    <row r="22" spans="1:8">
      <c r="A22" t="s">
        <v>1127</v>
      </c>
      <c r="B22" s="49">
        <v>165.21600000000001</v>
      </c>
      <c r="C22" s="49">
        <v>96.992400000000004</v>
      </c>
      <c r="D22" s="49">
        <v>0.58706400000000003</v>
      </c>
      <c r="E22" s="49">
        <v>0</v>
      </c>
      <c r="F22" s="49">
        <v>60.903399999999998</v>
      </c>
      <c r="G22" s="49">
        <v>0</v>
      </c>
      <c r="H22" s="49">
        <v>413.88900000000001</v>
      </c>
    </row>
    <row r="23" spans="1:8">
      <c r="A23" t="s">
        <v>1128</v>
      </c>
      <c r="B23" s="49">
        <v>110.785</v>
      </c>
      <c r="C23" s="49">
        <v>15.8927</v>
      </c>
      <c r="D23" s="49">
        <v>0.143456</v>
      </c>
      <c r="E23" s="49">
        <v>0</v>
      </c>
      <c r="F23" s="49">
        <v>59.029899999999998</v>
      </c>
      <c r="G23" s="49">
        <v>0</v>
      </c>
      <c r="H23" s="49">
        <v>129.11799999999999</v>
      </c>
    </row>
    <row r="24" spans="1:8">
      <c r="A24" t="s">
        <v>1129</v>
      </c>
      <c r="B24" s="49">
        <v>0.279696</v>
      </c>
      <c r="C24" s="49">
        <v>1.96069</v>
      </c>
      <c r="D24" s="49">
        <v>7.0100800000000003</v>
      </c>
      <c r="E24" s="49">
        <v>0</v>
      </c>
      <c r="F24" s="49">
        <v>1.55982E-2</v>
      </c>
      <c r="G24" s="49">
        <v>0</v>
      </c>
      <c r="H24" s="49">
        <v>9.5162800000000001</v>
      </c>
    </row>
    <row r="25" spans="1:8">
      <c r="A25" t="s">
        <v>1130</v>
      </c>
      <c r="B25" s="49">
        <v>3.6455299999999999</v>
      </c>
      <c r="C25" s="49">
        <v>4.58819</v>
      </c>
      <c r="D25" s="49">
        <v>1.25858</v>
      </c>
      <c r="E25" s="49">
        <v>0</v>
      </c>
      <c r="F25" s="49">
        <v>0.19022600000000001</v>
      </c>
      <c r="G25" s="49">
        <v>0</v>
      </c>
      <c r="H25" s="49">
        <v>13.7311</v>
      </c>
    </row>
    <row r="26" spans="1:8">
      <c r="A26" t="s">
        <v>1131</v>
      </c>
      <c r="B26" s="49">
        <v>2.3853200000000001E-2</v>
      </c>
      <c r="C26" s="49">
        <v>8.8120900000000002E-2</v>
      </c>
      <c r="D26" s="49">
        <v>3.6943000000000001</v>
      </c>
      <c r="E26" s="49">
        <v>0</v>
      </c>
      <c r="F26" s="173">
        <v>2.7518299999999998E-3</v>
      </c>
      <c r="G26" s="49">
        <v>0</v>
      </c>
      <c r="H26" s="49">
        <v>0.59630499999999997</v>
      </c>
    </row>
    <row r="27" spans="1:8">
      <c r="A27" t="s">
        <v>1132</v>
      </c>
      <c r="B27" s="173">
        <v>-8.7290500000000007E-6</v>
      </c>
      <c r="C27" s="49">
        <v>3.5523600000000002E-2</v>
      </c>
      <c r="D27" s="49">
        <v>-4069.58</v>
      </c>
      <c r="E27" s="49">
        <v>0</v>
      </c>
      <c r="F27" s="49">
        <v>-0.19427700000000001</v>
      </c>
      <c r="G27" s="49">
        <v>0</v>
      </c>
      <c r="H27" s="49">
        <v>0.25821300000000003</v>
      </c>
    </row>
    <row r="28" spans="1:8">
      <c r="A28" t="s">
        <v>1133</v>
      </c>
      <c r="B28" s="49">
        <v>7.9375000000000001E-2</v>
      </c>
      <c r="C28" s="49">
        <v>0.20871200000000001</v>
      </c>
      <c r="D28" s="49">
        <v>2.6294400000000002</v>
      </c>
      <c r="E28" s="49">
        <v>0</v>
      </c>
      <c r="F28" s="49">
        <v>5.1942300000000002E-3</v>
      </c>
      <c r="G28" s="49">
        <v>0</v>
      </c>
      <c r="H28" s="49">
        <v>0.83929799999999999</v>
      </c>
    </row>
    <row r="29" spans="1:8">
      <c r="A29" t="s">
        <v>1134</v>
      </c>
      <c r="B29" s="49">
        <v>78.128699999999995</v>
      </c>
      <c r="C29" s="49">
        <v>20.551100000000002</v>
      </c>
      <c r="D29" s="49">
        <v>0.263042</v>
      </c>
      <c r="E29" s="49">
        <v>0</v>
      </c>
      <c r="F29" s="49">
        <v>58.733800000000002</v>
      </c>
      <c r="G29" s="49">
        <v>0</v>
      </c>
      <c r="H29" s="49">
        <v>129.39099999999999</v>
      </c>
    </row>
    <row r="30" spans="1:8">
      <c r="A30" t="s">
        <v>1135</v>
      </c>
      <c r="B30" s="49">
        <v>49.759700000000002</v>
      </c>
      <c r="C30" s="49">
        <v>3.8732199999999999</v>
      </c>
      <c r="D30" s="49">
        <v>7.7838599999999994E-2</v>
      </c>
      <c r="E30" s="49">
        <v>0</v>
      </c>
      <c r="F30" s="49">
        <v>34.995899999999999</v>
      </c>
      <c r="G30" s="49">
        <v>0</v>
      </c>
      <c r="H30" s="49">
        <v>53.267200000000003</v>
      </c>
    </row>
    <row r="31" spans="1:8">
      <c r="A31" t="s">
        <v>1136</v>
      </c>
      <c r="B31" s="49">
        <v>366.33100000000002</v>
      </c>
      <c r="C31" s="49">
        <v>25.106999999999999</v>
      </c>
      <c r="D31" s="49">
        <v>6.8536399999999997E-2</v>
      </c>
      <c r="E31" s="49">
        <v>0</v>
      </c>
      <c r="F31" s="49">
        <v>319.18700000000001</v>
      </c>
      <c r="G31" s="49">
        <v>0</v>
      </c>
      <c r="H31" s="49">
        <v>423.86</v>
      </c>
    </row>
    <row r="32" spans="1:8">
      <c r="A32" t="s">
        <v>1137</v>
      </c>
      <c r="B32" s="49">
        <v>0.147901</v>
      </c>
      <c r="C32" s="49">
        <v>6.1187699999999998E-2</v>
      </c>
      <c r="D32" s="49">
        <v>0.41370800000000002</v>
      </c>
      <c r="E32" s="49">
        <v>0.15</v>
      </c>
      <c r="F32" s="49">
        <v>5.47365E-2</v>
      </c>
      <c r="G32" s="49">
        <v>0.4</v>
      </c>
      <c r="H32" s="49">
        <v>0.37260100000000002</v>
      </c>
    </row>
    <row r="33" spans="1:8">
      <c r="A33" t="s">
        <v>1138</v>
      </c>
      <c r="B33" s="49">
        <v>0.25520199999999998</v>
      </c>
      <c r="C33" s="49">
        <v>3.8325600000000001E-2</v>
      </c>
      <c r="D33" s="49">
        <v>0.15017800000000001</v>
      </c>
      <c r="E33" s="49">
        <v>0</v>
      </c>
      <c r="F33" s="49">
        <v>0.227877</v>
      </c>
      <c r="G33" s="49">
        <v>0</v>
      </c>
      <c r="H33" s="49">
        <v>0.32975100000000002</v>
      </c>
    </row>
    <row r="34" spans="1:8">
      <c r="A34" t="s">
        <v>1139</v>
      </c>
      <c r="B34" s="49">
        <v>0.16658999999999999</v>
      </c>
      <c r="C34" s="49">
        <v>3.9759999999999997E-2</v>
      </c>
      <c r="D34" s="49">
        <v>0.23866999999999999</v>
      </c>
      <c r="E34" s="49">
        <v>0.1</v>
      </c>
      <c r="F34" s="49">
        <v>0.145257</v>
      </c>
      <c r="G34" s="49">
        <v>0.25</v>
      </c>
      <c r="H34" s="49">
        <v>0.29812</v>
      </c>
    </row>
    <row r="35" spans="1:8">
      <c r="A35" t="s">
        <v>1140</v>
      </c>
      <c r="B35" s="49">
        <v>8.2402000000000003E-2</v>
      </c>
      <c r="C35" s="49">
        <v>2.7697900000000001E-2</v>
      </c>
      <c r="D35" s="49">
        <v>0.33613199999999999</v>
      </c>
      <c r="E35" s="49">
        <v>0</v>
      </c>
      <c r="F35" s="49">
        <v>5.5126599999999998E-2</v>
      </c>
      <c r="G35" s="49">
        <v>0</v>
      </c>
      <c r="H35" s="49">
        <v>0.17790900000000001</v>
      </c>
    </row>
    <row r="36" spans="1:8">
      <c r="A36" t="s">
        <v>1141</v>
      </c>
      <c r="B36" s="49">
        <v>0.133684</v>
      </c>
      <c r="C36" s="49">
        <v>9.2085899999999998E-2</v>
      </c>
      <c r="D36" s="49">
        <v>0.68883000000000005</v>
      </c>
      <c r="E36" s="49">
        <v>0</v>
      </c>
      <c r="F36" s="49">
        <v>4.9996199999999998E-2</v>
      </c>
      <c r="G36" s="49">
        <v>0</v>
      </c>
      <c r="H36" s="49">
        <v>0.46882299999999999</v>
      </c>
    </row>
    <row r="37" spans="1:8">
      <c r="A37" t="s">
        <v>1142</v>
      </c>
      <c r="B37" s="49">
        <v>0.39760000000000001</v>
      </c>
      <c r="C37" s="49">
        <v>0.14774399999999999</v>
      </c>
      <c r="D37" s="49">
        <v>0.371589</v>
      </c>
      <c r="E37" s="49">
        <v>0.1</v>
      </c>
      <c r="F37" s="49">
        <v>2.87823E-2</v>
      </c>
      <c r="G37" s="49">
        <v>0.5</v>
      </c>
      <c r="H37" s="49">
        <v>0.42968499999999998</v>
      </c>
    </row>
    <row r="38" spans="1:8">
      <c r="A38" t="s">
        <v>1143</v>
      </c>
      <c r="B38" s="49">
        <v>-11.7987</v>
      </c>
      <c r="C38" s="49">
        <v>191.34899999999999</v>
      </c>
      <c r="D38" s="49">
        <v>-16.2178</v>
      </c>
      <c r="E38" s="49">
        <v>0</v>
      </c>
      <c r="F38" s="49">
        <v>-312.10599999999999</v>
      </c>
      <c r="G38" s="49">
        <v>0</v>
      </c>
      <c r="H38" s="49">
        <v>856.04899999999998</v>
      </c>
    </row>
    <row r="39" spans="1:8">
      <c r="A39" t="s">
        <v>1144</v>
      </c>
      <c r="B39" s="49">
        <v>7.4040100000000004</v>
      </c>
      <c r="C39" s="49">
        <v>35.860900000000001</v>
      </c>
      <c r="D39" s="49">
        <v>4.8434400000000002</v>
      </c>
      <c r="E39" s="49">
        <v>0</v>
      </c>
      <c r="F39" s="49">
        <v>-63.814700000000002</v>
      </c>
      <c r="G39" s="49">
        <v>0</v>
      </c>
      <c r="H39" s="49">
        <v>90.721599999999995</v>
      </c>
    </row>
    <row r="40" spans="1:8">
      <c r="A40" t="s">
        <v>1145</v>
      </c>
      <c r="B40" s="49">
        <v>12.876300000000001</v>
      </c>
      <c r="C40" s="49">
        <v>7.5458400000000001</v>
      </c>
      <c r="D40" s="49">
        <v>0.58602600000000005</v>
      </c>
      <c r="E40" s="49">
        <v>0</v>
      </c>
      <c r="F40" s="49">
        <v>-2.9697900000000002</v>
      </c>
      <c r="G40" s="49">
        <v>0</v>
      </c>
      <c r="H40" s="49">
        <v>24.559200000000001</v>
      </c>
    </row>
    <row r="41" spans="1:8">
      <c r="A41" t="s">
        <v>1146</v>
      </c>
      <c r="B41" s="49">
        <v>2.9007099999999999E-3</v>
      </c>
      <c r="C41" s="49">
        <v>0.28934700000000002</v>
      </c>
      <c r="D41" s="49">
        <v>99.750399999999999</v>
      </c>
      <c r="E41" s="49">
        <v>0</v>
      </c>
      <c r="F41" s="49">
        <v>-0.49661300000000003</v>
      </c>
      <c r="G41" s="49">
        <v>0</v>
      </c>
      <c r="H41" s="49">
        <v>0.92953699999999995</v>
      </c>
    </row>
    <row r="42" spans="1:8">
      <c r="A42" t="s">
        <v>1147</v>
      </c>
      <c r="B42" s="49">
        <v>3.1298100000000002E-2</v>
      </c>
      <c r="C42" s="49">
        <v>0.112612</v>
      </c>
      <c r="D42" s="49">
        <v>3.5980400000000001</v>
      </c>
      <c r="E42" s="49">
        <v>0</v>
      </c>
      <c r="F42" s="49">
        <v>-0.138406</v>
      </c>
      <c r="G42" s="49">
        <v>0</v>
      </c>
      <c r="H42" s="49">
        <v>0.42466199999999998</v>
      </c>
    </row>
    <row r="43" spans="1:8">
      <c r="A43" t="s">
        <v>1148</v>
      </c>
      <c r="B43" s="49">
        <v>6.6228800000000004E-2</v>
      </c>
      <c r="C43" s="49">
        <v>7.1144100000000002E-2</v>
      </c>
      <c r="D43" s="49">
        <v>1.07422</v>
      </c>
      <c r="E43" s="49">
        <v>0</v>
      </c>
      <c r="F43" s="49">
        <v>-8.5409499999999999E-2</v>
      </c>
      <c r="G43" s="49">
        <v>0</v>
      </c>
      <c r="H43" s="49">
        <v>0.17250199999999999</v>
      </c>
    </row>
    <row r="44" spans="1:8">
      <c r="A44" t="s">
        <v>1149</v>
      </c>
      <c r="B44" s="49">
        <v>10.5509</v>
      </c>
      <c r="C44" s="49">
        <v>16.312799999999999</v>
      </c>
      <c r="D44" s="49">
        <v>1.5461</v>
      </c>
      <c r="E44" s="49">
        <v>0</v>
      </c>
      <c r="F44" s="49">
        <v>-33.5702</v>
      </c>
      <c r="G44" s="49">
        <v>0</v>
      </c>
      <c r="H44" s="49">
        <v>51.720500000000001</v>
      </c>
    </row>
    <row r="45" spans="1:8">
      <c r="A45" t="s">
        <v>1150</v>
      </c>
      <c r="B45" s="49">
        <v>48.154499999999999</v>
      </c>
      <c r="C45" s="49">
        <v>12.9199</v>
      </c>
      <c r="D45" s="49">
        <v>0.26829999999999998</v>
      </c>
      <c r="E45" s="49">
        <v>0</v>
      </c>
      <c r="F45" s="49">
        <v>30.673500000000001</v>
      </c>
      <c r="G45" s="49">
        <v>0</v>
      </c>
      <c r="H45" s="49">
        <v>91.843599999999995</v>
      </c>
    </row>
    <row r="46" spans="1:8">
      <c r="A46" t="s">
        <v>1151</v>
      </c>
      <c r="B46" s="49">
        <v>32.710599999999999</v>
      </c>
      <c r="C46" s="49">
        <v>3.7979500000000002</v>
      </c>
      <c r="D46" s="49">
        <v>0.116107</v>
      </c>
      <c r="E46" s="49">
        <v>0</v>
      </c>
      <c r="F46" s="49">
        <v>27.226299999999998</v>
      </c>
      <c r="G46" s="49">
        <v>0</v>
      </c>
      <c r="H46" s="49">
        <v>45.114100000000001</v>
      </c>
    </row>
    <row r="47" spans="1:8">
      <c r="A47" t="s">
        <v>1152</v>
      </c>
      <c r="B47" s="49">
        <v>2.63801</v>
      </c>
      <c r="C47" s="49">
        <v>1.6744600000000001</v>
      </c>
      <c r="D47" s="49">
        <v>0.63474399999999997</v>
      </c>
      <c r="E47" s="49">
        <v>0</v>
      </c>
      <c r="F47" s="49">
        <v>0.73783200000000004</v>
      </c>
      <c r="G47" s="49">
        <v>0</v>
      </c>
      <c r="H47" s="49">
        <v>9.3490500000000001</v>
      </c>
    </row>
    <row r="48" spans="1:8">
      <c r="A48" t="s">
        <v>1153</v>
      </c>
      <c r="B48" s="49">
        <v>1.6283799999999999</v>
      </c>
      <c r="C48" s="49">
        <v>0.12526100000000001</v>
      </c>
      <c r="D48" s="49">
        <v>7.6923500000000006E-2</v>
      </c>
      <c r="E48" s="49">
        <v>0</v>
      </c>
      <c r="F48" s="49">
        <v>1.2097500000000001</v>
      </c>
      <c r="G48" s="49">
        <v>0</v>
      </c>
      <c r="H48" s="49">
        <v>1.75284</v>
      </c>
    </row>
    <row r="50" spans="1:4">
      <c r="A50" t="str">
        <f>lang!B7</f>
        <v>긍정감정</v>
      </c>
      <c r="B50" s="134">
        <f>SUM(B9:B12)</f>
        <v>252.5917</v>
      </c>
      <c r="C50" s="134"/>
      <c r="D50" s="134">
        <f t="shared" ref="D50" si="0">SUM(D9:D12)</f>
        <v>41.244969999999995</v>
      </c>
    </row>
    <row r="51" spans="1:4">
      <c r="A51" t="str">
        <f>lang!B8</f>
        <v>부정감정</v>
      </c>
      <c r="B51" s="134">
        <f>SUM(B5:B8)</f>
        <v>99.380199999999988</v>
      </c>
      <c r="C51" s="134"/>
      <c r="D51" s="134">
        <f t="shared" ref="D51" si="1">SUM(D5:D8)</f>
        <v>77.269779999999997</v>
      </c>
    </row>
    <row r="52" spans="1:4">
      <c r="A52" t="str">
        <f>lang!B9</f>
        <v>생리감정</v>
      </c>
      <c r="B52" s="134">
        <f>SUM(B13:B14)</f>
        <v>56.418999999999997</v>
      </c>
      <c r="C52" s="134"/>
      <c r="D52" s="134">
        <f t="shared" ref="D52" si="2">SUM(D13:D14)</f>
        <v>61.025900000000007</v>
      </c>
    </row>
    <row r="53" spans="1:4">
      <c r="B53" s="50">
        <f>SUM(B50:B52)</f>
        <v>408.39089999999999</v>
      </c>
      <c r="D53" s="50">
        <f>SUM(D50:D52)</f>
        <v>179.54065</v>
      </c>
    </row>
    <row r="54" spans="1:4">
      <c r="A54" t="str">
        <f>lang!B7</f>
        <v>긍정감정</v>
      </c>
      <c r="B54" s="135">
        <f>IF(B$53&lt;&gt;0,B50/B$53,0)</f>
        <v>0.61850472182411509</v>
      </c>
      <c r="C54" s="135"/>
      <c r="D54" s="135">
        <f>IF(D$53&lt;&gt;0,D50/D$53,0)</f>
        <v>0.22972496757698044</v>
      </c>
    </row>
    <row r="55" spans="1:4">
      <c r="A55" t="str">
        <f>lang!B8</f>
        <v>부정감정</v>
      </c>
      <c r="B55" s="135">
        <f>IF(B$53&lt;&gt;0,B51/B$53,0)</f>
        <v>0.24334577484464026</v>
      </c>
      <c r="C55" s="135"/>
      <c r="D55" s="135">
        <f>IF(D$53&lt;&gt;0,D51/D$53,0)</f>
        <v>0.43037484825859768</v>
      </c>
    </row>
    <row r="56" spans="1:4">
      <c r="A56" t="str">
        <f>lang!B9</f>
        <v>생리감정</v>
      </c>
      <c r="B56" s="135">
        <f>IF(B$53&lt;&gt;0,B52/B$53,0)</f>
        <v>0.13814950333124465</v>
      </c>
      <c r="C56" s="135"/>
      <c r="D56" s="135">
        <f>IF(D$53&lt;&gt;0,D52/D$53,0)</f>
        <v>0.33990018416442186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47.515000000000001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3.39869E-2</v>
      </c>
      <c r="B17" s="49">
        <v>3.39869E-2</v>
      </c>
    </row>
    <row r="18" spans="1:2">
      <c r="A18" s="49">
        <v>6.6666699999999995E-2</v>
      </c>
      <c r="B18" s="49">
        <v>6.6666699999999995E-2</v>
      </c>
    </row>
    <row r="19" spans="1:2">
      <c r="A19" s="49">
        <v>3.39869E-2</v>
      </c>
      <c r="B19" s="49">
        <v>3.39869E-2</v>
      </c>
    </row>
    <row r="20" spans="1:2">
      <c r="A20" s="49">
        <v>8.7581699999999998E-2</v>
      </c>
      <c r="B20" s="49">
        <v>8.7581699999999998E-2</v>
      </c>
    </row>
    <row r="21" spans="1:2">
      <c r="A21" s="49">
        <v>1.6993500000000002E-2</v>
      </c>
      <c r="B21" s="49">
        <v>1.6993500000000002E-2</v>
      </c>
    </row>
    <row r="22" spans="1:2">
      <c r="A22" s="49">
        <v>6.9280999999999995E-2</v>
      </c>
      <c r="B22" s="49">
        <v>6.9280999999999995E-2</v>
      </c>
    </row>
    <row r="23" spans="1:2">
      <c r="A23" s="49">
        <v>0.130719</v>
      </c>
      <c r="B23" s="49">
        <v>0.130719</v>
      </c>
    </row>
    <row r="24" spans="1:2">
      <c r="A24" s="49">
        <v>0.22875799999999999</v>
      </c>
      <c r="B24" s="49">
        <v>0.22875799999999999</v>
      </c>
    </row>
    <row r="25" spans="1:2">
      <c r="A25" s="49">
        <v>0.17385600000000001</v>
      </c>
      <c r="B25" s="49">
        <v>0.17385600000000001</v>
      </c>
    </row>
    <row r="26" spans="1:2">
      <c r="A26" s="49">
        <v>0.19738600000000001</v>
      </c>
      <c r="B26" s="49">
        <v>0.19738600000000001</v>
      </c>
    </row>
    <row r="27" spans="1:2">
      <c r="A27" s="49">
        <v>0.16339899999999999</v>
      </c>
      <c r="B27" s="49">
        <v>0.16339899999999999</v>
      </c>
    </row>
    <row r="28" spans="1:2">
      <c r="A28" s="49">
        <v>0.258824</v>
      </c>
      <c r="B28" s="49">
        <v>0.258824</v>
      </c>
    </row>
    <row r="29" spans="1:2">
      <c r="A29" s="49">
        <v>0</v>
      </c>
      <c r="B29" s="49">
        <v>0</v>
      </c>
    </row>
    <row r="30" spans="1:2">
      <c r="A30" s="49">
        <v>0</v>
      </c>
      <c r="B30" s="49">
        <v>0</v>
      </c>
    </row>
    <row r="31" spans="1:2">
      <c r="A31" s="49">
        <v>2.2222200000000001E-2</v>
      </c>
      <c r="B31" s="49">
        <v>2.2222200000000001E-2</v>
      </c>
    </row>
    <row r="32" spans="1:2">
      <c r="A32" s="49">
        <v>0.17254900000000001</v>
      </c>
      <c r="B32" s="49">
        <v>0.17254900000000001</v>
      </c>
    </row>
    <row r="33" spans="1:2">
      <c r="A33" s="49">
        <v>0.91895400000000005</v>
      </c>
      <c r="B33" s="49">
        <v>0.91895400000000005</v>
      </c>
    </row>
    <row r="34" spans="1:2">
      <c r="A34" s="49">
        <v>4.8365999999999999E-2</v>
      </c>
      <c r="B34" s="49">
        <v>4.8365999999999999E-2</v>
      </c>
    </row>
    <row r="35" spans="1:2">
      <c r="A35" s="49">
        <v>8.6274500000000004E-2</v>
      </c>
      <c r="B35" s="49">
        <v>8.6274500000000004E-2</v>
      </c>
    </row>
    <row r="36" spans="1:2">
      <c r="A36" s="49">
        <v>1.04183</v>
      </c>
      <c r="B36" s="49">
        <v>1.04183</v>
      </c>
    </row>
    <row r="37" spans="1:2">
      <c r="A37" s="49">
        <v>3.8771200000000001</v>
      </c>
      <c r="B37" s="49">
        <v>3.8771200000000001</v>
      </c>
    </row>
    <row r="38" spans="1:2">
      <c r="A38" s="49">
        <v>0.40653600000000001</v>
      </c>
      <c r="B38" s="49">
        <v>0.40653600000000001</v>
      </c>
    </row>
    <row r="39" spans="1:2">
      <c r="A39" s="49">
        <v>1.45621</v>
      </c>
      <c r="B39" s="49">
        <v>1.45621</v>
      </c>
    </row>
    <row r="40" spans="1:2">
      <c r="A40" s="49">
        <v>3.7986900000000001</v>
      </c>
      <c r="B40" s="49">
        <v>3.7986900000000001</v>
      </c>
    </row>
    <row r="41" spans="1:2">
      <c r="A41" s="49">
        <v>8.4901999999999997</v>
      </c>
      <c r="B41" s="49">
        <v>8.4901999999999997</v>
      </c>
    </row>
    <row r="42" spans="1:2">
      <c r="A42" s="49">
        <v>3.6287600000000002</v>
      </c>
      <c r="B42" s="49">
        <v>3.6287600000000002</v>
      </c>
    </row>
    <row r="43" spans="1:2">
      <c r="A43" s="49">
        <v>4.7359499999999999</v>
      </c>
      <c r="B43" s="49">
        <v>4.7359499999999999</v>
      </c>
    </row>
    <row r="44" spans="1:2">
      <c r="A44" s="49">
        <v>11.1699</v>
      </c>
      <c r="B44" s="49">
        <v>11.1699</v>
      </c>
    </row>
    <row r="45" spans="1:2">
      <c r="A45" s="49">
        <v>6.5346399999999996</v>
      </c>
      <c r="B45" s="49">
        <v>6.5346399999999996</v>
      </c>
    </row>
    <row r="46" spans="1:2">
      <c r="A46" s="49">
        <v>11.819599999999999</v>
      </c>
      <c r="B46" s="49">
        <v>11.819599999999999</v>
      </c>
    </row>
    <row r="47" spans="1:2">
      <c r="A47" s="49">
        <v>6.74641</v>
      </c>
      <c r="B47" s="49">
        <v>6.74641</v>
      </c>
    </row>
    <row r="48" spans="1:2">
      <c r="A48" s="49">
        <v>10.832700000000001</v>
      </c>
      <c r="B48" s="49">
        <v>10.832700000000001</v>
      </c>
    </row>
    <row r="49" spans="1:2">
      <c r="A49" s="49">
        <v>7.4522899999999996</v>
      </c>
      <c r="B49" s="49">
        <v>7.4522899999999996</v>
      </c>
    </row>
    <row r="50" spans="1:2">
      <c r="A50" s="49">
        <v>6.1830100000000003</v>
      </c>
      <c r="B50" s="49">
        <v>6.1830100000000003</v>
      </c>
    </row>
    <row r="51" spans="1:2">
      <c r="A51" s="49">
        <v>4.8745099999999999</v>
      </c>
      <c r="B51" s="49">
        <v>4.8745099999999999</v>
      </c>
    </row>
    <row r="52" spans="1:2">
      <c r="A52" s="49">
        <v>3.0954199999999998</v>
      </c>
      <c r="B52" s="49">
        <v>3.0954199999999998</v>
      </c>
    </row>
    <row r="53" spans="1:2">
      <c r="A53" s="49">
        <v>2.27582</v>
      </c>
      <c r="B53" s="49">
        <v>2.27582</v>
      </c>
    </row>
    <row r="54" spans="1:2">
      <c r="A54" s="49">
        <v>3.8902000000000001</v>
      </c>
      <c r="B54" s="49">
        <v>3.8902000000000001</v>
      </c>
    </row>
    <row r="55" spans="1:2">
      <c r="A55" s="49">
        <v>1.6392199999999999</v>
      </c>
      <c r="B55" s="49">
        <v>1.6392199999999999</v>
      </c>
    </row>
    <row r="56" spans="1:2">
      <c r="A56" s="49">
        <v>1.53464</v>
      </c>
      <c r="B56" s="49">
        <v>1.53464</v>
      </c>
    </row>
    <row r="57" spans="1:2">
      <c r="A57" s="49">
        <v>1.7032700000000001</v>
      </c>
      <c r="B57" s="49">
        <v>1.7032700000000001</v>
      </c>
    </row>
    <row r="58" spans="1:2">
      <c r="A58" s="49">
        <v>0.84313700000000003</v>
      </c>
      <c r="B58" s="49">
        <v>0.84313700000000003</v>
      </c>
    </row>
    <row r="59" spans="1:2">
      <c r="A59" s="49">
        <v>0.66928100000000001</v>
      </c>
      <c r="B59" s="49">
        <v>0.66928100000000001</v>
      </c>
    </row>
    <row r="60" spans="1:2">
      <c r="A60" s="49">
        <v>0.68235299999999999</v>
      </c>
      <c r="B60" s="49">
        <v>0.68235299999999999</v>
      </c>
    </row>
    <row r="61" spans="1:2">
      <c r="A61" s="49">
        <v>0.414379</v>
      </c>
      <c r="B61" s="49">
        <v>0.414379</v>
      </c>
    </row>
    <row r="62" spans="1:2">
      <c r="A62" s="49">
        <v>0.30326799999999998</v>
      </c>
      <c r="B62" s="49">
        <v>0.30326799999999998</v>
      </c>
    </row>
    <row r="63" spans="1:2">
      <c r="A63" s="49">
        <v>0.181699</v>
      </c>
      <c r="B63" s="49">
        <v>0.181699</v>
      </c>
    </row>
    <row r="64" spans="1:2">
      <c r="A64" s="49">
        <v>0.17124200000000001</v>
      </c>
      <c r="B64" s="49">
        <v>0.17124200000000001</v>
      </c>
    </row>
    <row r="65" spans="1:2">
      <c r="A65" s="49">
        <v>9.2810500000000004E-2</v>
      </c>
      <c r="B65" s="49">
        <v>9.2810500000000004E-2</v>
      </c>
    </row>
    <row r="66" spans="1:2">
      <c r="A66" s="49">
        <v>0.29150300000000001</v>
      </c>
      <c r="B66" s="49">
        <v>0.29150300000000001</v>
      </c>
    </row>
    <row r="67" spans="1:2">
      <c r="A67" s="49">
        <v>0.48758200000000002</v>
      </c>
      <c r="B67" s="49">
        <v>0.48758200000000002</v>
      </c>
    </row>
    <row r="68" spans="1:2">
      <c r="A68" s="49">
        <v>0.377778</v>
      </c>
      <c r="B68" s="49">
        <v>0.377778</v>
      </c>
    </row>
    <row r="69" spans="1:2">
      <c r="A69" s="49">
        <v>0.72679700000000003</v>
      </c>
      <c r="B69" s="49">
        <v>0.72679700000000003</v>
      </c>
    </row>
    <row r="70" spans="1:2">
      <c r="A70" s="49">
        <v>0.83006500000000005</v>
      </c>
      <c r="B70" s="49">
        <v>0.83006500000000005</v>
      </c>
    </row>
    <row r="71" spans="1:2">
      <c r="A71" s="49">
        <v>0.90326799999999996</v>
      </c>
      <c r="B71" s="49">
        <v>0.90326799999999996</v>
      </c>
    </row>
    <row r="72" spans="1:2">
      <c r="A72" s="49">
        <v>1.6692800000000001</v>
      </c>
      <c r="B72" s="49">
        <v>1.6692800000000001</v>
      </c>
    </row>
    <row r="73" spans="1:2">
      <c r="A73" s="49">
        <v>1.1738599999999999</v>
      </c>
      <c r="B73" s="49">
        <v>1.1738599999999999</v>
      </c>
    </row>
    <row r="74" spans="1:2">
      <c r="A74" s="49">
        <v>1.51111</v>
      </c>
      <c r="B74" s="49">
        <v>1.51111</v>
      </c>
    </row>
    <row r="75" spans="1:2">
      <c r="A75" s="49">
        <v>2.0771199999999999</v>
      </c>
      <c r="B75" s="49">
        <v>2.0771199999999999</v>
      </c>
    </row>
    <row r="76" spans="1:2">
      <c r="A76" s="49">
        <v>2.6013099999999998</v>
      </c>
      <c r="B76" s="49">
        <v>2.6013099999999998</v>
      </c>
    </row>
    <row r="77" spans="1:2">
      <c r="A77" s="49">
        <v>2.1320299999999999</v>
      </c>
      <c r="B77" s="49">
        <v>2.1320299999999999</v>
      </c>
    </row>
    <row r="78" spans="1:2">
      <c r="A78" s="49">
        <v>2.9764699999999999</v>
      </c>
      <c r="B78" s="49">
        <v>2.9764699999999999</v>
      </c>
    </row>
    <row r="79" spans="1:2">
      <c r="A79" s="49">
        <v>3.7267999999999999</v>
      </c>
      <c r="B79" s="49">
        <v>3.7267999999999999</v>
      </c>
    </row>
    <row r="80" spans="1:2">
      <c r="A80" s="49">
        <v>3.47451</v>
      </c>
      <c r="B80" s="49">
        <v>3.47451</v>
      </c>
    </row>
    <row r="81" spans="1:2">
      <c r="A81" s="49">
        <v>2.7346400000000002</v>
      </c>
      <c r="B81" s="49">
        <v>2.7346400000000002</v>
      </c>
    </row>
    <row r="82" spans="1:2">
      <c r="A82" s="49">
        <v>2.9856199999999999</v>
      </c>
      <c r="B82" s="49">
        <v>2.9856199999999999</v>
      </c>
    </row>
    <row r="83" spans="1:2">
      <c r="A83" s="49">
        <v>4.4026100000000001</v>
      </c>
      <c r="B83" s="49">
        <v>4.4026100000000001</v>
      </c>
    </row>
    <row r="84" spans="1:2">
      <c r="A84" s="49">
        <v>2.2274500000000002</v>
      </c>
      <c r="B84" s="49">
        <v>2.2274500000000002</v>
      </c>
    </row>
    <row r="85" spans="1:2">
      <c r="A85" s="49">
        <v>3.5045799999999998</v>
      </c>
      <c r="B85" s="49">
        <v>3.5045799999999998</v>
      </c>
    </row>
    <row r="86" spans="1:2">
      <c r="A86" s="49">
        <v>3.9385599999999998</v>
      </c>
      <c r="B86" s="49">
        <v>3.9385599999999998</v>
      </c>
    </row>
    <row r="87" spans="1:2">
      <c r="A87" s="49">
        <v>0</v>
      </c>
      <c r="B87" s="49">
        <v>0</v>
      </c>
    </row>
    <row r="88" spans="1:2">
      <c r="A88" s="49">
        <v>3.7790900000000001</v>
      </c>
      <c r="B88" s="49">
        <v>3.7790900000000001</v>
      </c>
    </row>
    <row r="89" spans="1:2">
      <c r="A89" s="49">
        <v>4.1189499999999999</v>
      </c>
      <c r="B89" s="49">
        <v>4.1189499999999999</v>
      </c>
    </row>
    <row r="90" spans="1:2">
      <c r="A90" s="49">
        <v>4.5320299999999998</v>
      </c>
      <c r="B90" s="49">
        <v>4.5320299999999998</v>
      </c>
    </row>
    <row r="91" spans="1:2">
      <c r="A91" s="49">
        <v>2.9163399999999999</v>
      </c>
      <c r="B91" s="49">
        <v>2.9163399999999999</v>
      </c>
    </row>
    <row r="92" spans="1:2">
      <c r="A92" s="49">
        <v>4.3058800000000002</v>
      </c>
      <c r="B92" s="49">
        <v>4.3058800000000002</v>
      </c>
    </row>
    <row r="93" spans="1:2">
      <c r="A93" s="49">
        <v>8.5803899999999995</v>
      </c>
      <c r="B93" s="49">
        <v>8.5803899999999995</v>
      </c>
    </row>
    <row r="94" spans="1:2">
      <c r="A94" s="49">
        <v>6.87974</v>
      </c>
      <c r="B94" s="49">
        <v>6.87974</v>
      </c>
    </row>
    <row r="95" spans="1:2">
      <c r="A95" s="49">
        <v>4.1817000000000002</v>
      </c>
      <c r="B95" s="49">
        <v>4.1817000000000002</v>
      </c>
    </row>
    <row r="96" spans="1:2">
      <c r="A96" s="49">
        <v>9.7503299999999999</v>
      </c>
      <c r="B96" s="49">
        <v>9.7503299999999999</v>
      </c>
    </row>
    <row r="97" spans="1:2">
      <c r="A97" s="49">
        <v>9.1189499999999999</v>
      </c>
      <c r="B97" s="49">
        <v>9.1189499999999999</v>
      </c>
    </row>
    <row r="98" spans="1:2">
      <c r="A98" s="49">
        <v>11.298</v>
      </c>
      <c r="B98" s="49">
        <v>11.298</v>
      </c>
    </row>
    <row r="99" spans="1:2">
      <c r="A99" s="49">
        <v>12.552899999999999</v>
      </c>
      <c r="B99" s="49">
        <v>12.552899999999999</v>
      </c>
    </row>
    <row r="100" spans="1:2">
      <c r="A100" s="49">
        <v>13.313700000000001</v>
      </c>
      <c r="B100" s="49">
        <v>13.313700000000001</v>
      </c>
    </row>
    <row r="101" spans="1:2">
      <c r="A101" s="49">
        <v>13.4575</v>
      </c>
      <c r="B101" s="49">
        <v>13.4575</v>
      </c>
    </row>
    <row r="102" spans="1:2">
      <c r="A102" s="49">
        <v>16.548999999999999</v>
      </c>
      <c r="B102" s="49">
        <v>16.548999999999999</v>
      </c>
    </row>
    <row r="103" spans="1:2">
      <c r="A103" s="49">
        <v>12.558199999999999</v>
      </c>
      <c r="B103" s="49">
        <v>12.558199999999999</v>
      </c>
    </row>
    <row r="104" spans="1:2">
      <c r="A104" s="49">
        <v>11.3765</v>
      </c>
      <c r="B104" s="49">
        <v>11.3765</v>
      </c>
    </row>
    <row r="105" spans="1:2">
      <c r="A105" s="49">
        <v>25.180399999999999</v>
      </c>
      <c r="B105" s="49">
        <v>25.180399999999999</v>
      </c>
    </row>
    <row r="106" spans="1:2">
      <c r="A106" s="49">
        <v>13.285</v>
      </c>
      <c r="B106" s="49">
        <v>13.285</v>
      </c>
    </row>
    <row r="107" spans="1:2">
      <c r="A107" s="49">
        <v>16.415700000000001</v>
      </c>
      <c r="B107" s="49">
        <v>16.415700000000001</v>
      </c>
    </row>
    <row r="108" spans="1:2">
      <c r="A108" s="49">
        <v>17.381699999999999</v>
      </c>
      <c r="B108" s="49">
        <v>17.381699999999999</v>
      </c>
    </row>
    <row r="109" spans="1:2">
      <c r="A109" s="49">
        <v>20.628799999999998</v>
      </c>
      <c r="B109" s="49">
        <v>20.628799999999998</v>
      </c>
    </row>
    <row r="110" spans="1:2">
      <c r="A110" s="49">
        <v>13.722899999999999</v>
      </c>
      <c r="B110" s="49">
        <v>13.722899999999999</v>
      </c>
    </row>
    <row r="111" spans="1:2">
      <c r="A111" s="49">
        <v>19.548999999999999</v>
      </c>
      <c r="B111" s="49">
        <v>19.548999999999999</v>
      </c>
    </row>
    <row r="112" spans="1:2">
      <c r="A112" s="49">
        <v>20.313700000000001</v>
      </c>
      <c r="B112" s="49">
        <v>20.313700000000001</v>
      </c>
    </row>
    <row r="113" spans="1:2">
      <c r="A113" s="49">
        <v>12.507199999999999</v>
      </c>
      <c r="B113" s="49">
        <v>12.507199999999999</v>
      </c>
    </row>
    <row r="114" spans="1:2">
      <c r="A114" s="49">
        <v>21.584299999999999</v>
      </c>
      <c r="B114" s="49">
        <v>21.584299999999999</v>
      </c>
    </row>
    <row r="115" spans="1:2">
      <c r="A115" s="49">
        <v>21.563400000000001</v>
      </c>
      <c r="B115" s="49">
        <v>21.563400000000001</v>
      </c>
    </row>
    <row r="116" spans="1:2">
      <c r="A116" s="49">
        <v>16.768599999999999</v>
      </c>
      <c r="B116" s="49">
        <v>16.768599999999999</v>
      </c>
    </row>
    <row r="117" spans="1:2">
      <c r="A117" s="49">
        <v>17.4222</v>
      </c>
      <c r="B117" s="49">
        <v>17.4222</v>
      </c>
    </row>
    <row r="118" spans="1:2">
      <c r="A118" s="49">
        <v>26.5425</v>
      </c>
      <c r="B118" s="49">
        <v>26.5425</v>
      </c>
    </row>
    <row r="119" spans="1:2">
      <c r="A119" s="49">
        <v>20.529399999999999</v>
      </c>
      <c r="B119" s="49">
        <v>20.529399999999999</v>
      </c>
    </row>
    <row r="120" spans="1:2">
      <c r="A120" s="49">
        <v>20.3673</v>
      </c>
      <c r="B120" s="49">
        <v>20.3673</v>
      </c>
    </row>
    <row r="121" spans="1:2">
      <c r="A121" s="49">
        <v>19.4758</v>
      </c>
      <c r="B121" s="49">
        <v>19.4758</v>
      </c>
    </row>
    <row r="122" spans="1:2">
      <c r="A122" s="49">
        <v>20.873200000000001</v>
      </c>
      <c r="B122" s="49">
        <v>20.873200000000001</v>
      </c>
    </row>
    <row r="123" spans="1:2">
      <c r="A123" s="49">
        <v>20.271899999999999</v>
      </c>
      <c r="B123" s="49">
        <v>20.271899999999999</v>
      </c>
    </row>
    <row r="124" spans="1:2">
      <c r="A124" s="49">
        <v>32.865400000000001</v>
      </c>
      <c r="B124" s="49">
        <v>32.865400000000001</v>
      </c>
    </row>
    <row r="125" spans="1:2">
      <c r="A125" s="49">
        <v>14.250999999999999</v>
      </c>
      <c r="B125" s="49">
        <v>14.250999999999999</v>
      </c>
    </row>
    <row r="126" spans="1:2">
      <c r="A126" s="49">
        <v>41.1922</v>
      </c>
      <c r="B126" s="49">
        <v>41.1922</v>
      </c>
    </row>
    <row r="127" spans="1:2">
      <c r="A127" s="49">
        <v>0</v>
      </c>
      <c r="B127" s="49">
        <v>0</v>
      </c>
    </row>
    <row r="128" spans="1:2">
      <c r="A128" s="49">
        <v>47.515000000000001</v>
      </c>
      <c r="B128" s="49">
        <v>47.515000000000001</v>
      </c>
    </row>
    <row r="129" spans="1:2">
      <c r="A129" s="49">
        <v>0</v>
      </c>
      <c r="B129" s="49">
        <v>0</v>
      </c>
    </row>
    <row r="130" spans="1:2">
      <c r="A130" s="49">
        <v>39.039200000000001</v>
      </c>
      <c r="B130" s="49">
        <v>39.039200000000001</v>
      </c>
    </row>
    <row r="131" spans="1:2">
      <c r="A131" s="49">
        <v>0</v>
      </c>
      <c r="B131" s="49">
        <v>0</v>
      </c>
    </row>
    <row r="132" spans="1:2">
      <c r="A132" s="49">
        <v>46.948999999999998</v>
      </c>
      <c r="B132" s="49">
        <v>46.948999999999998</v>
      </c>
    </row>
    <row r="133" spans="1:2">
      <c r="A133" s="49">
        <v>0</v>
      </c>
      <c r="B133" s="49">
        <v>0</v>
      </c>
    </row>
    <row r="134" spans="1:2">
      <c r="A134" s="49">
        <v>39.8797</v>
      </c>
      <c r="B134" s="49">
        <v>39.8797</v>
      </c>
    </row>
    <row r="135" spans="1:2">
      <c r="A135" s="49">
        <v>10.8301</v>
      </c>
      <c r="B135" s="49">
        <v>10.8301</v>
      </c>
    </row>
    <row r="136" spans="1:2">
      <c r="A136" s="49">
        <v>35.345100000000002</v>
      </c>
      <c r="B136" s="49">
        <v>35.345100000000002</v>
      </c>
    </row>
    <row r="137" spans="1:2">
      <c r="A137" s="49">
        <v>11.315</v>
      </c>
      <c r="B137" s="49">
        <v>11.315</v>
      </c>
    </row>
    <row r="138" spans="1:2">
      <c r="A138" s="49">
        <v>22.938600000000001</v>
      </c>
      <c r="B138" s="49">
        <v>22.938600000000001</v>
      </c>
    </row>
    <row r="139" spans="1:2">
      <c r="A139" s="49">
        <v>21.896699999999999</v>
      </c>
      <c r="B139" s="49">
        <v>21.896699999999999</v>
      </c>
    </row>
    <row r="140" spans="1:2">
      <c r="A140" s="49">
        <v>23.389500000000002</v>
      </c>
      <c r="B140" s="49">
        <v>23.389500000000002</v>
      </c>
    </row>
    <row r="141" spans="1:2">
      <c r="A141" s="49">
        <v>20.183</v>
      </c>
      <c r="B141" s="49">
        <v>20.183</v>
      </c>
    </row>
    <row r="142" spans="1:2">
      <c r="A142" s="49">
        <v>20.9712</v>
      </c>
      <c r="B142" s="49">
        <v>20.9712</v>
      </c>
    </row>
    <row r="143" spans="1:2">
      <c r="A143" s="49">
        <v>19.4314</v>
      </c>
      <c r="B143" s="49">
        <v>19.4314</v>
      </c>
    </row>
    <row r="144" spans="1:2">
      <c r="A144" s="49">
        <v>14.1922</v>
      </c>
      <c r="B144" s="49">
        <v>14.1922</v>
      </c>
    </row>
    <row r="145" spans="1:2">
      <c r="A145" s="49">
        <v>26.0078</v>
      </c>
      <c r="B145" s="49">
        <v>26.0078</v>
      </c>
    </row>
    <row r="146" spans="1:2">
      <c r="A146" s="49">
        <v>16.032699999999998</v>
      </c>
      <c r="B146" s="49">
        <v>16.032699999999998</v>
      </c>
    </row>
    <row r="147" spans="1:2">
      <c r="A147" s="49">
        <v>14.1281</v>
      </c>
      <c r="B147" s="49">
        <v>14.1281</v>
      </c>
    </row>
    <row r="148" spans="1:2">
      <c r="A148" s="49">
        <v>16.622199999999999</v>
      </c>
      <c r="B148" s="49">
        <v>16.622199999999999</v>
      </c>
    </row>
    <row r="149" spans="1:2">
      <c r="A149" s="49">
        <v>17.270600000000002</v>
      </c>
      <c r="B149" s="49">
        <v>17.270600000000002</v>
      </c>
    </row>
    <row r="150" spans="1:2">
      <c r="A150" s="49">
        <v>11.699299999999999</v>
      </c>
      <c r="B150" s="49">
        <v>11.699299999999999</v>
      </c>
    </row>
    <row r="151" spans="1:2">
      <c r="A151" s="49">
        <v>12.7255</v>
      </c>
      <c r="B151" s="49">
        <v>12.7255</v>
      </c>
    </row>
    <row r="152" spans="1:2">
      <c r="A152" s="49">
        <v>10.351599999999999</v>
      </c>
      <c r="B152" s="49">
        <v>10.351599999999999</v>
      </c>
    </row>
    <row r="153" spans="1:2">
      <c r="A153" s="49">
        <v>13.602600000000001</v>
      </c>
      <c r="B153" s="49">
        <v>13.602600000000001</v>
      </c>
    </row>
    <row r="154" spans="1:2">
      <c r="A154" s="49">
        <v>8.4967299999999994</v>
      </c>
      <c r="B154" s="49">
        <v>8.4967299999999994</v>
      </c>
    </row>
    <row r="155" spans="1:2">
      <c r="A155" s="49">
        <v>7.25359</v>
      </c>
      <c r="B155" s="49">
        <v>7.25359</v>
      </c>
    </row>
    <row r="156" spans="1:2">
      <c r="A156" s="49">
        <v>12.682399999999999</v>
      </c>
      <c r="B156" s="49">
        <v>12.682399999999999</v>
      </c>
    </row>
    <row r="157" spans="1:2">
      <c r="A157" s="49">
        <v>7.3372599999999997</v>
      </c>
      <c r="B157" s="49">
        <v>7.3372599999999997</v>
      </c>
    </row>
    <row r="158" spans="1:2">
      <c r="A158" s="49">
        <v>9.4392200000000006</v>
      </c>
      <c r="B158" s="49">
        <v>9.4392200000000006</v>
      </c>
    </row>
    <row r="159" spans="1:2">
      <c r="A159" s="49">
        <v>8.8117599999999996</v>
      </c>
      <c r="B159" s="49">
        <v>8.8117599999999996</v>
      </c>
    </row>
    <row r="160" spans="1:2">
      <c r="A160" s="49">
        <v>9.3254900000000003</v>
      </c>
      <c r="B160" s="49">
        <v>9.3254900000000003</v>
      </c>
    </row>
    <row r="161" spans="1:2">
      <c r="A161" s="49">
        <v>6.9202599999999999</v>
      </c>
      <c r="B161" s="49">
        <v>6.9202599999999999</v>
      </c>
    </row>
    <row r="162" spans="1:2">
      <c r="A162" s="49">
        <v>7.1424799999999999</v>
      </c>
      <c r="B162" s="49">
        <v>7.1424799999999999</v>
      </c>
    </row>
    <row r="163" spans="1:2">
      <c r="A163" s="49">
        <v>5.4993499999999997</v>
      </c>
      <c r="B163" s="49">
        <v>5.4993499999999997</v>
      </c>
    </row>
    <row r="164" spans="1:2">
      <c r="A164" s="49">
        <v>6.72288</v>
      </c>
      <c r="B164" s="49">
        <v>6.72288</v>
      </c>
    </row>
    <row r="165" spans="1:2">
      <c r="A165" s="49">
        <v>2.0039199999999999</v>
      </c>
      <c r="B165" s="49">
        <v>2.0039199999999999</v>
      </c>
    </row>
    <row r="166" spans="1:2">
      <c r="A166" s="49">
        <v>5.2509800000000002</v>
      </c>
      <c r="B166" s="49">
        <v>5.2509800000000002</v>
      </c>
    </row>
    <row r="167" spans="1:2">
      <c r="A167" s="49">
        <v>6.1973900000000004</v>
      </c>
      <c r="B167" s="49">
        <v>6.1973900000000004</v>
      </c>
    </row>
    <row r="168" spans="1:2">
      <c r="A168" s="49">
        <v>4.5999999999999996</v>
      </c>
      <c r="B168" s="49">
        <v>4.5999999999999996</v>
      </c>
    </row>
    <row r="169" spans="1:2">
      <c r="A169" s="49">
        <v>1.3058799999999999</v>
      </c>
      <c r="B169" s="49">
        <v>1.3058799999999999</v>
      </c>
    </row>
    <row r="170" spans="1:2">
      <c r="A170" s="49">
        <v>3.6836600000000002</v>
      </c>
      <c r="B170" s="49">
        <v>3.6836600000000002</v>
      </c>
    </row>
    <row r="171" spans="1:2">
      <c r="A171" s="49">
        <v>3.8326799999999999</v>
      </c>
      <c r="B171" s="49">
        <v>3.8326799999999999</v>
      </c>
    </row>
    <row r="172" spans="1:2">
      <c r="A172" s="49">
        <v>0</v>
      </c>
      <c r="B172" s="49">
        <v>0</v>
      </c>
    </row>
    <row r="173" spans="1:2">
      <c r="A173" s="49">
        <v>3.0993499999999998</v>
      </c>
      <c r="B173" s="49">
        <v>3.0993499999999998</v>
      </c>
    </row>
    <row r="174" spans="1:2">
      <c r="A174" s="49">
        <v>2.1620900000000001</v>
      </c>
      <c r="B174" s="49">
        <v>2.1620900000000001</v>
      </c>
    </row>
    <row r="175" spans="1:2">
      <c r="A175" s="49">
        <v>1.43791</v>
      </c>
      <c r="B175" s="49">
        <v>1.43791</v>
      </c>
    </row>
    <row r="176" spans="1:2">
      <c r="A176" s="49">
        <v>0.322876</v>
      </c>
      <c r="B176" s="49">
        <v>0.322876</v>
      </c>
    </row>
    <row r="177" spans="1:2">
      <c r="A177" s="49">
        <v>0.87451000000000001</v>
      </c>
      <c r="B177" s="49">
        <v>0.87451000000000001</v>
      </c>
    </row>
    <row r="178" spans="1:2">
      <c r="A178" s="49">
        <v>0.48888900000000002</v>
      </c>
      <c r="B178" s="49">
        <v>0.48888900000000002</v>
      </c>
    </row>
    <row r="179" spans="1:2">
      <c r="A179" s="49">
        <v>0.36862699999999998</v>
      </c>
      <c r="B179" s="49">
        <v>0.36862699999999998</v>
      </c>
    </row>
    <row r="180" spans="1:2">
      <c r="A180" s="49">
        <v>0.40130700000000002</v>
      </c>
      <c r="B180" s="49">
        <v>0.40130700000000002</v>
      </c>
    </row>
    <row r="181" spans="1:2">
      <c r="A181" s="49">
        <v>0.39215699999999998</v>
      </c>
      <c r="B181" s="49">
        <v>0.39215699999999998</v>
      </c>
    </row>
    <row r="182" spans="1:2">
      <c r="A182" s="49">
        <v>0.22614400000000001</v>
      </c>
      <c r="B182" s="49">
        <v>0.22614400000000001</v>
      </c>
    </row>
    <row r="183" spans="1:2">
      <c r="A183" s="49">
        <v>7.7124200000000004E-2</v>
      </c>
      <c r="B183" s="49">
        <v>7.7124200000000004E-2</v>
      </c>
    </row>
    <row r="184" spans="1:2">
      <c r="A184" s="49">
        <v>0.313726</v>
      </c>
      <c r="B184" s="49">
        <v>0.313726</v>
      </c>
    </row>
    <row r="185" spans="1:2">
      <c r="A185" s="49">
        <v>0.145098</v>
      </c>
      <c r="B185" s="49">
        <v>0.145098</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0.52114400000000005</v>
      </c>
      <c r="B2" s="49">
        <v>0.44815899999999997</v>
      </c>
      <c r="C2">
        <v>0</v>
      </c>
      <c r="D2">
        <v>0</v>
      </c>
      <c r="E2" t="s">
        <v>1161</v>
      </c>
      <c r="F2" s="49">
        <f>IF(A2&lt;&gt;"",1,"")</f>
        <v>1</v>
      </c>
      <c r="G2">
        <f>IF($H8&gt;0,LOOKUP(COUNT(A2:A1000)*$H8,F2:F1000,A2:A1000),LOOKUP(1,F2:F1000,A2:A1000))</f>
        <v>0.51969299999999996</v>
      </c>
      <c r="H2">
        <f>IF($H8&gt;0,LOOKUP(COUNT(B2:B1000)*$H8,F2:F1000,B2:B1000),LOOKUP(1,F2:F1000,B2:B1000))</f>
        <v>0.46635300000000002</v>
      </c>
      <c r="J2" s="49">
        <f>IF(A2&lt;&gt;"",A2*10,"")</f>
        <v>5.2114400000000005</v>
      </c>
      <c r="K2" s="49">
        <f>IF(B2&lt;&gt;"",B2*100,"")</f>
        <v>44.815899999999999</v>
      </c>
      <c r="L2" s="49">
        <f>IF(F2&lt;&gt;"",IF(K2&lt;&gt;0,K2/J2,0),"")</f>
        <v>8.5995233563084277</v>
      </c>
    </row>
    <row r="3" spans="1:12">
      <c r="A3" s="49">
        <v>0.51969299999999996</v>
      </c>
      <c r="B3" s="49">
        <v>0.46635300000000002</v>
      </c>
      <c r="C3">
        <v>0.36180699999999999</v>
      </c>
      <c r="D3">
        <v>0</v>
      </c>
      <c r="E3" t="s">
        <v>2560</v>
      </c>
      <c r="F3" s="49">
        <f>IF(A3&lt;&gt;"",F2+1,"")</f>
        <v>2</v>
      </c>
      <c r="G3">
        <f>IF($H9&gt;0,LOOKUP(COUNT(A2:A1000)*$H9,F2:F1000,A2:A1000),LOOKUP(1,F2:F1000,A2:A1000))</f>
        <v>0.41909099999999999</v>
      </c>
      <c r="H3">
        <f>IF($H9&gt;0,LOOKUP(COUNT(B2:B1000)*$H9,F2:F1000,B2:B1000),LOOKUP(1,F2:F1000,B2:B1000))</f>
        <v>0.49867699999999998</v>
      </c>
      <c r="J3" s="49">
        <f t="shared" ref="J3:J66" si="0">IF(A3&lt;&gt;"",A3*10,"")</f>
        <v>5.19693</v>
      </c>
      <c r="K3" s="49">
        <f t="shared" ref="K3:K66" si="1">IF(B3&lt;&gt;"",B3*100,"")</f>
        <v>46.635300000000001</v>
      </c>
      <c r="L3" s="49">
        <f t="shared" ref="L3:L66" si="2">IF(F3&lt;&gt;"",IF(K3&lt;&gt;0,K3/J3,0),"")</f>
        <v>8.9736248131108169</v>
      </c>
    </row>
    <row r="4" spans="1:12">
      <c r="A4" s="49">
        <v>0.51627699999999999</v>
      </c>
      <c r="B4" s="49">
        <v>0.47568899999999997</v>
      </c>
      <c r="C4">
        <v>0.76492800000000005</v>
      </c>
      <c r="D4">
        <v>0</v>
      </c>
      <c r="E4" t="s">
        <v>2561</v>
      </c>
      <c r="F4" s="49">
        <f t="shared" ref="F4:F67" si="3">IF(A4&lt;&gt;"",F3+1,"")</f>
        <v>3</v>
      </c>
      <c r="G4" s="71" t="s">
        <v>209</v>
      </c>
      <c r="H4" s="23">
        <f>IF(ISERROR(G3-G2)=FALSE,(G3-G2)*10,0)</f>
        <v>-1.0060199999999997</v>
      </c>
      <c r="J4" s="49">
        <f t="shared" si="0"/>
        <v>5.1627700000000001</v>
      </c>
      <c r="K4" s="49">
        <f t="shared" si="1"/>
        <v>47.568899999999999</v>
      </c>
      <c r="L4" s="49">
        <f t="shared" si="2"/>
        <v>9.2138328842849866</v>
      </c>
    </row>
    <row r="5" spans="1:12">
      <c r="A5" s="49">
        <v>0.50951900000000006</v>
      </c>
      <c r="B5" s="49">
        <v>0.47348800000000002</v>
      </c>
      <c r="C5">
        <v>1.1877599999999999</v>
      </c>
      <c r="D5">
        <v>0</v>
      </c>
      <c r="E5" t="s">
        <v>2562</v>
      </c>
      <c r="F5" s="49">
        <f t="shared" si="3"/>
        <v>4</v>
      </c>
      <c r="G5" s="71" t="s">
        <v>210</v>
      </c>
      <c r="H5" s="23">
        <f>IF(ISERROR(H3-H2)=FALSE,H3-H2,0)</f>
        <v>3.2323999999999964E-2</v>
      </c>
      <c r="J5" s="49">
        <f t="shared" si="0"/>
        <v>5.0951900000000006</v>
      </c>
      <c r="K5" s="49">
        <f t="shared" si="1"/>
        <v>47.348800000000004</v>
      </c>
      <c r="L5" s="49">
        <f t="shared" si="2"/>
        <v>9.2928428576755717</v>
      </c>
    </row>
    <row r="6" spans="1:12">
      <c r="A6" s="49">
        <v>0.50177099999999997</v>
      </c>
      <c r="B6" s="49">
        <v>0.47349400000000003</v>
      </c>
      <c r="C6">
        <v>1.5904499999999999</v>
      </c>
      <c r="D6">
        <v>0</v>
      </c>
      <c r="E6" t="s">
        <v>2563</v>
      </c>
      <c r="F6" s="49">
        <f t="shared" si="3"/>
        <v>5</v>
      </c>
      <c r="G6" s="71" t="s">
        <v>211</v>
      </c>
      <c r="H6" s="23">
        <f>IF(H4&lt;&gt;0,H5/H4,0)</f>
        <v>-3.2130573944851963E-2</v>
      </c>
      <c r="J6" s="49">
        <f t="shared" si="0"/>
        <v>5.0177099999999992</v>
      </c>
      <c r="K6" s="49">
        <f t="shared" si="1"/>
        <v>47.349400000000003</v>
      </c>
      <c r="L6" s="49">
        <f t="shared" si="2"/>
        <v>9.4364560725908859</v>
      </c>
    </row>
    <row r="7" spans="1:12">
      <c r="A7" s="49">
        <v>0.49365599999999998</v>
      </c>
      <c r="B7" s="49">
        <v>0.46466600000000002</v>
      </c>
      <c r="C7">
        <v>2.0035699999999999</v>
      </c>
      <c r="D7">
        <v>0</v>
      </c>
      <c r="E7" t="s">
        <v>2564</v>
      </c>
      <c r="F7" s="49">
        <f t="shared" si="3"/>
        <v>6</v>
      </c>
      <c r="G7" s="71" t="s">
        <v>212</v>
      </c>
      <c r="H7" s="23">
        <f>DEGREES(ATAN(H6))</f>
        <v>-1.8403131576070615</v>
      </c>
      <c r="J7" s="49">
        <f t="shared" si="0"/>
        <v>4.9365600000000001</v>
      </c>
      <c r="K7" s="49">
        <f t="shared" si="1"/>
        <v>46.4666</v>
      </c>
      <c r="L7" s="49">
        <f t="shared" si="2"/>
        <v>9.4127489587891162</v>
      </c>
    </row>
    <row r="8" spans="1:12">
      <c r="A8" s="49">
        <v>0.48603499999999999</v>
      </c>
      <c r="B8" s="49">
        <v>0.45634799999999998</v>
      </c>
      <c r="C8">
        <v>2.39053</v>
      </c>
      <c r="D8">
        <v>0</v>
      </c>
      <c r="E8" t="s">
        <v>2565</v>
      </c>
      <c r="F8" s="49">
        <f t="shared" si="3"/>
        <v>7</v>
      </c>
      <c r="G8" s="71" t="s">
        <v>213</v>
      </c>
      <c r="H8" s="72">
        <v>0.1</v>
      </c>
      <c r="J8" s="49">
        <f t="shared" si="0"/>
        <v>4.8603500000000004</v>
      </c>
      <c r="K8" s="49">
        <f t="shared" si="1"/>
        <v>45.634799999999998</v>
      </c>
      <c r="L8" s="49">
        <f t="shared" si="2"/>
        <v>9.3892003662287689</v>
      </c>
    </row>
    <row r="9" spans="1:12">
      <c r="A9" s="49">
        <v>0.479771</v>
      </c>
      <c r="B9" s="49">
        <v>0.44677099999999997</v>
      </c>
      <c r="C9">
        <v>2.8065500000000001</v>
      </c>
      <c r="D9">
        <v>0</v>
      </c>
      <c r="E9" t="s">
        <v>2566</v>
      </c>
      <c r="F9" s="49">
        <f t="shared" si="3"/>
        <v>8</v>
      </c>
      <c r="G9" s="71" t="s">
        <v>214</v>
      </c>
      <c r="H9" s="72">
        <v>0.9</v>
      </c>
      <c r="J9" s="49">
        <f t="shared" si="0"/>
        <v>4.7977100000000004</v>
      </c>
      <c r="K9" s="49">
        <f t="shared" si="1"/>
        <v>44.677099999999996</v>
      </c>
      <c r="L9" s="49">
        <f t="shared" si="2"/>
        <v>9.3121718486527936</v>
      </c>
    </row>
    <row r="10" spans="1:12">
      <c r="A10" s="49">
        <v>0.47558499999999998</v>
      </c>
      <c r="B10" s="49">
        <v>0.43842900000000001</v>
      </c>
      <c r="C10">
        <v>3.21346</v>
      </c>
      <c r="D10">
        <v>0</v>
      </c>
      <c r="E10" t="s">
        <v>2567</v>
      </c>
      <c r="F10" s="49">
        <f t="shared" si="3"/>
        <v>9</v>
      </c>
      <c r="G10" t="s">
        <v>215</v>
      </c>
      <c r="J10" s="49">
        <f t="shared" si="0"/>
        <v>4.7558499999999997</v>
      </c>
      <c r="K10" s="49">
        <f t="shared" si="1"/>
        <v>43.8429</v>
      </c>
      <c r="L10" s="49">
        <f t="shared" si="2"/>
        <v>9.2187306159782167</v>
      </c>
    </row>
    <row r="11" spans="1:12">
      <c r="A11" s="49">
        <v>0.47236800000000001</v>
      </c>
      <c r="B11" s="49">
        <v>0.42888300000000001</v>
      </c>
      <c r="C11">
        <v>3.6189100000000001</v>
      </c>
      <c r="D11">
        <v>0</v>
      </c>
      <c r="E11" t="s">
        <v>2568</v>
      </c>
      <c r="F11" s="49">
        <f t="shared" si="3"/>
        <v>10</v>
      </c>
      <c r="G11" s="71" t="s">
        <v>216</v>
      </c>
      <c r="H11" s="73">
        <f>MIN(B2:B1000)</f>
        <v>0.413906</v>
      </c>
      <c r="J11" s="49">
        <f t="shared" si="0"/>
        <v>4.7236799999999999</v>
      </c>
      <c r="K11" s="49">
        <f t="shared" si="1"/>
        <v>42.888300000000001</v>
      </c>
      <c r="L11" s="49">
        <f t="shared" si="2"/>
        <v>9.0794253632760906</v>
      </c>
    </row>
    <row r="12" spans="1:12">
      <c r="A12" s="49">
        <v>0.470051</v>
      </c>
      <c r="B12" s="49">
        <v>0.42075699999999999</v>
      </c>
      <c r="C12">
        <v>4.0162199999999997</v>
      </c>
      <c r="D12">
        <v>0</v>
      </c>
      <c r="E12" t="s">
        <v>2569</v>
      </c>
      <c r="F12" s="49">
        <f t="shared" si="3"/>
        <v>11</v>
      </c>
      <c r="G12" s="71" t="s">
        <v>218</v>
      </c>
      <c r="H12" s="73">
        <f>MAX(B2:B1000)</f>
        <v>0.51417599999999997</v>
      </c>
      <c r="J12" s="49">
        <f t="shared" si="0"/>
        <v>4.7005099999999995</v>
      </c>
      <c r="K12" s="49">
        <f t="shared" si="1"/>
        <v>42.075699999999998</v>
      </c>
      <c r="L12" s="49">
        <f t="shared" si="2"/>
        <v>8.951305283894726</v>
      </c>
    </row>
    <row r="13" spans="1:12">
      <c r="A13" s="49">
        <v>0.46757700000000002</v>
      </c>
      <c r="B13" s="49">
        <v>0.41578300000000001</v>
      </c>
      <c r="C13">
        <v>4.4206599999999998</v>
      </c>
      <c r="D13">
        <v>0</v>
      </c>
      <c r="E13" t="s">
        <v>2570</v>
      </c>
      <c r="F13" s="49">
        <f t="shared" si="3"/>
        <v>12</v>
      </c>
      <c r="G13" s="71" t="s">
        <v>220</v>
      </c>
      <c r="H13">
        <f>MATCH($H$11,B2:B1000,0)</f>
        <v>13</v>
      </c>
      <c r="J13" s="49">
        <f t="shared" si="0"/>
        <v>4.67577</v>
      </c>
      <c r="K13" s="49">
        <f t="shared" si="1"/>
        <v>41.578299999999999</v>
      </c>
      <c r="L13" s="49">
        <f t="shared" si="2"/>
        <v>8.8922893983236975</v>
      </c>
    </row>
    <row r="14" spans="1:12">
      <c r="A14" s="49">
        <v>0.46443000000000001</v>
      </c>
      <c r="B14" s="49">
        <v>0.413906</v>
      </c>
      <c r="C14">
        <v>4.8396499999999998</v>
      </c>
      <c r="D14">
        <v>0</v>
      </c>
      <c r="E14" t="s">
        <v>2571</v>
      </c>
      <c r="F14" s="49">
        <f t="shared" si="3"/>
        <v>13</v>
      </c>
      <c r="G14" s="71" t="s">
        <v>221</v>
      </c>
      <c r="H14">
        <f>MATCH($H$12,B2:B1000,0)</f>
        <v>26</v>
      </c>
      <c r="J14" s="49">
        <f t="shared" si="0"/>
        <v>4.6443000000000003</v>
      </c>
      <c r="K14" s="49">
        <f t="shared" si="1"/>
        <v>41.390599999999999</v>
      </c>
      <c r="L14" s="49">
        <f t="shared" si="2"/>
        <v>8.9121288461124379</v>
      </c>
    </row>
    <row r="15" spans="1:12">
      <c r="A15" s="49">
        <v>0.46062900000000001</v>
      </c>
      <c r="B15" s="49">
        <v>0.422097</v>
      </c>
      <c r="C15">
        <v>5.25244</v>
      </c>
      <c r="D15">
        <v>0</v>
      </c>
      <c r="E15" t="s">
        <v>2572</v>
      </c>
      <c r="F15" s="49">
        <f t="shared" si="3"/>
        <v>14</v>
      </c>
      <c r="G15">
        <f>LOOKUP($H13,F2:F1000,A2:A1000)</f>
        <v>0.46443000000000001</v>
      </c>
      <c r="H15">
        <f>LOOKUP($H13,F2:F1000,B2:B1000)</f>
        <v>0.413906</v>
      </c>
      <c r="J15" s="49">
        <f t="shared" si="0"/>
        <v>4.6062900000000004</v>
      </c>
      <c r="K15" s="49">
        <f t="shared" si="1"/>
        <v>42.209699999999998</v>
      </c>
      <c r="L15" s="49">
        <f t="shared" si="2"/>
        <v>9.1634916603166534</v>
      </c>
    </row>
    <row r="16" spans="1:12">
      <c r="A16" s="49">
        <v>0.45684999999999998</v>
      </c>
      <c r="B16" s="49">
        <v>0.43740299999999999</v>
      </c>
      <c r="C16">
        <v>5.63856</v>
      </c>
      <c r="D16">
        <v>0</v>
      </c>
      <c r="E16" t="s">
        <v>2573</v>
      </c>
      <c r="F16" s="49">
        <f t="shared" si="3"/>
        <v>15</v>
      </c>
      <c r="G16">
        <f>LOOKUP($H14,F2:F1000,A2:A1000)</f>
        <v>0.40744599999999997</v>
      </c>
      <c r="H16">
        <f>LOOKUP($H14,F2:F1000,B2:B1000)</f>
        <v>0.51417599999999997</v>
      </c>
      <c r="J16" s="49">
        <f t="shared" si="0"/>
        <v>4.5685000000000002</v>
      </c>
      <c r="K16" s="49">
        <f t="shared" si="1"/>
        <v>43.740299999999998</v>
      </c>
      <c r="L16" s="49">
        <f t="shared" si="2"/>
        <v>9.574324176425522</v>
      </c>
    </row>
    <row r="17" spans="1:12">
      <c r="A17" s="49">
        <v>0.45105200000000001</v>
      </c>
      <c r="B17" s="49">
        <v>0.44852599999999998</v>
      </c>
      <c r="C17">
        <v>6.0610499999999998</v>
      </c>
      <c r="D17">
        <v>0</v>
      </c>
      <c r="E17" t="s">
        <v>2574</v>
      </c>
      <c r="F17" s="49">
        <f t="shared" si="3"/>
        <v>16</v>
      </c>
      <c r="J17" s="49">
        <f t="shared" si="0"/>
        <v>4.5105199999999996</v>
      </c>
      <c r="K17" s="49">
        <f t="shared" si="1"/>
        <v>44.852599999999995</v>
      </c>
      <c r="L17" s="49">
        <f t="shared" si="2"/>
        <v>9.9439975878612668</v>
      </c>
    </row>
    <row r="18" spans="1:12">
      <c r="A18" s="49">
        <v>0.445183</v>
      </c>
      <c r="B18" s="49">
        <v>0.458449</v>
      </c>
      <c r="C18">
        <v>6.4668799999999997</v>
      </c>
      <c r="D18">
        <v>0</v>
      </c>
      <c r="E18" t="s">
        <v>2575</v>
      </c>
      <c r="F18" s="49">
        <f t="shared" si="3"/>
        <v>17</v>
      </c>
      <c r="J18" s="49">
        <f t="shared" si="0"/>
        <v>4.4518300000000002</v>
      </c>
      <c r="K18" s="49">
        <f t="shared" si="1"/>
        <v>45.844900000000003</v>
      </c>
      <c r="L18" s="49">
        <f t="shared" si="2"/>
        <v>10.297989815424218</v>
      </c>
    </row>
    <row r="19" spans="1:12">
      <c r="A19" s="49">
        <v>0.439494</v>
      </c>
      <c r="B19" s="49">
        <v>0.46868199999999999</v>
      </c>
      <c r="C19">
        <v>6.85846</v>
      </c>
      <c r="D19">
        <v>0</v>
      </c>
      <c r="E19" t="s">
        <v>2576</v>
      </c>
      <c r="F19" s="49">
        <f t="shared" si="3"/>
        <v>18</v>
      </c>
      <c r="J19" s="49">
        <f t="shared" si="0"/>
        <v>4.3949400000000001</v>
      </c>
      <c r="K19" s="49">
        <f t="shared" si="1"/>
        <v>46.868200000000002</v>
      </c>
      <c r="L19" s="49">
        <f t="shared" si="2"/>
        <v>10.664127382853918</v>
      </c>
    </row>
    <row r="20" spans="1:12">
      <c r="A20" s="49">
        <v>0.43278800000000001</v>
      </c>
      <c r="B20" s="49">
        <v>0.47788599999999998</v>
      </c>
      <c r="C20">
        <v>7.2728599999999997</v>
      </c>
      <c r="D20">
        <v>0</v>
      </c>
      <c r="E20" t="s">
        <v>2577</v>
      </c>
      <c r="F20" s="49">
        <f t="shared" si="3"/>
        <v>19</v>
      </c>
      <c r="J20" s="49">
        <f t="shared" si="0"/>
        <v>4.3278800000000004</v>
      </c>
      <c r="K20" s="49">
        <f t="shared" si="1"/>
        <v>47.788599999999995</v>
      </c>
      <c r="L20" s="49">
        <f t="shared" si="2"/>
        <v>11.042034437184023</v>
      </c>
    </row>
    <row r="21" spans="1:12">
      <c r="A21" s="49">
        <v>0.42923800000000001</v>
      </c>
      <c r="B21" s="49">
        <v>0.48432900000000001</v>
      </c>
      <c r="C21">
        <v>7.6867999999999999</v>
      </c>
      <c r="D21">
        <v>0</v>
      </c>
      <c r="E21" t="s">
        <v>2578</v>
      </c>
      <c r="F21" s="49">
        <f t="shared" si="3"/>
        <v>20</v>
      </c>
      <c r="J21" s="49">
        <f t="shared" si="0"/>
        <v>4.2923799999999996</v>
      </c>
      <c r="K21" s="49">
        <f t="shared" si="1"/>
        <v>48.432900000000004</v>
      </c>
      <c r="L21" s="49">
        <f t="shared" si="2"/>
        <v>11.283460457834583</v>
      </c>
    </row>
    <row r="22" spans="1:12">
      <c r="A22" s="49">
        <v>0.42527799999999999</v>
      </c>
      <c r="B22" s="49">
        <v>0.49090099999999998</v>
      </c>
      <c r="C22">
        <v>8.0803399999999996</v>
      </c>
      <c r="D22">
        <v>0</v>
      </c>
      <c r="E22" t="s">
        <v>2579</v>
      </c>
      <c r="F22" s="49">
        <f t="shared" si="3"/>
        <v>21</v>
      </c>
      <c r="J22" s="49">
        <f t="shared" si="0"/>
        <v>4.2527799999999996</v>
      </c>
      <c r="K22" s="49">
        <f t="shared" si="1"/>
        <v>49.0901</v>
      </c>
      <c r="L22" s="49">
        <f t="shared" si="2"/>
        <v>11.543061244644681</v>
      </c>
    </row>
    <row r="23" spans="1:12">
      <c r="A23" s="49">
        <v>0.42191600000000001</v>
      </c>
      <c r="B23" s="49">
        <v>0.49619799999999997</v>
      </c>
      <c r="C23">
        <v>8.4886800000000004</v>
      </c>
      <c r="D23">
        <v>0</v>
      </c>
      <c r="E23" t="s">
        <v>2580</v>
      </c>
      <c r="F23" s="49">
        <f t="shared" si="3"/>
        <v>22</v>
      </c>
      <c r="J23" s="49">
        <f t="shared" si="0"/>
        <v>4.2191600000000005</v>
      </c>
      <c r="K23" s="49">
        <f t="shared" si="1"/>
        <v>49.619799999999998</v>
      </c>
      <c r="L23" s="49">
        <f t="shared" si="2"/>
        <v>11.760587415504506</v>
      </c>
    </row>
    <row r="24" spans="1:12">
      <c r="A24" s="49">
        <v>0.41909099999999999</v>
      </c>
      <c r="B24" s="49">
        <v>0.49867699999999998</v>
      </c>
      <c r="C24">
        <v>8.8861500000000007</v>
      </c>
      <c r="D24">
        <v>0</v>
      </c>
      <c r="E24" t="s">
        <v>2581</v>
      </c>
      <c r="F24" s="49">
        <f t="shared" si="3"/>
        <v>23</v>
      </c>
      <c r="G24" t="s">
        <v>245</v>
      </c>
      <c r="H24">
        <f>COUNT(A2:A2000)</f>
        <v>26</v>
      </c>
      <c r="J24" s="49">
        <f t="shared" si="0"/>
        <v>4.1909099999999997</v>
      </c>
      <c r="K24" s="49">
        <f t="shared" si="1"/>
        <v>49.867699999999999</v>
      </c>
      <c r="L24" s="49">
        <f t="shared" si="2"/>
        <v>11.899014772447989</v>
      </c>
    </row>
    <row r="25" spans="1:12">
      <c r="A25" s="49">
        <v>0.41642699999999999</v>
      </c>
      <c r="B25" s="49">
        <v>0.50151299999999999</v>
      </c>
      <c r="C25">
        <v>9.3189700000000002</v>
      </c>
      <c r="D25">
        <v>0</v>
      </c>
      <c r="E25" t="s">
        <v>2582</v>
      </c>
      <c r="F25" s="49">
        <f t="shared" si="3"/>
        <v>24</v>
      </c>
      <c r="J25" s="49">
        <f t="shared" si="0"/>
        <v>4.1642700000000001</v>
      </c>
      <c r="K25" s="49">
        <f t="shared" si="1"/>
        <v>50.151299999999999</v>
      </c>
      <c r="L25" s="49">
        <f t="shared" si="2"/>
        <v>12.04323927122881</v>
      </c>
    </row>
    <row r="26" spans="1:12">
      <c r="A26" s="49">
        <v>0.41266000000000003</v>
      </c>
      <c r="B26" s="49">
        <v>0.50443400000000005</v>
      </c>
      <c r="C26">
        <v>9.7113899999999997</v>
      </c>
      <c r="D26">
        <v>0</v>
      </c>
      <c r="E26" t="s">
        <v>2583</v>
      </c>
      <c r="F26" s="49">
        <f t="shared" si="3"/>
        <v>25</v>
      </c>
      <c r="J26" s="49">
        <f t="shared" si="0"/>
        <v>4.1265999999999998</v>
      </c>
      <c r="K26" s="49">
        <f t="shared" si="1"/>
        <v>50.443400000000004</v>
      </c>
      <c r="L26" s="49">
        <f t="shared" si="2"/>
        <v>12.223961614888772</v>
      </c>
    </row>
    <row r="27" spans="1:12">
      <c r="A27" s="49">
        <v>0.40744599999999997</v>
      </c>
      <c r="B27" s="49">
        <v>0.51417599999999997</v>
      </c>
      <c r="C27">
        <v>10.112500000000001</v>
      </c>
      <c r="D27">
        <v>0</v>
      </c>
      <c r="E27" t="s">
        <v>2584</v>
      </c>
      <c r="F27" s="49">
        <f t="shared" si="3"/>
        <v>26</v>
      </c>
      <c r="J27" s="49">
        <f t="shared" si="0"/>
        <v>4.0744600000000002</v>
      </c>
      <c r="K27" s="49">
        <f t="shared" si="1"/>
        <v>51.417599999999993</v>
      </c>
      <c r="L27" s="49">
        <f t="shared" si="2"/>
        <v>12.619488226660708</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45784.645451388889</v>
      </c>
      <c r="B2" t="s">
        <v>2585</v>
      </c>
      <c r="C2" s="49"/>
      <c r="D2" s="49"/>
      <c r="E2" s="49">
        <v>4.9234099999999996</v>
      </c>
      <c r="F2" s="49">
        <v>2.2777699999999999</v>
      </c>
      <c r="G2" s="49">
        <v>0.57364899999999996</v>
      </c>
      <c r="H2" s="49">
        <v>0</v>
      </c>
      <c r="I2" s="49">
        <v>47.515000000000001</v>
      </c>
      <c r="J2" s="49">
        <v>126</v>
      </c>
      <c r="K2" s="49">
        <v>126</v>
      </c>
      <c r="L2" s="49">
        <v>100</v>
      </c>
      <c r="M2" s="521" t="s">
        <v>1549</v>
      </c>
      <c r="O2" s="565" t="str">
        <f>IF(FH_info!B2="","",TRIM(MID(SUBSTITUTE(FH_info!B2,"^",REPT(" ",LEN(FH_info!B2))),LEN(FH_info!B2)*2-LEN(FH_info!B2)+1,LEN(FH_info!B2))))</f>
        <v>CVEY</v>
      </c>
      <c r="P2" s="565" t="str">
        <f>IF(FH_info!O2="","",TRIM(MID(SUBSTITUTE(FH_info!O2," ",REPT(" ",LEN(FH_info!O2))),LEN(FH_info!O2)*1-LEN(FH_info!O2)+1,LEN(FH_info!O2))))</f>
        <v>CVEY</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47.515030000000003</v>
      </c>
      <c r="D2">
        <f>MAX(B2:B257)</f>
        <v>381.24575800000002</v>
      </c>
      <c r="G2" t="s">
        <v>1590</v>
      </c>
      <c r="H2">
        <v>4.9234140000000002</v>
      </c>
      <c r="I2">
        <v>47.515030000000003</v>
      </c>
      <c r="J2">
        <v>0</v>
      </c>
      <c r="K2">
        <v>126</v>
      </c>
      <c r="L2">
        <v>126</v>
      </c>
      <c r="M2">
        <v>2.277771</v>
      </c>
      <c r="N2">
        <v>0.57364899999999996</v>
      </c>
      <c r="O2">
        <v>0.329073</v>
      </c>
    </row>
    <row r="3" spans="1:15">
      <c r="A3">
        <v>0</v>
      </c>
      <c r="B3">
        <v>0</v>
      </c>
      <c r="G3" t="s">
        <v>1591</v>
      </c>
      <c r="H3">
        <v>4.9234140000000002</v>
      </c>
      <c r="I3">
        <v>381.24575800000002</v>
      </c>
      <c r="J3">
        <v>0</v>
      </c>
      <c r="K3">
        <v>30</v>
      </c>
      <c r="L3">
        <v>30</v>
      </c>
      <c r="M3">
        <v>0.95362000000000002</v>
      </c>
      <c r="N3">
        <v>0.50620399999999999</v>
      </c>
      <c r="O3">
        <v>0.256243</v>
      </c>
    </row>
    <row r="4" spans="1:15">
      <c r="A4">
        <v>0</v>
      </c>
      <c r="B4">
        <v>0</v>
      </c>
    </row>
    <row r="5" spans="1:15">
      <c r="A5">
        <v>0</v>
      </c>
      <c r="B5">
        <v>0</v>
      </c>
    </row>
    <row r="6" spans="1:15">
      <c r="A6">
        <v>0</v>
      </c>
      <c r="B6">
        <v>0</v>
      </c>
    </row>
    <row r="7" spans="1:15">
      <c r="A7">
        <v>0</v>
      </c>
      <c r="B7">
        <v>0</v>
      </c>
    </row>
    <row r="8" spans="1:15">
      <c r="A8">
        <v>0</v>
      </c>
      <c r="B8">
        <v>0</v>
      </c>
    </row>
    <row r="9" spans="1:15">
      <c r="A9">
        <v>0</v>
      </c>
      <c r="B9">
        <v>1.517647</v>
      </c>
    </row>
    <row r="10" spans="1:15">
      <c r="A10">
        <v>0</v>
      </c>
      <c r="B10">
        <v>2.6431369999999998</v>
      </c>
    </row>
    <row r="11" spans="1:15">
      <c r="A11">
        <v>0</v>
      </c>
      <c r="B11">
        <v>0</v>
      </c>
    </row>
    <row r="12" spans="1:15">
      <c r="A12">
        <v>0</v>
      </c>
      <c r="B12">
        <v>5.8418299999999999</v>
      </c>
    </row>
    <row r="13" spans="1:15">
      <c r="A13">
        <v>0</v>
      </c>
      <c r="B13">
        <v>19.568628</v>
      </c>
    </row>
    <row r="14" spans="1:15">
      <c r="A14">
        <v>0</v>
      </c>
      <c r="B14">
        <v>22.271896000000002</v>
      </c>
    </row>
    <row r="15" spans="1:15">
      <c r="A15">
        <v>0</v>
      </c>
      <c r="B15">
        <v>7.0692810000000001</v>
      </c>
    </row>
    <row r="16" spans="1:15">
      <c r="A16">
        <v>0</v>
      </c>
      <c r="B16">
        <v>45.755558000000001</v>
      </c>
    </row>
    <row r="17" spans="1:2">
      <c r="A17">
        <v>3.3987000000000003E-2</v>
      </c>
      <c r="B17">
        <v>45.852283</v>
      </c>
    </row>
    <row r="18" spans="1:2">
      <c r="A18">
        <v>6.6667000000000004E-2</v>
      </c>
      <c r="B18">
        <v>61.930717000000001</v>
      </c>
    </row>
    <row r="19" spans="1:2">
      <c r="A19">
        <v>3.3987000000000003E-2</v>
      </c>
      <c r="B19">
        <v>66.861435</v>
      </c>
    </row>
    <row r="20" spans="1:2">
      <c r="A20">
        <v>8.7581999999999993E-2</v>
      </c>
      <c r="B20">
        <v>104.61045799999999</v>
      </c>
    </row>
    <row r="21" spans="1:2">
      <c r="A21">
        <v>1.6993000000000001E-2</v>
      </c>
      <c r="B21">
        <v>87.322875999999994</v>
      </c>
    </row>
    <row r="22" spans="1:2">
      <c r="A22">
        <v>6.9280999999999995E-2</v>
      </c>
      <c r="B22">
        <v>199.95292699999999</v>
      </c>
    </row>
    <row r="23" spans="1:2">
      <c r="A23">
        <v>0.130719</v>
      </c>
      <c r="B23">
        <v>133.68627900000001</v>
      </c>
    </row>
    <row r="24" spans="1:2">
      <c r="A24">
        <v>0.22875799999999999</v>
      </c>
      <c r="B24">
        <v>118.524185</v>
      </c>
    </row>
    <row r="25" spans="1:2">
      <c r="A25">
        <v>0.17385600000000001</v>
      </c>
      <c r="B25">
        <v>244.315033</v>
      </c>
    </row>
    <row r="26" spans="1:2">
      <c r="A26">
        <v>0.19738600000000001</v>
      </c>
      <c r="B26">
        <v>261.40130599999998</v>
      </c>
    </row>
    <row r="27" spans="1:2">
      <c r="A27">
        <v>0.16339899999999999</v>
      </c>
      <c r="B27">
        <v>158.52548200000001</v>
      </c>
    </row>
    <row r="28" spans="1:2">
      <c r="A28">
        <v>0.258824</v>
      </c>
      <c r="B28">
        <v>243.89804100000001</v>
      </c>
    </row>
    <row r="29" spans="1:2">
      <c r="A29">
        <v>0</v>
      </c>
      <c r="B29">
        <v>316.72680700000001</v>
      </c>
    </row>
    <row r="30" spans="1:2">
      <c r="A30">
        <v>0</v>
      </c>
      <c r="B30">
        <v>342.34509300000002</v>
      </c>
    </row>
    <row r="31" spans="1:2">
      <c r="A31">
        <v>2.2221999999999999E-2</v>
      </c>
      <c r="B31">
        <v>126.998688</v>
      </c>
    </row>
    <row r="32" spans="1:2">
      <c r="A32">
        <v>0.17254900000000001</v>
      </c>
      <c r="B32">
        <v>381.24575800000002</v>
      </c>
    </row>
    <row r="33" spans="1:2">
      <c r="A33">
        <v>0.91895400000000005</v>
      </c>
      <c r="B33">
        <v>270.60263099999997</v>
      </c>
    </row>
    <row r="34" spans="1:2">
      <c r="A34">
        <v>4.8365999999999999E-2</v>
      </c>
      <c r="B34">
        <v>257.59738199999998</v>
      </c>
    </row>
    <row r="35" spans="1:2">
      <c r="A35">
        <v>8.6275000000000004E-2</v>
      </c>
      <c r="B35">
        <v>224.315033</v>
      </c>
    </row>
    <row r="36" spans="1:2">
      <c r="A36">
        <v>1.04183</v>
      </c>
      <c r="B36">
        <v>280.10717799999998</v>
      </c>
    </row>
    <row r="37" spans="1:2">
      <c r="A37">
        <v>3.8771239999999998</v>
      </c>
      <c r="B37">
        <v>239.57908599999999</v>
      </c>
    </row>
    <row r="38" spans="1:2">
      <c r="A38">
        <v>0.40653600000000001</v>
      </c>
      <c r="B38">
        <v>275.10849000000002</v>
      </c>
    </row>
    <row r="39" spans="1:2">
      <c r="A39">
        <v>1.4562090000000001</v>
      </c>
      <c r="B39">
        <v>205.90980500000001</v>
      </c>
    </row>
    <row r="40" spans="1:2">
      <c r="A40">
        <v>3.7986930000000001</v>
      </c>
      <c r="B40">
        <v>156.54118299999999</v>
      </c>
    </row>
    <row r="41" spans="1:2">
      <c r="A41">
        <v>8.4901959999999992</v>
      </c>
      <c r="B41">
        <v>266.36340300000001</v>
      </c>
    </row>
    <row r="42" spans="1:2">
      <c r="A42">
        <v>3.6287579999999999</v>
      </c>
      <c r="B42">
        <v>207.65228300000001</v>
      </c>
    </row>
    <row r="43" spans="1:2">
      <c r="A43">
        <v>4.7359479999999996</v>
      </c>
      <c r="B43">
        <v>197.51895099999999</v>
      </c>
    </row>
    <row r="44" spans="1:2">
      <c r="A44">
        <v>11.169935000000001</v>
      </c>
      <c r="B44">
        <v>242.718964</v>
      </c>
    </row>
    <row r="45" spans="1:2">
      <c r="A45">
        <v>6.5346399999999996</v>
      </c>
      <c r="B45">
        <v>143.241837</v>
      </c>
    </row>
    <row r="46" spans="1:2">
      <c r="A46">
        <v>11.819608000000001</v>
      </c>
      <c r="B46">
        <v>233.901962</v>
      </c>
    </row>
    <row r="47" spans="1:2">
      <c r="A47">
        <v>6.7464060000000003</v>
      </c>
      <c r="B47">
        <v>131.933334</v>
      </c>
    </row>
    <row r="48" spans="1:2">
      <c r="A48">
        <v>10.83268</v>
      </c>
      <c r="B48">
        <v>203.820908</v>
      </c>
    </row>
    <row r="49" spans="1:2">
      <c r="A49">
        <v>7.4522880000000002</v>
      </c>
      <c r="B49">
        <v>199.39608799999999</v>
      </c>
    </row>
    <row r="50" spans="1:2">
      <c r="A50">
        <v>6.1830069999999999</v>
      </c>
      <c r="B50">
        <v>122.041832</v>
      </c>
    </row>
    <row r="51" spans="1:2">
      <c r="A51">
        <v>4.8745099999999999</v>
      </c>
      <c r="B51">
        <v>182.346405</v>
      </c>
    </row>
    <row r="52" spans="1:2">
      <c r="A52">
        <v>3.0954250000000001</v>
      </c>
      <c r="B52">
        <v>133.55033900000001</v>
      </c>
    </row>
    <row r="53" spans="1:2">
      <c r="A53">
        <v>2.275817</v>
      </c>
      <c r="B53">
        <v>102.99215700000001</v>
      </c>
    </row>
    <row r="54" spans="1:2">
      <c r="A54">
        <v>3.890196</v>
      </c>
      <c r="B54">
        <v>194.620926</v>
      </c>
    </row>
    <row r="55" spans="1:2">
      <c r="A55">
        <v>1.639216</v>
      </c>
      <c r="B55">
        <v>116.04705800000001</v>
      </c>
    </row>
    <row r="56" spans="1:2">
      <c r="A56">
        <v>1.5346409999999999</v>
      </c>
      <c r="B56">
        <v>119.36732499999999</v>
      </c>
    </row>
    <row r="57" spans="1:2">
      <c r="A57">
        <v>1.703268</v>
      </c>
      <c r="B57">
        <v>144.061432</v>
      </c>
    </row>
    <row r="58" spans="1:2">
      <c r="A58">
        <v>0.84313700000000003</v>
      </c>
      <c r="B58">
        <v>104.968628</v>
      </c>
    </row>
    <row r="59" spans="1:2">
      <c r="A59">
        <v>0.66928100000000001</v>
      </c>
      <c r="B59">
        <v>77.835296999999997</v>
      </c>
    </row>
    <row r="60" spans="1:2">
      <c r="A60">
        <v>0.68235299999999999</v>
      </c>
      <c r="B60">
        <v>128.39738500000001</v>
      </c>
    </row>
    <row r="61" spans="1:2">
      <c r="A61">
        <v>0.414379</v>
      </c>
      <c r="B61">
        <v>116.35817</v>
      </c>
    </row>
    <row r="62" spans="1:2">
      <c r="A62">
        <v>0.30326799999999998</v>
      </c>
      <c r="B62">
        <v>93.969939999999994</v>
      </c>
    </row>
    <row r="63" spans="1:2">
      <c r="A63">
        <v>0.181699</v>
      </c>
      <c r="B63">
        <v>67.490195999999997</v>
      </c>
    </row>
    <row r="64" spans="1:2">
      <c r="A64">
        <v>0.17124200000000001</v>
      </c>
      <c r="B64">
        <v>107.09019499999999</v>
      </c>
    </row>
    <row r="65" spans="1:2">
      <c r="A65">
        <v>9.2810000000000004E-2</v>
      </c>
      <c r="B65">
        <v>120.471901</v>
      </c>
    </row>
    <row r="66" spans="1:2">
      <c r="A66">
        <v>0.29150300000000001</v>
      </c>
      <c r="B66">
        <v>59.284968999999997</v>
      </c>
    </row>
    <row r="67" spans="1:2">
      <c r="A67">
        <v>0.48758200000000002</v>
      </c>
      <c r="B67">
        <v>73.815689000000006</v>
      </c>
    </row>
    <row r="68" spans="1:2">
      <c r="A68">
        <v>0.377778</v>
      </c>
      <c r="B68">
        <v>73.484970000000004</v>
      </c>
    </row>
    <row r="69" spans="1:2">
      <c r="A69">
        <v>0.72679700000000003</v>
      </c>
      <c r="B69">
        <v>73.014381</v>
      </c>
    </row>
    <row r="70" spans="1:2">
      <c r="A70">
        <v>0.83006500000000005</v>
      </c>
      <c r="B70">
        <v>79.189544999999995</v>
      </c>
    </row>
    <row r="71" spans="1:2">
      <c r="A71">
        <v>0.90326799999999996</v>
      </c>
      <c r="B71">
        <v>64.298034999999999</v>
      </c>
    </row>
    <row r="72" spans="1:2">
      <c r="A72">
        <v>1.669281</v>
      </c>
      <c r="B72">
        <v>63.968623999999998</v>
      </c>
    </row>
    <row r="73" spans="1:2">
      <c r="A73">
        <v>1.173856</v>
      </c>
      <c r="B73">
        <v>63.652287000000001</v>
      </c>
    </row>
    <row r="74" spans="1:2">
      <c r="A74">
        <v>1.5111110000000001</v>
      </c>
      <c r="B74">
        <v>68.818297999999999</v>
      </c>
    </row>
    <row r="75" spans="1:2">
      <c r="A75">
        <v>2.077124</v>
      </c>
      <c r="B75">
        <v>56.907187999999998</v>
      </c>
    </row>
    <row r="76" spans="1:2">
      <c r="A76">
        <v>2.6013069999999998</v>
      </c>
      <c r="B76">
        <v>56.803921000000003</v>
      </c>
    </row>
    <row r="77" spans="1:2">
      <c r="A77">
        <v>2.1320260000000002</v>
      </c>
      <c r="B77">
        <v>51.768627000000002</v>
      </c>
    </row>
    <row r="78" spans="1:2">
      <c r="A78">
        <v>2.9764710000000001</v>
      </c>
      <c r="B78">
        <v>50.729412000000004</v>
      </c>
    </row>
    <row r="79" spans="1:2">
      <c r="A79">
        <v>3.7267969999999999</v>
      </c>
      <c r="B79">
        <v>50.785621999999996</v>
      </c>
    </row>
    <row r="80" spans="1:2">
      <c r="A80">
        <v>3.47451</v>
      </c>
      <c r="B80">
        <v>60.813068000000001</v>
      </c>
    </row>
    <row r="81" spans="1:2">
      <c r="A81">
        <v>2.7346400000000002</v>
      </c>
      <c r="B81">
        <v>48.705883</v>
      </c>
    </row>
    <row r="82" spans="1:2">
      <c r="A82">
        <v>2.9856210000000001</v>
      </c>
      <c r="B82">
        <v>46.673203000000001</v>
      </c>
    </row>
    <row r="83" spans="1:2">
      <c r="A83">
        <v>4.4026149999999999</v>
      </c>
      <c r="B83">
        <v>43.475814999999997</v>
      </c>
    </row>
    <row r="84" spans="1:2">
      <c r="A84">
        <v>2.2274509999999998</v>
      </c>
      <c r="B84">
        <v>56.979084</v>
      </c>
    </row>
    <row r="85" spans="1:2">
      <c r="A85">
        <v>3.504575</v>
      </c>
      <c r="B85">
        <v>57.044445000000003</v>
      </c>
    </row>
    <row r="86" spans="1:2">
      <c r="A86">
        <v>3.9385620000000001</v>
      </c>
      <c r="B86">
        <v>53.764705999999997</v>
      </c>
    </row>
    <row r="87" spans="1:2">
      <c r="A87">
        <v>0</v>
      </c>
      <c r="B87">
        <v>0</v>
      </c>
    </row>
    <row r="88" spans="1:2">
      <c r="A88">
        <v>3.7790849999999998</v>
      </c>
      <c r="B88">
        <v>54.011768000000004</v>
      </c>
    </row>
    <row r="89" spans="1:2">
      <c r="A89">
        <v>4.1189539999999996</v>
      </c>
      <c r="B89">
        <v>54.207844000000001</v>
      </c>
    </row>
    <row r="90" spans="1:2">
      <c r="A90">
        <v>4.5320260000000001</v>
      </c>
      <c r="B90">
        <v>51.322871999999997</v>
      </c>
    </row>
    <row r="91" spans="1:2">
      <c r="A91">
        <v>2.9163399999999999</v>
      </c>
      <c r="B91">
        <v>51.938564</v>
      </c>
    </row>
    <row r="92" spans="1:2">
      <c r="A92">
        <v>4.3058820000000004</v>
      </c>
      <c r="B92">
        <v>40.321567999999999</v>
      </c>
    </row>
    <row r="93" spans="1:2">
      <c r="A93">
        <v>8.5803919999999998</v>
      </c>
      <c r="B93">
        <v>40.670586</v>
      </c>
    </row>
    <row r="94" spans="1:2">
      <c r="A94">
        <v>6.8797389999999998</v>
      </c>
      <c r="B94">
        <v>40.197384</v>
      </c>
    </row>
    <row r="95" spans="1:2">
      <c r="A95">
        <v>4.1816990000000001</v>
      </c>
      <c r="B95">
        <v>40.828758000000001</v>
      </c>
    </row>
    <row r="96" spans="1:2">
      <c r="A96">
        <v>9.7503270000000004</v>
      </c>
      <c r="B96">
        <v>48.379081999999997</v>
      </c>
    </row>
    <row r="97" spans="1:2">
      <c r="A97">
        <v>9.1189549999999997</v>
      </c>
      <c r="B97">
        <v>40.053592999999999</v>
      </c>
    </row>
    <row r="98" spans="1:2">
      <c r="A98">
        <v>11.298038999999999</v>
      </c>
      <c r="B98">
        <v>29.515034</v>
      </c>
    </row>
    <row r="99" spans="1:2">
      <c r="A99">
        <v>12.552941000000001</v>
      </c>
      <c r="B99">
        <v>57.673203000000001</v>
      </c>
    </row>
    <row r="100" spans="1:2">
      <c r="A100">
        <v>13.313725</v>
      </c>
      <c r="B100">
        <v>28.521567999999998</v>
      </c>
    </row>
    <row r="101" spans="1:2">
      <c r="A101">
        <v>13.457516</v>
      </c>
      <c r="B101">
        <v>48.101959000000001</v>
      </c>
    </row>
    <row r="102" spans="1:2">
      <c r="A102">
        <v>16.549019000000001</v>
      </c>
      <c r="B102">
        <v>36.772548999999998</v>
      </c>
    </row>
    <row r="103" spans="1:2">
      <c r="A103">
        <v>12.55817</v>
      </c>
      <c r="B103">
        <v>35.176471999999997</v>
      </c>
    </row>
    <row r="104" spans="1:2">
      <c r="A104">
        <v>11.376471</v>
      </c>
      <c r="B104">
        <v>53.964706</v>
      </c>
    </row>
    <row r="105" spans="1:2">
      <c r="A105">
        <v>25.180391</v>
      </c>
      <c r="B105">
        <v>25.750328</v>
      </c>
    </row>
    <row r="106" spans="1:2">
      <c r="A106">
        <v>13.284967</v>
      </c>
      <c r="B106">
        <v>24.269279000000001</v>
      </c>
    </row>
    <row r="107" spans="1:2">
      <c r="A107">
        <v>16.415686000000001</v>
      </c>
      <c r="B107">
        <v>40.060130999999998</v>
      </c>
    </row>
    <row r="108" spans="1:2">
      <c r="A108">
        <v>17.381699000000001</v>
      </c>
      <c r="B108">
        <v>40.364708</v>
      </c>
    </row>
    <row r="109" spans="1:2">
      <c r="A109">
        <v>20.628757</v>
      </c>
      <c r="B109">
        <v>29.728103999999998</v>
      </c>
    </row>
    <row r="110" spans="1:2">
      <c r="A110">
        <v>13.722875999999999</v>
      </c>
      <c r="B110">
        <v>27.750328</v>
      </c>
    </row>
    <row r="111" spans="1:2">
      <c r="A111">
        <v>19.549019000000001</v>
      </c>
      <c r="B111">
        <v>30.028759000000001</v>
      </c>
    </row>
    <row r="112" spans="1:2">
      <c r="A112">
        <v>20.313725999999999</v>
      </c>
      <c r="B112">
        <v>32.175162999999998</v>
      </c>
    </row>
    <row r="113" spans="1:2">
      <c r="A113">
        <v>12.507189</v>
      </c>
      <c r="B113">
        <v>26.614380000000001</v>
      </c>
    </row>
    <row r="114" spans="1:2">
      <c r="A114">
        <v>21.584313999999999</v>
      </c>
      <c r="B114">
        <v>16.993463999999999</v>
      </c>
    </row>
    <row r="115" spans="1:2">
      <c r="A115">
        <v>21.563397999999999</v>
      </c>
      <c r="B115">
        <v>34.231372999999998</v>
      </c>
    </row>
    <row r="116" spans="1:2">
      <c r="A116">
        <v>16.768626999999999</v>
      </c>
      <c r="B116">
        <v>18.083659999999998</v>
      </c>
    </row>
    <row r="117" spans="1:2">
      <c r="A117">
        <v>17.422222000000001</v>
      </c>
      <c r="B117">
        <v>26.197386000000002</v>
      </c>
    </row>
    <row r="118" spans="1:2">
      <c r="A118">
        <v>26.542482</v>
      </c>
      <c r="B118">
        <v>18.833985999999999</v>
      </c>
    </row>
    <row r="119" spans="1:2">
      <c r="A119">
        <v>20.529411</v>
      </c>
      <c r="B119">
        <v>19.474509999999999</v>
      </c>
    </row>
    <row r="120" spans="1:2">
      <c r="A120">
        <v>20.367318999999998</v>
      </c>
      <c r="B120">
        <v>21.505884000000002</v>
      </c>
    </row>
    <row r="121" spans="1:2">
      <c r="A121">
        <v>19.475816999999999</v>
      </c>
      <c r="B121">
        <v>13.615686</v>
      </c>
    </row>
    <row r="122" spans="1:2">
      <c r="A122">
        <v>20.873203</v>
      </c>
      <c r="B122">
        <v>18.330718999999998</v>
      </c>
    </row>
    <row r="123" spans="1:2">
      <c r="A123">
        <v>20.271896000000002</v>
      </c>
      <c r="B123">
        <v>16.026143999999999</v>
      </c>
    </row>
    <row r="124" spans="1:2">
      <c r="A124">
        <v>32.865360000000003</v>
      </c>
      <c r="B124">
        <v>13.423529</v>
      </c>
    </row>
    <row r="125" spans="1:2">
      <c r="A125">
        <v>14.25098</v>
      </c>
      <c r="B125">
        <v>12.899345</v>
      </c>
    </row>
    <row r="126" spans="1:2">
      <c r="A126">
        <v>41.192157999999999</v>
      </c>
      <c r="B126">
        <v>14.602614000000001</v>
      </c>
    </row>
    <row r="127" spans="1:2">
      <c r="A127">
        <v>0</v>
      </c>
      <c r="B127">
        <v>5.8196079999999997</v>
      </c>
    </row>
    <row r="128" spans="1:2">
      <c r="A128">
        <v>47.515030000000003</v>
      </c>
      <c r="B128">
        <v>20.419609000000001</v>
      </c>
    </row>
    <row r="129" spans="1:2">
      <c r="A129">
        <v>0</v>
      </c>
      <c r="B129">
        <v>0</v>
      </c>
    </row>
    <row r="130" spans="1:2">
      <c r="A130">
        <v>39.039214999999999</v>
      </c>
      <c r="B130">
        <v>15.716340000000001</v>
      </c>
    </row>
    <row r="131" spans="1:2">
      <c r="A131">
        <v>0</v>
      </c>
      <c r="B131">
        <v>0</v>
      </c>
    </row>
    <row r="132" spans="1:2">
      <c r="A132">
        <v>46.949016999999998</v>
      </c>
      <c r="B132">
        <v>15.511111</v>
      </c>
    </row>
    <row r="133" spans="1:2">
      <c r="A133">
        <v>0</v>
      </c>
      <c r="B133">
        <v>2.922876</v>
      </c>
    </row>
    <row r="134" spans="1:2">
      <c r="A134">
        <v>39.879738000000003</v>
      </c>
      <c r="B134">
        <v>8.5725490000000004</v>
      </c>
    </row>
    <row r="135" spans="1:2">
      <c r="A135">
        <v>10.830064999999999</v>
      </c>
      <c r="B135">
        <v>5.0222220000000002</v>
      </c>
    </row>
    <row r="136" spans="1:2">
      <c r="A136">
        <v>35.345097000000003</v>
      </c>
      <c r="B136">
        <v>6.088889</v>
      </c>
    </row>
    <row r="137" spans="1:2">
      <c r="A137">
        <v>11.315032</v>
      </c>
      <c r="B137">
        <v>4.5751629999999999</v>
      </c>
    </row>
    <row r="138" spans="1:2">
      <c r="A138">
        <v>22.938562000000001</v>
      </c>
      <c r="B138">
        <v>4.822222</v>
      </c>
    </row>
    <row r="139" spans="1:2">
      <c r="A139">
        <v>21.896730000000002</v>
      </c>
      <c r="B139">
        <v>3.3032680000000001</v>
      </c>
    </row>
    <row r="140" spans="1:2">
      <c r="A140">
        <v>23.389544000000001</v>
      </c>
      <c r="B140">
        <v>4.3098039999999997</v>
      </c>
    </row>
    <row r="141" spans="1:2">
      <c r="A141">
        <v>20.183008000000001</v>
      </c>
      <c r="B141">
        <v>3.198693</v>
      </c>
    </row>
    <row r="142" spans="1:2">
      <c r="A142">
        <v>20.971240999999999</v>
      </c>
      <c r="B142">
        <v>2.436601</v>
      </c>
    </row>
    <row r="143" spans="1:2">
      <c r="A143">
        <v>19.431372</v>
      </c>
      <c r="B143">
        <v>3.0013070000000002</v>
      </c>
    </row>
    <row r="144" spans="1:2">
      <c r="A144">
        <v>14.192157</v>
      </c>
      <c r="B144">
        <v>2.0444450000000001</v>
      </c>
    </row>
    <row r="145" spans="1:2">
      <c r="A145">
        <v>26.007843000000001</v>
      </c>
      <c r="B145">
        <v>2.771242</v>
      </c>
    </row>
    <row r="146" spans="1:2">
      <c r="A146">
        <v>16.032681</v>
      </c>
      <c r="B146">
        <v>0.86797400000000002</v>
      </c>
    </row>
    <row r="147" spans="1:2">
      <c r="A147">
        <v>14.128104</v>
      </c>
      <c r="B147">
        <v>1.5555559999999999</v>
      </c>
    </row>
    <row r="148" spans="1:2">
      <c r="A148">
        <v>16.622223000000002</v>
      </c>
      <c r="B148">
        <v>1.6</v>
      </c>
    </row>
    <row r="149" spans="1:2">
      <c r="A149">
        <v>17.270588</v>
      </c>
      <c r="B149">
        <v>1.393464</v>
      </c>
    </row>
    <row r="150" spans="1:2">
      <c r="A150">
        <v>11.699346999999999</v>
      </c>
      <c r="B150">
        <v>0.68235299999999999</v>
      </c>
    </row>
    <row r="151" spans="1:2">
      <c r="A151">
        <v>12.725491</v>
      </c>
      <c r="B151">
        <v>0.73594800000000005</v>
      </c>
    </row>
    <row r="152" spans="1:2">
      <c r="A152">
        <v>10.351634000000001</v>
      </c>
      <c r="B152">
        <v>1.105882</v>
      </c>
    </row>
    <row r="153" spans="1:2">
      <c r="A153">
        <v>13.602614000000001</v>
      </c>
      <c r="B153">
        <v>0.648366</v>
      </c>
    </row>
    <row r="154" spans="1:2">
      <c r="A154">
        <v>8.4967319999999997</v>
      </c>
      <c r="B154">
        <v>0.20522899999999999</v>
      </c>
    </row>
    <row r="155" spans="1:2">
      <c r="A155">
        <v>7.2535939999999997</v>
      </c>
      <c r="B155">
        <v>0.38692799999999999</v>
      </c>
    </row>
    <row r="156" spans="1:2">
      <c r="A156">
        <v>12.682353000000001</v>
      </c>
      <c r="B156">
        <v>0.65620900000000004</v>
      </c>
    </row>
    <row r="157" spans="1:2">
      <c r="A157">
        <v>7.3372549999999999</v>
      </c>
      <c r="B157">
        <v>0.32941199999999998</v>
      </c>
    </row>
    <row r="158" spans="1:2">
      <c r="A158">
        <v>9.4392160000000001</v>
      </c>
      <c r="B158">
        <v>0.15947700000000001</v>
      </c>
    </row>
    <row r="159" spans="1:2">
      <c r="A159">
        <v>8.8117649999999994</v>
      </c>
      <c r="B159">
        <v>0.39477099999999998</v>
      </c>
    </row>
    <row r="160" spans="1:2">
      <c r="A160">
        <v>9.3254900000000003</v>
      </c>
      <c r="B160">
        <v>0.117647</v>
      </c>
    </row>
    <row r="161" spans="1:2">
      <c r="A161">
        <v>6.920261</v>
      </c>
      <c r="B161">
        <v>0.206536</v>
      </c>
    </row>
    <row r="162" spans="1:2">
      <c r="A162">
        <v>7.1424839999999996</v>
      </c>
      <c r="B162">
        <v>0.10718999999999999</v>
      </c>
    </row>
    <row r="163" spans="1:2">
      <c r="A163">
        <v>5.4993470000000002</v>
      </c>
      <c r="B163">
        <v>0.15163399999999999</v>
      </c>
    </row>
    <row r="164" spans="1:2">
      <c r="A164">
        <v>6.7228760000000003</v>
      </c>
      <c r="B164">
        <v>7.8431000000000001E-2</v>
      </c>
    </row>
    <row r="165" spans="1:2">
      <c r="A165">
        <v>2.0039220000000002</v>
      </c>
      <c r="B165">
        <v>0.12679699999999999</v>
      </c>
    </row>
    <row r="166" spans="1:2">
      <c r="A166">
        <v>5.2509800000000002</v>
      </c>
      <c r="B166">
        <v>7.4510000000000007E-2</v>
      </c>
    </row>
    <row r="167" spans="1:2">
      <c r="A167">
        <v>6.1973859999999998</v>
      </c>
      <c r="B167">
        <v>7.8431000000000001E-2</v>
      </c>
    </row>
    <row r="168" spans="1:2">
      <c r="A168">
        <v>4.5999999999999996</v>
      </c>
      <c r="B168">
        <v>4.0523000000000003E-2</v>
      </c>
    </row>
    <row r="169" spans="1:2">
      <c r="A169">
        <v>1.305882</v>
      </c>
      <c r="B169">
        <v>6.2744999999999995E-2</v>
      </c>
    </row>
    <row r="170" spans="1:2">
      <c r="A170">
        <v>3.6836600000000002</v>
      </c>
      <c r="B170">
        <v>3.3987000000000003E-2</v>
      </c>
    </row>
    <row r="171" spans="1:2">
      <c r="A171">
        <v>3.8326799999999999</v>
      </c>
      <c r="B171">
        <v>4.8365999999999999E-2</v>
      </c>
    </row>
    <row r="172" spans="1:2">
      <c r="A172">
        <v>0</v>
      </c>
      <c r="B172">
        <v>2.6144000000000001E-2</v>
      </c>
    </row>
    <row r="173" spans="1:2">
      <c r="A173">
        <v>3.0993460000000002</v>
      </c>
      <c r="B173">
        <v>0</v>
      </c>
    </row>
    <row r="174" spans="1:2">
      <c r="A174">
        <v>2.1620910000000002</v>
      </c>
      <c r="B174">
        <v>1.8301000000000001E-2</v>
      </c>
    </row>
    <row r="175" spans="1:2">
      <c r="A175">
        <v>1.4379090000000001</v>
      </c>
      <c r="B175">
        <v>1.4378999999999999E-2</v>
      </c>
    </row>
    <row r="176" spans="1:2">
      <c r="A176">
        <v>0.322876</v>
      </c>
      <c r="B176">
        <v>7.8429999999999993E-3</v>
      </c>
    </row>
    <row r="177" spans="1:2">
      <c r="A177">
        <v>0.87451000000000001</v>
      </c>
      <c r="B177">
        <v>0</v>
      </c>
    </row>
    <row r="178" spans="1:2">
      <c r="A178">
        <v>0.48888900000000002</v>
      </c>
      <c r="B178">
        <v>1.307E-3</v>
      </c>
    </row>
    <row r="179" spans="1:2">
      <c r="A179">
        <v>0.36862699999999998</v>
      </c>
      <c r="B179">
        <v>2.614E-3</v>
      </c>
    </row>
    <row r="180" spans="1:2">
      <c r="A180">
        <v>0.40130700000000002</v>
      </c>
      <c r="B180">
        <v>1.307E-3</v>
      </c>
    </row>
    <row r="181" spans="1:2">
      <c r="A181">
        <v>0.39215699999999998</v>
      </c>
      <c r="B181">
        <v>1.307E-3</v>
      </c>
    </row>
    <row r="182" spans="1:2">
      <c r="A182">
        <v>0.22614400000000001</v>
      </c>
      <c r="B182">
        <v>0</v>
      </c>
    </row>
    <row r="183" spans="1:2">
      <c r="A183">
        <v>7.7123999999999998E-2</v>
      </c>
      <c r="B183">
        <v>1.307E-3</v>
      </c>
    </row>
    <row r="184" spans="1:2">
      <c r="A184">
        <v>0.313726</v>
      </c>
      <c r="B184">
        <v>1.307E-3</v>
      </c>
    </row>
    <row r="185" spans="1:2">
      <c r="A185">
        <v>0.145098</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0.871785326621471
0.87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0.87178532662147123</v>
      </c>
      <c r="I4" s="322">
        <f>IF(Measurement!AQ7&lt;&gt;"",NORMSDIST((H6-$B$2)/$B$3)*100,"")</f>
        <v>77.094351466765488</v>
      </c>
      <c r="J4" t="str">
        <f>Measurement!AR7</f>
        <v>건강</v>
      </c>
    </row>
    <row r="5" spans="1:11">
      <c r="B5" s="171">
        <v>-10</v>
      </c>
      <c r="C5" s="171">
        <f>NORMSDIST(($B5-$B$2)/$B$3)*100</f>
        <v>7.1097265868555281E-5</v>
      </c>
      <c r="G5" t="s">
        <v>1539</v>
      </c>
      <c r="H5" s="320">
        <f>IF(Measurement!AQ7&lt;-7,-7,Measurement!AQ7)</f>
        <v>0.87178532662147123</v>
      </c>
      <c r="I5" s="321">
        <f>IF(Measurement!AQ7&lt;&gt;"",0,"")</f>
        <v>0</v>
      </c>
    </row>
    <row r="6" spans="1:11">
      <c r="B6" s="171">
        <f>B5+0.1</f>
        <v>-9.9</v>
      </c>
      <c r="C6" s="171">
        <f t="shared" ref="C6:C57" si="0">NORMSDIST(($B6-$B$2)/$B$3)*100</f>
        <v>9.1781224195367343E-5</v>
      </c>
      <c r="H6" s="320">
        <f>IF(Measurement!AQ7&lt;-7,-7,Measurement!AQ7)</f>
        <v>0.87178532662147123</v>
      </c>
      <c r="I6" s="321">
        <f>IF(Measurement!AQ7&lt;&gt;"",NORMSDIST((H6-$B$2)/$B$3)*100,"")</f>
        <v>77.094351466765488</v>
      </c>
    </row>
    <row r="7" spans="1:11">
      <c r="B7" s="171">
        <f t="shared" ref="B7:B70" si="1">B6+0.1</f>
        <v>-9.8000000000000007</v>
      </c>
      <c r="C7" s="171">
        <f t="shared" si="0"/>
        <v>1.1818368021892541E-4</v>
      </c>
      <c r="D7" s="171"/>
      <c r="H7" s="320">
        <f>IF(Measurement!AQ7&lt;&gt;"",-7,"")</f>
        <v>-7</v>
      </c>
      <c r="I7" s="321">
        <f>IF(Measurement!AQ7&lt;&gt;"",NORMSDIST((H6-$B$2)/$B$3)*100,"")</f>
        <v>77.094351466765488</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45.69</v>
      </c>
      <c r="V4" t="s">
        <v>1218</v>
      </c>
    </row>
    <row r="5" spans="1:29">
      <c r="B5" s="171">
        <v>0</v>
      </c>
      <c r="C5" s="171">
        <f>NORMSDIST(($B5-$B$2)/$B$3)*100</f>
        <v>1.2153167836658598</v>
      </c>
      <c r="H5">
        <f>info!W36</f>
        <v>45.689140000000002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45.689140000000002</v>
      </c>
      <c r="I6" s="171">
        <f>NORMSDIST((H6-$B$2)/$B$3)*100</f>
        <v>42.301634262618698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42.301634262618698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2.2777699999999999</v>
      </c>
    </row>
    <row r="3" spans="1:11" ht="18">
      <c r="A3" s="71" t="s">
        <v>1065</v>
      </c>
      <c r="B3" s="557">
        <v>0.71290976993199895</v>
      </c>
      <c r="C3" s="523"/>
      <c r="H3" s="561" t="s">
        <v>2223</v>
      </c>
      <c r="I3" s="562">
        <f>IF(I2=0,0,NORMSDIST((I2-$B$2)/$B$3)*100)</f>
        <v>70.190893552622683</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2.28</v>
      </c>
    </row>
    <row r="6" spans="1:11">
      <c r="B6" s="23">
        <v>0</v>
      </c>
      <c r="C6" s="23">
        <f>NORMSDIST(($B6-$B$2)/$B$3)*100</f>
        <v>0.38478836223957635</v>
      </c>
      <c r="H6" s="205">
        <f>IF(info!V36&gt;I1,I1,info!V36)</f>
        <v>2.2777699999999999</v>
      </c>
      <c r="I6" s="560">
        <v>0</v>
      </c>
    </row>
    <row r="7" spans="1:11">
      <c r="B7" s="23">
        <f>B5+0.05</f>
        <v>0</v>
      </c>
      <c r="C7" s="23">
        <f t="shared" ref="C7:E58" si="0">NORMSDIST(($B7-$B$2)/$B$3)*100</f>
        <v>0.38478836223957635</v>
      </c>
      <c r="H7" s="205">
        <f>IF(info!V36&gt;I1,I1,info!V36)</f>
        <v>2.2777699999999999</v>
      </c>
      <c r="I7" s="560">
        <f>NORMSDIST((H7-$B$2)/$B$3)*100</f>
        <v>70.190893552622683</v>
      </c>
    </row>
    <row r="8" spans="1:11">
      <c r="B8" s="23">
        <f t="shared" ref="B8:B71" si="1">B7+0.05</f>
        <v>0.05</v>
      </c>
      <c r="C8" s="23">
        <f t="shared" si="0"/>
        <v>0.47295624138584591</v>
      </c>
      <c r="D8" s="171"/>
      <c r="H8" s="205">
        <v>0</v>
      </c>
      <c r="I8" s="560">
        <f>NORMSDIST((H7-$B$2)/$B$3)*100</f>
        <v>70.190893552622683</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감정변이도2.28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2.2777699999999999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2.2777699999999999</v>
      </c>
      <c r="I6" s="171">
        <f>NORMSDIST((H6-$B$2)/$B$3)*100</f>
        <v>8.3200809433755352E-2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8.3200809433755352E-2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45784.645451388889</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CVEY</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45784.645451388889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CVEY</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45784.645451388889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CVEY</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45784.645451388889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CVEY</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45784.645451388889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CVEY</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45784.645451388889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CVEY</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45784.645451388889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CVEY</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45784.645451388889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CVEY</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45784.645451388889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CVEY</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45784.645451388889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CVEY</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45784.645451388889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CVEY</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45784.645451388889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CVEY</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45784.645451388889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CVEY</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45784.645451388889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CVEY</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2025-05-07T06:29:37Z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