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Xb7e^1^1^\"/>
    </mc:Choice>
  </mc:AlternateContent>
  <xr:revisionPtr revIDLastSave="0" documentId="13_ncr:1_{8DC2F492-EDAB-462E-B4BA-A9128C7E312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P2" i="14"/>
  <c r="O2" i="14"/>
  <c r="H8" i="43" s="1"/>
  <c r="L8" i="37" l="1"/>
  <c r="L8" i="41"/>
  <c r="L8" i="45"/>
  <c r="L7" i="33"/>
  <c r="H8" i="36"/>
  <c r="Q8" i="37"/>
  <c r="L7" i="39"/>
  <c r="H8" i="40"/>
  <c r="Q8" i="41"/>
  <c r="L7" i="43"/>
  <c r="H8" i="44"/>
  <c r="Q8" i="45"/>
  <c r="L8" i="36"/>
  <c r="L8" i="44"/>
  <c r="L7" i="30"/>
  <c r="H8" i="33"/>
  <c r="Q8" i="36"/>
  <c r="L7" i="38"/>
  <c r="H8" i="39"/>
  <c r="Q8" i="40"/>
  <c r="L7" i="42"/>
  <c r="Q8" i="44"/>
  <c r="L7" i="46"/>
  <c r="L8" i="40"/>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9" i="1" l="1"/>
  <c r="I34" i="48" s="1"/>
  <c r="L8" i="1"/>
  <c r="I33" i="48" s="1"/>
  <c r="L16" i="1"/>
  <c r="I41" i="48" s="1"/>
  <c r="L7" i="1"/>
  <c r="I32" i="48" s="1"/>
  <c r="L15" i="1"/>
  <c r="I40" i="48" s="1"/>
  <c r="L11" i="1"/>
  <c r="I36" i="48" s="1"/>
  <c r="L10" i="1"/>
  <c r="I35"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BY6" i="1" s="1"/>
  <c r="CA7" i="1"/>
  <c r="CA6" i="1" s="1"/>
  <c r="CD7" i="1"/>
  <c r="AS7" i="1"/>
  <c r="A71" i="32"/>
  <c r="A67" i="32"/>
  <c r="B53" i="24"/>
  <c r="D53" i="24" s="1"/>
  <c r="H4" i="21"/>
  <c r="H6" i="21"/>
  <c r="I6" i="21" s="1"/>
  <c r="H5" i="21"/>
  <c r="A9" i="17"/>
  <c r="C8" i="17"/>
  <c r="B8" i="17" s="1"/>
  <c r="V21" i="11"/>
  <c r="V52" i="11"/>
  <c r="X52" i="11" s="1"/>
  <c r="B46" i="25"/>
  <c r="G46" i="25" s="1"/>
  <c r="BW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3"/>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6"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41" i="48" l="1"/>
  <c r="L41" i="18"/>
  <c r="A212" i="17"/>
  <c r="C211" i="17"/>
  <c r="B211" i="17" s="1"/>
  <c r="F209" i="11"/>
  <c r="B209" i="11"/>
  <c r="E209" i="11" s="1"/>
  <c r="A210" i="11"/>
  <c r="C212" i="17" l="1"/>
  <c r="B212" i="17" s="1"/>
  <c r="A213" i="17"/>
  <c r="F210" i="11"/>
  <c r="B210" i="11"/>
  <c r="E210" i="11" s="1"/>
  <c r="A211" i="11"/>
  <c r="Y10" i="1" l="1"/>
  <c r="Y11" i="1"/>
  <c r="Y14" i="1"/>
  <c r="Y13" i="1"/>
  <c r="Y9" i="1"/>
  <c r="Y8" i="1"/>
  <c r="Y7" i="1"/>
  <c r="C213" i="17"/>
  <c r="B213" i="17" s="1"/>
  <c r="A214" i="17"/>
  <c r="F211" i="11"/>
  <c r="A212" i="11"/>
  <c r="B211" i="11"/>
  <c r="E211" i="11" s="1"/>
  <c r="L34" i="48" l="1"/>
  <c r="L34" i="18"/>
  <c r="L39" i="48"/>
  <c r="L39" i="18"/>
  <c r="L32" i="48"/>
  <c r="L32" i="18"/>
  <c r="L36" i="48"/>
  <c r="L36" i="18"/>
  <c r="L33" i="48"/>
  <c r="L33" i="18"/>
  <c r="L38" i="48"/>
  <c r="L38" i="18"/>
  <c r="L35" i="48"/>
  <c r="L35"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<sst xmlns="http://schemas.openxmlformats.org/spreadsheetml/2006/main" count="7311" uniqueCount="2585">
  <si>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</si>
  <si>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</si>
  <si>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</si>
  <si>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</si>
  <si>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</si>
  <si>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</si>
  <si>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</si>
  <si>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</si>
  <si>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</si>
  <si>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</si>
  <si>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</si>
  <si>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</si>
  <si>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</si>
  <si>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</si>
  <si>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</si>
  <si>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</si>
  <si>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</si>
  <si>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</si>
  <si>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</si>
  <si>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</si>
  <si>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</si>
  <si>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</si>
  <si>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</si>
  <si>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</si>
  <si>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</si>
  <si>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</si>
  <si>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</si>
  <si>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</si>
  <si>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</si>
  <si>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</si>
  <si>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</si>
  <si>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</si>
  <si>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</si>
  <si>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</si>
  <si>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</si>
  <si>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</si>
  <si>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</si>
  <si>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</si>
  <si>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</si>
  <si>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</si>
  <si>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</si>
  <si>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</si>
  <si>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</si>
  <si>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</si>
  <si>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</si>
  <si>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</si>
  <si>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</si>
  <si>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</si>
  <si>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</si>
  <si>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</si>
  <si>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</si>
  <si>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</si>
  <si>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</si>
  <si>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</si>
  <si>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</si>
  <si>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</si>
  <si>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</si>
  <si>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</si>
  <si>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</si>
  <si>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</si>
  <si>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</si>
  <si>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</si>
  <si>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</si>
  <si>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</si>
  <si>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</si>
  <si>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</si>
  <si>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</si>
  <si>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</si>
  <si>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</si>
  <si>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</si>
  <si>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</si>
  <si>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</si>
  <si>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</si>
  <si>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</si>
  <si>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</si>
  <si>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</si>
  <si>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</si>
  <si>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</si>
  <si>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</si>
  <si>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</si>
  <si>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</si>
  <si>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</si>
  <si>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</si>
  <si>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</si>
  <si>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</si>
  <si>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</si>
  <si>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</si>
  <si>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</si>
  <si>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</si>
  <si>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</si>
  <si>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</si>
  <si>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</si>
  <si>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</si>
  <si>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</si>
  <si>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</si>
  <si>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</si>
  <si>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</si>
  <si>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</si>
  <si>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</si>
  <si>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</si>
  <si>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</si>
  <si>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</si>
  <si>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</si>
  <si>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</si>
  <si>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</si>
  <si>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</si>
  <si>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</si>
  <si>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</si>
  <si>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</si>
  <si>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</si>
  <si>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</si>
  <si>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</si>
  <si>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</si>
  <si>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</si>
  <si>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</si>
  <si>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</si>
  <si>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</si>
  <si>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</si>
  <si>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</si>
  <si>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</si>
  <si>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</si>
  <si>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</si>
  <si>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</si>
  <si>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</si>
  <si>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</si>
  <si>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</si>
  <si>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</si>
  <si>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</si>
  <si>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</si>
  <si>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</si>
  <si>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</si>
  <si>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</si>
  <si>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</si>
  <si>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</si>
  <si>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</si>
  <si>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</si>
  <si>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</si>
  <si>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</si>
  <si>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</si>
  <si>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</si>
  <si>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</si>
  <si>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</si>
  <si>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</si>
  <si>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</si>
  <si>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</si>
  <si>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</si>
  <si>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</si>
  <si>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</si>
  <si>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</si>
  <si>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</si>
  <si>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</si>
  <si>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</si>
  <si>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</si>
  <si>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</si>
  <si>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</si>
  <si>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</si>
  <si>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</si>
  <si>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</si>
  <si>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</si>
  <si>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</si>
  <si>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</si>
  <si>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</si>
  <si>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</si>
  <si>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</si>
  <si>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</si>
  <si>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</si>
  <si>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</si>
  <si>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</si>
  <si>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</si>
  <si>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</si>
  <si>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</si>
  <si>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</si>
  <si>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</si>
  <si>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</si>
  <si>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</si>
  <si>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</si>
  <si>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</si>
  <si>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</si>
  <si>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</si>
  <si>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</si>
  <si>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</si>
  <si>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</si>
  <si>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</si>
  <si>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</si>
  <si>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</si>
  <si>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</si>
  <si>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</si>
  <si>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</si>
  <si>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</si>
  <si>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</si>
  <si>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</si>
  <si>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</si>
  <si>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</si>
  <si>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</si>
  <si>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</si>
  <si>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</si>
  <si>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</si>
  <si>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</si>
  <si>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</si>
  <si>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</si>
  <si>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</si>
  <si>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</si>
  <si>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</si>
  <si>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</si>
  <si>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</si>
  <si>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</si>
  <si>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</si>
  <si>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</si>
  <si>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</si>
  <si>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</si>
  <si>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</si>
  <si>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</si>
  <si>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</si>
  <si>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</si>
  <si>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</si>
  <si>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</si>
  <si>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</si>
  <si>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</si>
  <si>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</si>
  <si>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</si>
  <si>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</si>
  <si>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</si>
  <si>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</si>
  <si>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</si>
  <si>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</si>
  <si>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</si>
  <si>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</si>
  <si>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</si>
  <si>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</si>
  <si>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</si>
  <si>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</si>
  <si>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</si>
  <si>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</si>
  <si>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</si>
  <si>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</si>
  <si>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</si>
  <si>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</si>
  <si>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</si>
  <si>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</si>
  <si>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</si>
  <si>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</si>
  <si>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</si>
  <si>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</si>
  <si>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</si>
  <si>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</si>
  <si>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</si>
  <si>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</si>
  <si>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</si>
  <si>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</si>
  <si>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</si>
  <si>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</si>
  <si>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</si>
  <si>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</si>
  <si>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</si>
  <si>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</si>
  <si>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</si>
  <si>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</si>
  <si>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</si>
  <si>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</si>
  <si>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</si>
  <si>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</si>
  <si>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</si>
  <si>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</si>
  <si>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</si>
  <si>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</si>
  <si>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</si>
  <si>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</si>
  <si>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</si>
  <si>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</si>
  <si>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</si>
  <si>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</si>
  <si>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</si>
  <si>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</si>
  <si>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</si>
  <si>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</si>
  <si>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</si>
  <si>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</si>
  <si>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</si>
  <si>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</si>
  <si>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</si>
  <si>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</si>
  <si>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</si>
  <si>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</si>
  <si>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</si>
  <si>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</si>
  <si>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</si>
  <si>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</si>
  <si>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</si>
  <si>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</si>
  <si>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</si>
  <si>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</si>
  <si>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</si>
  <si>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</si>
  <si>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</si>
  <si>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</si>
  <si>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</si>
  <si>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</si>
  <si>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</si>
  <si>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</si>
  <si>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</si>
  <si>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</si>
  <si>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</si>
  <si>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</si>
  <si>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</si>
  <si>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</si>
  <si>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</si>
  <si>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</si>
  <si>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</si>
  <si>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</si>
  <si>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</si>
  <si>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</si>
  <si>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</si>
  <si>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</si>
  <si>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</si>
  <si>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</si>
  <si>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</si>
  <si>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</si>
  <si>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</si>
  <si>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</si>
  <si>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</si>
  <si>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</si>
  <si>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</si>
  <si>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</si>
  <si>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</si>
  <si>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</si>
  <si>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</si>
  <si>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</si>
  <si>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</si>
  <si>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</si>
  <si>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</si>
  <si>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</si>
  <si>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</si>
  <si>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</si>
  <si>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</si>
  <si>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</si>
  <si>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</si>
  <si>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</si>
  <si>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</si>
  <si>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</si>
  <si>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</si>
  <si>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</si>
  <si>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</si>
  <si>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</si>
  <si>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</si>
  <si>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</si>
  <si>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</si>
  <si>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</si>
  <si>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</si>
  <si>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</si>
  <si>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</si>
  <si>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</si>
  <si>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</si>
  <si>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</si>
  <si>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</si>
  <si>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</si>
  <si>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</si>
  <si>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</si>
  <si>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</si>
  <si>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</si>
  <si>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</si>
  <si>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</si>
  <si>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</si>
  <si>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</si>
  <si>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</si>
  <si>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</si>
  <si>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</si>
  <si>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</si>
  <si>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</si>
  <si>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</si>
  <si>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</si>
  <si>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</si>
  <si>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</si>
  <si>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</si>
  <si>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</si>
  <si>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</si>
  <si>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</si>
  <si>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</si>
  <si>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</si>
  <si>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</si>
  <si>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</si>
  <si>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</si>
  <si>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</si>
  <si>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</si>
  <si>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</si>
  <si>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</si>
  <si>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</si>
  <si>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</si>
  <si>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</si>
  <si>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</si>
  <si>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</si>
  <si>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</si>
  <si>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</si>
  <si>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</si>
  <si>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</si>
  <si>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</si>
  <si>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</si>
  <si>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</si>
  <si>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</si>
  <si>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</si>
  <si>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</si>
  <si>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</si>
  <si>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</si>
  <si>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</si>
  <si>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</si>
  <si>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</si>
  <si>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</si>
  <si>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</si>
  <si>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</si>
  <si>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</si>
  <si>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</si>
  <si>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</si>
  <si>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</si>
  <si>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</si>
  <si>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</si>
  <si>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</si>
  <si>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</si>
  <si>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</si>
  <si>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</si>
  <si>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</si>
  <si>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</si>
  <si>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</si>
  <si>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</si>
  <si>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</si>
  <si>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</si>
  <si>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</si>
  <si>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</si>
  <si>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</si>
  <si>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</si>
  <si>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</si>
  <si>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</si>
  <si>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</si>
  <si>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</si>
  <si>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</si>
  <si>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</si>
  <si>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</si>
  <si>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</si>
  <si>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</si>
  <si>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</si>
  <si>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</si>
  <si>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</si>
  <si>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</si>
  <si>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</si>
  <si>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</si>
  <si>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</si>
  <si>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</si>
  <si>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</si>
  <si>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</si>
  <si>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</si>
  <si>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</si>
  <si>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</si>
  <si>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</si>
  <si>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</si>
  <si>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</si>
  <si>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</si>
  <si>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</si>
  <si>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</si>
  <si>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</si>
  <si>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</si>
  <si>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</si>
  <si>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</si>
  <si>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</si>
  <si>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</si>
  <si>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</si>
  <si>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</si>
  <si>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</si>
  <si>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</si>
  <si>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</si>
  <si>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</si>
  <si>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</si>
  <si>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</si>
  <si>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</si>
  <si>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</si>
  <si>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</si>
  <si>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</si>
  <si>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</si>
  <si>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</si>
  <si>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</si>
  <si>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</si>
  <si>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</si>
  <si>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</si>
  <si>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</si>
  <si>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</si>
  <si>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</si>
  <si>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</si>
  <si>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</si>
  <si>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</si>
  <si>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</si>
  <si>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</si>
  <si>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</si>
  <si>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</si>
  <si>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</si>
  <si>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</si>
  <si>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</si>
  <si>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</si>
  <si>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</si>
  <si>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</si>
  <si>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</si>
  <si>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</si>
  <si>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</si>
  <si>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</si>
  <si>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</si>
  <si>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</si>
  <si>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</si>
  <si>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</si>
  <si>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</si>
  <si>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</si>
  <si>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</si>
  <si>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</si>
  <si>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</si>
  <si>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</si>
  <si>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</si>
  <si>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</si>
  <si>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</si>
  <si>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</si>
  <si>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</si>
  <si>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</si>
  <si>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</si>
  <si>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</si>
  <si>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</si>
  <si>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</si>
  <si>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</si>
  <si>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</si>
  <si>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</si>
  <si>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</si>
  <si>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</si>
  <si>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</si>
  <si>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</si>
  <si>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</si>
  <si>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</si>
  <si>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</si>
  <si>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</si>
  <si>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</si>
  <si>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</si>
  <si>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</si>
  <si>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</si>
  <si>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</si>
  <si>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</si>
  <si>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</si>
  <si>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</si>
  <si>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</si>
  <si>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</si>
  <si>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</si>
  <si>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</si>
  <si>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</si>
  <si>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</si>
  <si>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</si>
  <si>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</si>
  <si>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</si>
  <si>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</si>
  <si>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</si>
  <si>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</si>
  <si>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</si>
  <si>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</si>
  <si>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</si>
  <si>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</si>
  <si>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</si>
  <si>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</si>
  <si>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</si>
  <si>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</si>
  <si>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</si>
  <si>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</si>
  <si>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</si>
  <si>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</si>
  <si>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</si>
  <si>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</si>
  <si>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</si>
  <si>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</si>
  <si>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</si>
  <si>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</si>
  <si>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</si>
  <si>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</si>
  <si>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</si>
  <si>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</si>
  <si>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</si>
  <si>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</si>
  <si>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</si>
  <si>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</si>
  <si>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</si>
  <si>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</si>
  <si>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</si>
  <si>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</si>
  <si>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</si>
  <si>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</si>
  <si>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</si>
  <si>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</si>
  <si>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</si>
  <si>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</si>
  <si>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</si>
  <si>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</si>
  <si>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</si>
  <si>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</si>
  <si>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</si>
  <si>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</si>
  <si>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</si>
  <si>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</si>
  <si>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</si>
  <si>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</si>
  <si>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</si>
  <si>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</si>
  <si>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</si>
  <si>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</si>
  <si>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</si>
  <si>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</si>
  <si>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</si>
  <si>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</si>
  <si>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</si>
  <si>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</si>
  <si>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</si>
  <si>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</si>
  <si>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</si>
  <si>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</si>
  <si>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</si>
  <si>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</si>
  <si>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</si>
  <si>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</si>
  <si>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</si>
  <si>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</si>
  <si>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</si>
  <si>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</si>
  <si>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</si>
  <si>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</si>
  <si>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</si>
  <si>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</si>
  <si>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</si>
  <si>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</si>
  <si>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</si>
  <si>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</si>
  <si>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</si>
  <si>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</si>
  <si>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</si>
  <si>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</si>
  <si>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</si>
  <si>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</si>
  <si>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</si>
  <si>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</si>
  <si>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</si>
  <si>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</si>
  <si>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</si>
  <si>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</si>
  <si>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</si>
  <si>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</si>
  <si>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</si>
  <si>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</si>
  <si>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</si>
  <si>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</si>
  <si>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</si>
  <si>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</si>
  <si>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</si>
  <si>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</si>
  <si>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</si>
  <si>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</si>
  <si>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</si>
  <si>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</si>
  <si>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</si>
  <si>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</si>
  <si>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</si>
  <si>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</si>
  <si>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</si>
  <si>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</si>
  <si>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</si>
  <si>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</si>
  <si>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</si>
  <si>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</si>
  <si>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</si>
  <si>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</si>
  <si>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</si>
  <si>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</si>
  <si>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</si>
  <si>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</si>
  <si>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</si>
  <si>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</si>
  <si>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</si>
  <si>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</si>
  <si>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</si>
  <si>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</si>
  <si>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</si>
  <si>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</si>
  <si>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</si>
  <si>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</si>
  <si>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</si>
  <si>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</si>
  <si>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</si>
  <si>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</si>
  <si>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</si>
  <si>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</si>
  <si>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</si>
  <si>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</si>
  <si>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</si>
  <si>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</si>
  <si>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</si>
  <si>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</si>
  <si>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</si>
  <si>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</si>
  <si>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</si>
  <si>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</si>
  <si>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</si>
  <si>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</si>
  <si>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</si>
  <si>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</si>
  <si>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</si>
  <si>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</si>
  <si>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</si>
  <si>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</si>
  <si>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</si>
  <si>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</si>
  <si>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</si>
  <si>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</si>
  <si>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</si>
  <si>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</si>
  <si>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</si>
  <si>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</si>
  <si>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</si>
  <si>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</si>
  <si>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</si>
  <si>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</si>
  <si>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</si>
  <si>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</si>
  <si>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</si>
  <si>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</si>
  <si>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</si>
  <si>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</si>
  <si>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</si>
  <si>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</si>
  <si>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</si>
  <si>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</si>
  <si>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</si>
  <si>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</si>
  <si>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</si>
  <si>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</si>
  <si>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</si>
  <si>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</si>
  <si>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</si>
  <si>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</si>
  <si>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</si>
  <si>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</si>
  <si>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</si>
  <si>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</si>
  <si>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</si>
  <si>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</si>
  <si>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</si>
  <si>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</si>
  <si>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</si>
  <si>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</si>
  <si>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</si>
  <si>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</si>
  <si>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</si>
  <si>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</si>
  <si>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</si>
  <si>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</si>
  <si>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</si>
  <si>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</si>
  <si>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</si>
  <si>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</si>
  <si>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</si>
  <si>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</si>
  <si>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</si>
  <si>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</si>
  <si>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</si>
  <si>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</si>
  <si>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</si>
  <si>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</si>
  <si>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</si>
  <si>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</si>
  <si>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</si>
  <si>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</si>
  <si>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</si>
  <si>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</si>
  <si>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</si>
  <si>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</si>
  <si>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</si>
  <si>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</si>
  <si>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</si>
  <si>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</si>
  <si>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</si>
  <si>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</si>
  <si>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</si>
  <si>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</si>
  <si>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</si>
  <si>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</si>
  <si>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</si>
  <si>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</si>
  <si>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</si>
  <si>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</si>
  <si>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</si>
  <si>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</si>
  <si>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</si>
  <si>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</si>
  <si>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</si>
  <si>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</si>
  <si>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</si>
  <si>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</si>
  <si>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</si>
  <si>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</si>
  <si>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</si>
  <si>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</si>
  <si>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</si>
  <si>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</si>
  <si>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</si>
  <si>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</si>
  <si>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</si>
  <si>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</si>
  <si>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</si>
  <si>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</si>
  <si>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</si>
  <si>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</si>
  <si>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</si>
  <si>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</si>
  <si>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</si>
  <si>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</si>
  <si>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</si>
  <si>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</si>
  <si>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</si>
  <si>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</si>
  <si>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</si>
  <si>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</si>
  <si>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</si>
  <si>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</si>
  <si>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</si>
  <si>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</si>
  <si>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</si>
  <si>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</si>
  <si>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</si>
  <si>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</si>
  <si>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</si>
  <si>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</si>
  <si>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</si>
  <si>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</si>
  <si>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</si>
  <si>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</si>
  <si>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</si>
  <si>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</si>
  <si>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</si>
  <si>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</si>
  <si>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</si>
  <si>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</si>
  <si>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</si>
  <si>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</si>
  <si>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</si>
  <si>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</si>
  <si>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</si>
  <si>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</si>
  <si>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</si>
  <si>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</si>
  <si>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</si>
  <si>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</si>
  <si>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</si>
  <si>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</si>
  <si>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</si>
  <si>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</si>
  <si>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</si>
  <si>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</si>
  <si>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</si>
  <si>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</si>
  <si>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</si>
  <si>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</si>
  <si>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</si>
  <si>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</si>
  <si>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</si>
  <si>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</si>
  <si>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</si>
  <si>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</si>
  <si>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</si>
  <si>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</si>
  <si>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</si>
  <si>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</si>
  <si>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</si>
  <si>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</si>
  <si>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</si>
  <si>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</si>
  <si>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</si>
  <si>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</si>
  <si>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</si>
  <si>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</si>
  <si>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</si>
  <si>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</si>
  <si>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</si>
  <si>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</si>
  <si>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</si>
  <si>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</si>
  <si>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</si>
  <si>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</si>
  <si>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</si>
  <si>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</si>
  <si>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</si>
  <si>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</si>
  <si>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</si>
  <si>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</si>
  <si>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</si>
  <si>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</si>
  <si>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</si>
  <si>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</si>
  <si>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</si>
  <si>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</si>
  <si>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</si>
  <si>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</si>
  <si>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</si>
  <si>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</si>
  <si>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</si>
  <si>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</si>
  <si>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</si>
  <si>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</si>
  <si>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</si>
  <si>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</si>
  <si>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</si>
  <si>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</si>
  <si>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</si>
  <si>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</si>
  <si>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</si>
  <si>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</si>
  <si>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</si>
  <si>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</si>
  <si>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</si>
  <si>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</si>
  <si>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</si>
  <si>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</si>
  <si>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</si>
  <si>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</si>
  <si>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</si>
  <si>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</si>
  <si>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</si>
  <si>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</si>
  <si>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</si>
  <si>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</si>
  <si>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</si>
  <si>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</si>
  <si>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</si>
  <si>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</si>
  <si>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</si>
  <si>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</si>
  <si>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</si>
  <si>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</si>
  <si>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</si>
  <si>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</si>
  <si>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</si>
  <si>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</si>
  <si>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</si>
  <si>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</si>
  <si>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</si>
  <si>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</si>
  <si>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</si>
  <si>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</si>
  <si>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</si>
  <si>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</si>
  <si>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</si>
  <si>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</si>
  <si>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</si>
  <si>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</si>
  <si>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</si>
  <si>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</si>
  <si>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</si>
  <si>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</si>
  <si>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</si>
  <si>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</si>
  <si>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</si>
  <si>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</si>
  <si>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</si>
  <si>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</si>
  <si>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</si>
  <si>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</si>
  <si>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</si>
  <si>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</si>
  <si>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</si>
  <si>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</si>
  <si>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</si>
  <si>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</si>
  <si>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</si>
  <si>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</si>
  <si>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</si>
  <si>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</si>
  <si>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</si>
  <si>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</si>
  <si>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</si>
  <si>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</si>
  <si>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</si>
  <si>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</si>
  <si>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</si>
  <si>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</si>
  <si>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</si>
  <si>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</si>
  <si>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</si>
  <si>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</si>
  <si>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</si>
  <si>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</si>
  <si>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</si>
  <si>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</si>
  <si>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</si>
  <si>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</si>
  <si>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</si>
  <si>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</si>
  <si>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</si>
  <si>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</si>
  <si>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</si>
  <si>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</si>
  <si>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</si>
  <si>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</si>
  <si>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</si>
  <si>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</si>
  <si>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</si>
  <si>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</si>
  <si>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</si>
  <si>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</si>
  <si>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</si>
  <si>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</si>
  <si>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</si>
  <si>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</si>
  <si>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</si>
  <si>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</si>
  <si>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</si>
  <si>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</si>
  <si>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</si>
  <si>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</si>
  <si>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</si>
  <si>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</si>
  <si>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</si>
  <si>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</si>
  <si>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</si>
  <si>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</si>
  <si>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</si>
  <si>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</si>
  <si>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</si>
  <si>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</si>
  <si>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</si>
  <si>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</si>
  <si>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</si>
  <si>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</si>
  <si>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</si>
  <si>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</si>
  <si>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</si>
  <si>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</si>
  <si>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</si>
  <si>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</si>
  <si>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</si>
  <si>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</si>
  <si>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</si>
  <si>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</si>
  <si>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</si>
  <si>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</si>
  <si>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</si>
  <si>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</si>
  <si>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</si>
  <si>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</si>
  <si>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</si>
  <si>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</si>
  <si>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</si>
  <si>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</si>
  <si>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</si>
  <si>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</si>
  <si>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</si>
  <si>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</si>
  <si>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</si>
  <si>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</si>
  <si>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</si>
  <si>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</si>
  <si>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</si>
  <si>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</si>
  <si>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</si>
  <si>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</si>
  <si>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</si>
  <si>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</si>
  <si>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</si>
  <si>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</si>
  <si>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</si>
  <si>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</si>
  <si>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</si>
  <si>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</si>
  <si>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</si>
  <si>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</si>
  <si>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</si>
  <si>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</si>
  <si>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</si>
  <si>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</si>
  <si>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</si>
  <si>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</si>
  <si>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</si>
  <si>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</si>
  <si>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</si>
  <si>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</si>
  <si>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</si>
  <si>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</si>
  <si>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</si>
  <si>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</si>
  <si>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</si>
  <si>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</si>
  <si>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</si>
  <si>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</si>
  <si>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</si>
  <si>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</si>
  <si>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</si>
  <si>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</si>
  <si>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</si>
  <si>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</si>
  <si>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</si>
  <si>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</si>
  <si>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</si>
  <si>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</si>
  <si>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</si>
  <si>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</si>
  <si>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</si>
  <si>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</si>
  <si>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</si>
  <si>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</si>
  <si>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</si>
  <si>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</si>
  <si>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</si>
  <si>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</si>
  <si>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</si>
  <si>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</si>
  <si>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</si>
  <si>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</si>
  <si>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</si>
  <si>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</si>
  <si>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</si>
  <si>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</si>
  <si>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</si>
  <si>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</si>
  <si>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</si>
  <si>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</si>
  <si>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</si>
  <si>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</si>
  <si>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</si>
  <si>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</si>
  <si>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</si>
  <si>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</si>
  <si>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</si>
  <si>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</si>
  <si>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</si>
  <si>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</si>
  <si>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</si>
  <si>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</si>
  <si>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</si>
  <si>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</si>
  <si>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</si>
  <si>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</si>
  <si>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</si>
  <si>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</si>
  <si>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</si>
  <si>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</si>
  <si>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</si>
  <si>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</si>
  <si>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</si>
  <si>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</si>
  <si>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</si>
  <si>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</si>
  <si>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</si>
  <si>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</si>
  <si>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</si>
  <si>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</si>
  <si>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</si>
  <si>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</si>
  <si>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</si>
  <si>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</si>
  <si>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</si>
  <si>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</si>
  <si>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</si>
  <si>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</si>
  <si>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</si>
  <si>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</si>
  <si>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</si>
  <si>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</si>
  <si>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</si>
  <si>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</si>
  <si>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</si>
  <si>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</si>
  <si>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</si>
  <si>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</si>
  <si>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</si>
  <si>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</si>
  <si>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</si>
  <si>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</si>
  <si>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</si>
  <si>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</si>
  <si>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</si>
  <si>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</si>
  <si>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</si>
  <si>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</si>
  <si>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</si>
  <si>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</si>
  <si>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</si>
  <si>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</si>
  <si>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</si>
  <si>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</si>
  <si>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</si>
  <si>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</si>
  <si>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</si>
  <si>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</si>
  <si>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</si>
  <si>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</si>
  <si>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</si>
  <si>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</si>
  <si>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</si>
  <si>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</si>
  <si>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</si>
  <si>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</si>
  <si>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</si>
  <si>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</si>
  <si>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</si>
  <si>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</si>
  <si>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</si>
  <si>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</si>
  <si>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</si>
  <si>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</si>
  <si>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</si>
  <si>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</si>
  <si>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</si>
  <si>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</si>
  <si>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</si>
  <si>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</si>
  <si>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</si>
  <si>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</si>
  <si>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</si>
  <si>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</si>
  <si>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</si>
  <si>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</si>
  <si>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</si>
  <si>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</si>
  <si>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</si>
  <si>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</si>
  <si>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</si>
  <si>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</si>
  <si>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</si>
  <si>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</si>
  <si>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</si>
  <si>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</si>
  <si>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</si>
  <si>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</si>
  <si>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</si>
  <si>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</si>
  <si>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</si>
  <si>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</si>
  <si>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</si>
  <si>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</si>
  <si>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</si>
  <si>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</si>
  <si>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</si>
  <si>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</si>
  <si>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</si>
  <si>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</si>
  <si>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</si>
  <si>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</si>
  <si>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</si>
  <si>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</si>
  <si>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</si>
  <si>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</si>
  <si>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</si>
  <si>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</si>
  <si>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</si>
  <si>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</si>
  <si>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</si>
  <si>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</si>
  <si>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</si>
  <si>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</si>
  <si>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</si>
  <si>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</si>
  <si>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</si>
  <si>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</si>
  <si>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</si>
  <si>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</si>
  <si>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</si>
  <si>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</si>
  <si>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</si>
  <si>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</si>
  <si>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</si>
  <si>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</si>
  <si>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</si>
  <si>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</si>
  <si>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</si>
  <si>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</si>
  <si>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</si>
  <si>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</si>
  <si>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</si>
  <si>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</si>
  <si>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</si>
  <si>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</si>
  <si>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</si>
  <si>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</si>
  <si>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</si>
  <si>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</si>
  <si>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</si>
  <si>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</si>
  <si>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</si>
  <si>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</si>
  <si>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</si>
  <si>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</si>
  <si>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</si>
  <si>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</si>
  <si>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</si>
  <si>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</si>
  <si>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</si>
  <si>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</si>
  <si>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</si>
  <si>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</si>
  <si>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</si>
  <si>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</si>
  <si>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</si>
  <si>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</si>
  <si>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</si>
  <si>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</si>
  <si>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</si>
  <si>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</si>
  <si>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</si>
  <si>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</si>
  <si>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</si>
  <si>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</si>
  <si>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</si>
  <si>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</si>
  <si>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</si>
  <si>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</si>
  <si>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</si>
  <si>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</si>
  <si>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</si>
  <si>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</si>
  <si>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</si>
  <si>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</si>
  <si>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</si>
  <si>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</si>
  <si>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</si>
  <si>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</si>
  <si>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</si>
  <si>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</si>
  <si>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</si>
  <si>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</si>
  <si>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</si>
  <si>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</si>
  <si>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</si>
  <si>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</si>
  <si>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</si>
  <si>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</si>
  <si>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</si>
  <si>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</si>
  <si>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</si>
  <si>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</si>
  <si>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</si>
  <si>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</si>
  <si>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</si>
  <si>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</si>
  <si>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</si>
  <si>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</si>
  <si>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</si>
  <si>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</si>
  <si>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</si>
  <si>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</si>
  <si>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</si>
  <si>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</si>
  <si>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</si>
  <si>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</si>
  <si>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</si>
  <si>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</si>
  <si>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</si>
  <si>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</si>
  <si>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</si>
  <si>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</si>
  <si>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</si>
  <si>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</si>
  <si>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</si>
  <si>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</si>
  <si>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</si>
  <si>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</si>
  <si>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</si>
  <si>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</si>
  <si>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</si>
  <si>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</si>
  <si>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</si>
  <si>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</si>
  <si>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</si>
  <si>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</si>
  <si>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</si>
  <si>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</si>
  <si>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</si>
  <si>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</si>
  <si>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</si>
  <si>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</si>
  <si>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</si>
  <si>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</si>
  <si>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</si>
  <si>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</si>
  <si>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</si>
  <si>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</si>
  <si>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</si>
  <si>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</si>
  <si>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</si>
  <si>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</si>
  <si>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</si>
  <si>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</si>
  <si>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</si>
  <si>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</si>
  <si>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</si>
  <si>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</si>
  <si>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</si>
  <si>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</si>
  <si>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</si>
  <si>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</si>
  <si>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</si>
  <si>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</si>
  <si>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</si>
  <si>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</si>
  <si>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</si>
  <si>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</si>
  <si>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</si>
  <si>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</si>
  <si>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</si>
  <si>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</si>
  <si>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</si>
  <si>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</si>
  <si>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</si>
  <si>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</si>
  <si>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</si>
  <si>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</si>
  <si>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</si>
  <si>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</si>
  <si>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</si>
  <si>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</si>
  <si>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</si>
  <si>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</si>
  <si>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</si>
  <si>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</si>
  <si>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</si>
  <si>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</si>
  <si>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</si>
  <si>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</si>
  <si>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</si>
  <si>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</si>
  <si>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</si>
  <si>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</si>
  <si>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</si>
  <si>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</si>
  <si>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</si>
  <si>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</si>
  <si>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</si>
  <si>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</si>
  <si>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</si>
  <si>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</si>
  <si>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</si>
  <si>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</si>
  <si>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</si>
  <si>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</si>
  <si>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</si>
  <si>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</si>
  <si>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</si>
  <si>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</si>
  <si>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</si>
  <si>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</si>
  <si>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</si>
  <si>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</si>
  <si>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</si>
  <si>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</si>
  <si>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</si>
  <si>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</si>
  <si>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</si>
  <si>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</si>
  <si>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</si>
  <si>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</si>
  <si>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</si>
  <si>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</si>
  <si>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</si>
  <si>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</si>
  <si>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</si>
  <si>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</si>
  <si>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</si>
  <si>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</si>
  <si>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</si>
  <si>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</si>
  <si>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</si>
  <si>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</si>
  <si>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</si>
  <si>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</si>
  <si>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</si>
  <si>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</si>
  <si>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</si>
  <si>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</si>
  <si>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</si>
  <si>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</si>
  <si>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</si>
  <si>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</si>
  <si>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</si>
  <si>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</si>
  <si>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</si>
  <si>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</si>
  <si>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</si>
  <si>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</si>
  <si>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</si>
  <si>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</si>
  <si>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</si>
  <si>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</si>
  <si>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</si>
  <si>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</si>
  <si>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</si>
  <si>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</si>
  <si>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</si>
  <si>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</si>
  <si>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</si>
  <si>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</si>
  <si>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</si>
  <si>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</si>
  <si>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</si>
  <si>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</si>
  <si>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</si>
  <si>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</si>
  <si>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</si>
  <si>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</si>
  <si>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</si>
  <si>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</si>
  <si>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</si>
  <si>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</si>
  <si>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</si>
  <si>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</si>
  <si>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</si>
  <si>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</si>
  <si>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</si>
  <si>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</si>
  <si>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</si>
  <si>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</si>
  <si>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</si>
  <si>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</si>
  <si>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</si>
  <si>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</si>
  <si>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</si>
  <si>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</si>
  <si>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</si>
  <si>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</si>
  <si>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</si>
  <si>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</si>
  <si>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</si>
  <si>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</si>
  <si>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</si>
  <si>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</si>
  <si>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</si>
  <si>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</si>
  <si>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</si>
  <si>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</si>
  <si>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</si>
  <si>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</si>
  <si>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</si>
  <si>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</si>
  <si>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</si>
  <si>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</si>
  <si>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</si>
  <si>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</si>
  <si>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</si>
  <si>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</si>
  <si>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</si>
  <si>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</si>
  <si>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</si>
  <si>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</si>
  <si>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</si>
  <si>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</si>
  <si>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</si>
  <si>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</si>
  <si>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</si>
  <si>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</si>
  <si>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</si>
  <si>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</si>
  <si>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</si>
  <si>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</si>
  <si>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</si>
  <si>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</si>
  <si>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</si>
  <si>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</si>
  <si>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</si>
  <si>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</si>
  <si>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</si>
  <si>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</si>
  <si>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</si>
  <si>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</si>
  <si>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</si>
  <si>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</si>
  <si>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</si>
  <si>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</si>
  <si>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</si>
  <si>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</si>
  <si>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</si>
  <si>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</si>
  <si>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</si>
  <si>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</si>
  <si>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</si>
  <si>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</si>
  <si>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</si>
  <si>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</si>
  <si>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</si>
  <si>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</si>
  <si>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</si>
  <si>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</si>
  <si>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</si>
  <si>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</si>
  <si>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</si>
  <si>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</si>
  <si>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</si>
  <si>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</si>
  <si>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</si>
  <si>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</si>
  <si>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</si>
  <si>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</si>
  <si>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</si>
  <si>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</si>
  <si>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</si>
  <si>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</si>
  <si>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</si>
  <si>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</si>
  <si>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</si>
  <si>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</si>
  <si>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</si>
  <si>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</si>
  <si>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</si>
  <si>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</si>
  <si>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</si>
  <si>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</si>
  <si>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</si>
  <si>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</si>
  <si>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</si>
  <si>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</si>
  <si>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</si>
  <si>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</si>
  <si>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</si>
  <si>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</si>
  <si>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</si>
  <si>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</si>
  <si>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</si>
  <si>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</si>
  <si>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</si>
  <si>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</si>
  <si>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</si>
  <si>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</si>
  <si>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</si>
  <si>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</si>
  <si>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</si>
  <si>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</si>
  <si>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</si>
  <si>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</si>
  <si>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</si>
  <si>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</si>
  <si>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</si>
  <si>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</si>
  <si>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</si>
  <si>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</si>
  <si>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</si>
  <si>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</si>
  <si>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</si>
  <si>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</si>
  <si>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</si>
  <si>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</si>
  <si>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</si>
  <si>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</si>
  <si>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</si>
  <si>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</si>
  <si>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</si>
  <si>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</si>
  <si>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</si>
  <si>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</si>
  <si>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</si>
  <si>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</si>
  <si>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</si>
  <si>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</si>
  <si>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</si>
  <si>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</si>
  <si>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</si>
  <si>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</si>
  <si>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</si>
  <si>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</si>
  <si>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</si>
  <si>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</si>
  <si>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</si>
  <si>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</si>
  <si>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</si>
  <si>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</si>
  <si>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</si>
  <si>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</si>
  <si>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</si>
  <si>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</si>
  <si>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</si>
  <si>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</si>
  <si>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</si>
  <si>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</si>
  <si>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</si>
  <si>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</si>
  <si>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</si>
  <si>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</si>
  <si>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</si>
  <si>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</si>
  <si>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</si>
  <si>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</si>
  <si>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</si>
  <si>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</si>
  <si>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</si>
  <si>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</si>
  <si>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</si>
  <si>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</si>
  <si>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</si>
  <si>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</si>
  <si>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</si>
  <si>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</si>
  <si>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</si>
  <si>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</si>
  <si>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</si>
  <si>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</si>
  <si>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</si>
  <si>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</si>
  <si>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</si>
  <si>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</si>
  <si>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</si>
  <si>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</si>
  <si>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</si>
  <si>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</si>
  <si>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</si>
  <si>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</si>
  <si>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</si>
  <si>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</si>
  <si>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</si>
  <si>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</si>
  <si>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</si>
  <si>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</si>
  <si>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</si>
  <si>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</si>
  <si>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</si>
  <si>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</si>
  <si>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</si>
  <si>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</si>
  <si>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</si>
  <si>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</si>
  <si>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</si>
  <si>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</si>
  <si>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</si>
  <si>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</si>
  <si>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</si>
  <si>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</si>
  <si>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</si>
  <si>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</si>
  <si>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</si>
  <si>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</si>
  <si>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</si>
  <si>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</si>
  <si>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</si>
  <si>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</si>
  <si>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</si>
  <si>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</si>
  <si>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</si>
  <si>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</si>
  <si>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</si>
  <si>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</si>
  <si>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</si>
  <si>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</si>
  <si>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</si>
  <si>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</si>
  <si>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</si>
  <si>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</si>
  <si>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</si>
  <si>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</si>
  <si>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</si>
  <si>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</si>
  <si>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</si>
  <si>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</si>
  <si>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</si>
  <si>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</si>
  <si>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</si>
  <si>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</si>
  <si>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</si>
  <si>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</si>
  <si>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</si>
  <si>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</si>
  <si>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</si>
  <si>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</si>
  <si>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</si>
  <si>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</si>
  <si>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</si>
  <si>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</si>
  <si>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</si>
  <si>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</si>
  <si>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</si>
  <si>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</si>
  <si>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</si>
  <si>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</si>
  <si>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</si>
  <si>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</si>
  <si>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</si>
  <si>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</si>
  <si>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</si>
  <si>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</si>
  <si>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</si>
  <si>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</si>
  <si>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</si>
  <si>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</si>
  <si>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</si>
  <si>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</si>
  <si>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</si>
  <si>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</si>
  <si>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</si>
  <si>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</si>
  <si>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</si>
  <si>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</si>
  <si>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</si>
  <si>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</si>
  <si>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</si>
  <si>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</si>
  <si>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</si>
  <si>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</si>
  <si>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</si>
  <si>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</si>
  <si>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</si>
  <si>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</si>
  <si>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</si>
  <si>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</si>
  <si>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</si>
  <si>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</si>
  <si>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</si>
  <si>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</si>
  <si>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</si>
  <si>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</si>
  <si>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</si>
  <si>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</si>
  <si>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</si>
  <si>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</si>
  <si>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</si>
  <si>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</si>
  <si>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</si>
  <si>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</si>
  <si>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</si>
  <si>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</si>
  <si>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</si>
  <si>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</si>
  <si>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</si>
  <si>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</si>
  <si>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</si>
  <si>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</si>
  <si>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</si>
  <si>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</si>
  <si>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</si>
  <si>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</si>
  <si>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</si>
  <si>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</si>
  <si>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</si>
  <si>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</si>
  <si>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</si>
  <si>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</si>
  <si>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</si>
  <si>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</si>
  <si>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</si>
  <si>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</si>
  <si>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</si>
  <si>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</si>
  <si>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</si>
  <si>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</si>
  <si>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</si>
  <si>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</si>
  <si>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</si>
  <si>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</si>
  <si>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</si>
  <si>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</si>
  <si>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</si>
  <si>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</si>
  <si>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</si>
  <si>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</si>
  <si>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</si>
  <si>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</si>
  <si>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</si>
  <si>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</si>
  <si>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</si>
  <si>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</si>
  <si>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</si>
  <si>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</si>
  <si>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</si>
  <si>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</si>
  <si>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</si>
  <si>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</si>
  <si>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</si>
  <si>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</si>
  <si>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</si>
  <si>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</si>
  <si>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</si>
  <si>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</si>
  <si>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</si>
  <si>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</si>
  <si>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</si>
  <si>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</si>
  <si>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</si>
  <si>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</si>
  <si>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</si>
  <si>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</si>
  <si>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</si>
  <si>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</si>
  <si>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</si>
  <si>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</si>
  <si>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</si>
  <si>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</si>
  <si>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</si>
  <si>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</si>
  <si>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</si>
  <si>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</si>
  <si>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</si>
  <si>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</si>
  <si>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</si>
  <si>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</si>
  <si>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</si>
  <si>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</si>
  <si>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</si>
  <si>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</si>
  <si>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</si>
  <si>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</si>
  <si>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</si>
  <si>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</si>
  <si>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</si>
  <si>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</si>
  <si>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</si>
  <si>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</si>
  <si>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</si>
  <si>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</si>
  <si>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</si>
  <si>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</si>
  <si>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</si>
  <si>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</si>
  <si>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</si>
  <si>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</si>
  <si>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</si>
  <si>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</si>
  <si>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</si>
  <si>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</si>
  <si>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</si>
  <si>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</si>
  <si>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</si>
  <si>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</si>
  <si>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</si>
  <si>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</si>
  <si>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</si>
  <si>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</si>
  <si>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</si>
  <si>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</si>
  <si>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</si>
  <si>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</si>
  <si>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</si>
  <si>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</si>
  <si>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</si>
  <si>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</si>
  <si>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</si>
  <si>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</si>
  <si>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</si>
  <si>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</si>
  <si>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</si>
  <si>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</si>
  <si>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</si>
  <si>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</si>
  <si>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</si>
  <si>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</si>
  <si>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</si>
  <si>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</si>
  <si>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</si>
  <si>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</si>
  <si>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</si>
  <si>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</si>
  <si>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</si>
  <si>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</si>
  <si>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</si>
  <si>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</si>
  <si>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</si>
  <si>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</si>
  <si>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</si>
  <si>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</si>
  <si>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</si>
  <si>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</si>
  <si>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</si>
  <si>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</si>
  <si>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</si>
  <si>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</si>
  <si>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</si>
  <si>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</si>
  <si>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</si>
  <si>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</si>
  <si>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</si>
  <si>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</si>
  <si>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</si>
  <si>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</si>
  <si>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</si>
  <si>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</si>
  <si>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</si>
  <si>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</si>
  <si>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</si>
  <si>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</si>
  <si>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</si>
  <si>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</si>
  <si>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</si>
  <si>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</si>
  <si>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</si>
  <si>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</si>
  <si>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</si>
  <si>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</si>
  <si>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</si>
  <si>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</si>
  <si>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</si>
  <si>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</si>
  <si>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</si>
  <si>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</si>
  <si>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</si>
  <si>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</si>
  <si>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</si>
  <si>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</si>
  <si>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</si>
  <si>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</si>
  <si>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</si>
  <si>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</si>
  <si>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</si>
  <si>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</si>
  <si>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</si>
  <si>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</si>
  <si>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</si>
  <si>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</si>
  <si>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</si>
  <si>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</si>
  <si>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</si>
  <si>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</si>
  <si>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</si>
  <si>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</si>
  <si>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</si>
  <si>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</si>
  <si>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</si>
  <si>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</si>
  <si>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</si>
  <si>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</si>
  <si>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</si>
  <si>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</si>
  <si>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</si>
  <si>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</si>
  <si>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</si>
  <si>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</si>
  <si>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</si>
  <si>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</si>
  <si>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</si>
  <si>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</si>
  <si>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</si>
  <si>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</si>
  <si>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</si>
  <si>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</si>
  <si>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</si>
  <si>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</si>
  <si>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</si>
  <si>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</si>
  <si>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</si>
  <si>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</si>
  <si>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</si>
  <si>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</si>
  <si>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</si>
  <si>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</si>
  <si>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</si>
  <si>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</si>
  <si>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</si>
  <si>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</si>
  <si>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</si>
  <si>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</si>
  <si>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</si>
  <si>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</si>
  <si>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</si>
  <si>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</si>
  <si>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</si>
  <si>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</si>
  <si>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</si>
  <si>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</si>
  <si>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</si>
  <si>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</si>
  <si>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</si>
  <si>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</si>
  <si>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</si>
  <si>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</si>
  <si>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</si>
  <si>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</si>
  <si>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</si>
  <si>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</si>
  <si>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</si>
  <si>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</si>
  <si>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</si>
  <si>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</si>
  <si>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</si>
  <si>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</si>
  <si>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</si>
  <si>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</si>
  <si>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</si>
  <si>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</si>
  <si>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</si>
  <si>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</si>
  <si>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</si>
  <si>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</si>
  <si>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</si>
  <si>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</si>
  <si>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</si>
  <si>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</si>
  <si>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</si>
  <si>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</si>
  <si>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</si>
  <si>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</si>
  <si>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</si>
  <si>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</si>
  <si>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</si>
  <si>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</si>
  <si>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</si>
  <si>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</si>
  <si>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</si>
  <si>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</si>
  <si>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</si>
  <si>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</si>
  <si>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</si>
  <si>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</si>
  <si>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</si>
  <si>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</si>
  <si>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</si>
  <si>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</si>
  <si>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</si>
  <si>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</si>
  <si>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</si>
  <si>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</si>
  <si>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</si>
  <si>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</si>
  <si>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</si>
  <si>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</si>
  <si>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</si>
  <si>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</si>
  <si>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</si>
  <si>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</si>
  <si>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</si>
  <si>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</si>
  <si>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</si>
  <si>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</si>
  <si>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</si>
  <si>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</si>
  <si>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</si>
  <si>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</si>
  <si>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</si>
  <si>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</si>
  <si>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</si>
  <si>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</si>
  <si>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</si>
  <si>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</si>
  <si>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</si>
  <si>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</si>
  <si>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</si>
  <si>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</si>
  <si>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</si>
  <si>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</si>
  <si>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</si>
  <si>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</si>
  <si>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</si>
  <si>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</si>
  <si>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</si>
  <si>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</si>
  <si>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</si>
  <si>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</si>
  <si>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</si>
  <si>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</si>
  <si>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</si>
  <si>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</si>
  <si>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</si>
  <si>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</si>
  <si>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</si>
  <si>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</si>
  <si>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</si>
  <si>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</si>
  <si>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</si>
  <si>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</si>
  <si>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</si>
  <si>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</si>
  <si>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</si>
  <si>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</si>
  <si>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</si>
  <si>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</si>
  <si>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</si>
  <si>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</si>
  <si>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</si>
  <si>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</si>
  <si>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</si>
  <si>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</si>
  <si>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</si>
  <si>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</si>
  <si>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</si>
  <si>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</si>
  <si>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</si>
  <si>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</si>
  <si>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</si>
  <si>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</si>
  <si>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</si>
  <si>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</si>
  <si>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</si>
  <si>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</si>
  <si>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</si>
  <si>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</si>
  <si>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</si>
  <si>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</si>
  <si>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</si>
  <si>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</si>
  <si>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</si>
  <si>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</si>
  <si>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</si>
  <si>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</si>
  <si>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</si>
  <si>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</si>
  <si>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</si>
  <si>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</si>
  <si>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</si>
  <si>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</si>
  <si>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</si>
  <si>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</si>
  <si>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</si>
  <si>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</si>
  <si>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</si>
  <si>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</si>
  <si>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</si>
  <si>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</si>
  <si>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</si>
  <si>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</si>
  <si>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</si>
  <si>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</si>
  <si>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</si>
  <si>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</si>
  <si>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</si>
  <si>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</si>
  <si>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</si>
  <si>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</si>
  <si>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</si>
  <si>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</si>
  <si>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</si>
  <si>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</si>
  <si>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</si>
  <si>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</si>
  <si>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</si>
  <si>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</si>
  <si>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</si>
  <si>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</si>
  <si>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</si>
  <si>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</si>
  <si>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</si>
  <si>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</si>
  <si>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</si>
  <si>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</si>
  <si>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</si>
  <si>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</si>
  <si>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</si>
  <si>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</si>
  <si>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</si>
  <si>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</si>
  <si>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</si>
  <si>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</si>
  <si>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</si>
  <si>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</si>
  <si>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</si>
  <si>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</si>
  <si>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</si>
  <si>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</si>
  <si>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</si>
  <si>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</si>
  <si>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</si>
  <si>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</si>
  <si>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</si>
  <si>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</si>
  <si>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</si>
  <si>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</si>
  <si>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</si>
  <si>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</si>
  <si>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</si>
  <si>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</si>
  <si>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</si>
  <si>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</si>
  <si>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</si>
  <si>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</si>
  <si>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</si>
  <si>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</si>
  <si>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</si>
  <si>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</si>
  <si>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</si>
  <si>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</si>
  <si>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</si>
  <si>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</si>
  <si>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</si>
  <si>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</si>
  <si>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</si>
  <si>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</si>
  <si>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</si>
  <si>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</si>
  <si>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</si>
  <si>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</si>
  <si>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</si>
  <si>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</si>
  <si>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</si>
  <si>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</si>
  <si>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</si>
  <si>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</si>
  <si>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</si>
  <si>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</si>
  <si>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</si>
  <si>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</si>
  <si>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</si>
  <si>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</si>
  <si>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</si>
  <si>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</si>
  <si>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</si>
  <si>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</si>
  <si>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</si>
  <si>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</si>
  <si>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</si>
  <si>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</si>
  <si>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</si>
  <si>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</si>
  <si>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</si>
  <si>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</si>
  <si>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</si>
  <si>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</si>
  <si>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</si>
  <si>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</si>
  <si>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</si>
  <si>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</si>
  <si>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</si>
  <si>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</si>
  <si>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</si>
  <si>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</si>
  <si>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</si>
  <si>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</si>
  <si>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</si>
  <si>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</si>
  <si>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</si>
  <si>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</si>
  <si>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</si>
  <si>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</si>
  <si>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</si>
  <si>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</si>
  <si>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</si>
  <si>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</si>
  <si>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</si>
  <si>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</si>
  <si>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</si>
  <si>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</si>
  <si>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</si>
  <si>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</si>
  <si>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</si>
  <si>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</si>
  <si>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</si>
  <si>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</si>
  <si>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</si>
  <si>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</si>
  <si>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</si>
  <si>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</si>
  <si>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</si>
  <si>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</si>
  <si>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</si>
  <si>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</si>
  <si>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</si>
  <si>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</si>
  <si>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</si>
  <si>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</si>
  <si>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</si>
  <si>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</si>
  <si>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</si>
  <si>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</si>
  <si>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</si>
  <si>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</si>
  <si>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</si>
  <si>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</si>
  <si>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</si>
  <si>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</si>
  <si>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</si>
  <si>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</si>
  <si>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</si>
  <si>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</si>
  <si>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</si>
  <si>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</si>
  <si>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</si>
  <si>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</si>
  <si>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</si>
  <si>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</si>
  <si>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</si>
  <si>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</si>
  <si>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</si>
  <si>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</si>
  <si>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</si>
  <si>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</si>
  <si>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</si>
  <si>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</si>
  <si>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</si>
  <si>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</si>
  <si>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</si>
  <si>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</si>
  <si>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</si>
  <si>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</si>
  <si>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</si>
  <si>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</si>
  <si>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</si>
  <si>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</si>
  <si>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</si>
  <si>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</si>
  <si>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</si>
  <si>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</si>
  <si>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</si>
  <si>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</si>
  <si>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</si>
  <si>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</si>
  <si>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</si>
  <si>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</si>
  <si>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</si>
  <si>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</si>
  <si>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</si>
  <si>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</si>
  <si>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</si>
  <si>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</si>
  <si>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</si>
  <si>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</si>
  <si>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</si>
  <si>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</si>
  <si>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</si>
  <si>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</si>
  <si>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</si>
  <si>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</si>
  <si>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</si>
  <si>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</si>
  <si>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</si>
  <si>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</si>
  <si>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</si>
  <si>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</si>
  <si>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</si>
  <si>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</si>
  <si>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</si>
  <si>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</si>
  <si>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</si>
  <si>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</si>
  <si>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</si>
  <si>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</si>
  <si>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</si>
  <si>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</si>
  <si>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</si>
  <si>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</si>
  <si>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</si>
  <si>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</si>
  <si>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</si>
  <si>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</si>
  <si>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</si>
  <si>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</si>
  <si>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</si>
  <si>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</si>
  <si>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</si>
  <si>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</si>
  <si>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</si>
  <si>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</si>
  <si>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</si>
  <si>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</si>
  <si>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</si>
  <si>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</si>
  <si>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</si>
  <si>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</si>
  <si>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</si>
  <si>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</si>
  <si>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</si>
  <si>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</si>
  <si>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</si>
  <si>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</si>
  <si>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</si>
  <si>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</si>
  <si>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</si>
  <si>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</si>
  <si>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</si>
  <si>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</si>
  <si>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</si>
  <si>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</si>
  <si>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</si>
  <si>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</si>
  <si>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</si>
  <si>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</si>
  <si>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</si>
  <si>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</si>
  <si>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</si>
  <si>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</si>
  <si>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</si>
  <si>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</si>
  <si>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</si>
  <si>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</si>
  <si>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</si>
  <si>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</si>
  <si>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</si>
  <si>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</si>
  <si>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</si>
  <si>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</si>
  <si>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</si>
  <si>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</si>
  <si>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</si>
  <si>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</si>
  <si>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</si>
  <si>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</si>
  <si>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</si>
  <si>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</si>
  <si>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</si>
  <si>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</si>
  <si>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</si>
  <si>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</si>
  <si>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</si>
  <si>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</si>
  <si>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</si>
  <si>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</si>
  <si>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</si>
  <si>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</si>
  <si>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</si>
  <si>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</si>
  <si>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</si>
  <si>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</si>
  <si>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</si>
  <si>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</si>
  <si>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</si>
  <si>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</si>
  <si>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</si>
  <si>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</si>
  <si>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</si>
  <si>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</si>
  <si>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</si>
  <si>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</si>
  <si>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</si>
  <si>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</si>
  <si>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</si>
  <si>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</si>
  <si>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</si>
  <si>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</si>
  <si>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</si>
  <si>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</si>
  <si>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</si>
  <si>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</si>
  <si>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</si>
  <si>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</si>
  <si>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</si>
  <si>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</si>
  <si>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</si>
  <si>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</si>
  <si>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</si>
  <si>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</si>
  <si>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</si>
  <si>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</si>
  <si>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</si>
  <si>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</si>
  <si>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</si>
  <si>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</si>
  <si>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</si>
  <si>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</si>
  <si>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</si>
  <si>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</si>
  <si>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</si>
  <si>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</si>
  <si>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</si>
  <si>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</si>
  <si>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</si>
  <si>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</si>
  <si>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</si>
  <si>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</si>
  <si>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</si>
  <si>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</si>
  <si>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</si>
  <si>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</si>
  <si>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</si>
  <si>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</si>
  <si>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</si>
  <si>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</si>
  <si>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</si>
  <si>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</si>
  <si>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</si>
  <si>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</si>
  <si>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</si>
  <si>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</si>
  <si>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</si>
  <si>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</si>
  <si>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</si>
  <si>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</si>
  <si>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</si>
  <si>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</si>
  <si>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</si>
  <si>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</si>
  <si>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</si>
  <si>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[0.394410]</t>
  </si>
  <si>
    <t>0 [0.806347]</t>
  </si>
  <si>
    <t>0 [1.216928]</t>
  </si>
  <si>
    <t>0 [1.629230]</t>
  </si>
  <si>
    <t>0 [2.020156]</t>
  </si>
  <si>
    <t>0 [2.425424]</t>
  </si>
  <si>
    <t>0 [2.832170]</t>
  </si>
  <si>
    <t>0 [3.242245]</t>
  </si>
  <si>
    <t>0 [3.650919]</t>
  </si>
  <si>
    <t>0 [4.069873]</t>
  </si>
  <si>
    <t>0 [4.457786]</t>
  </si>
  <si>
    <t>0 [4.874716]</t>
  </si>
  <si>
    <t>0 [5.270077]</t>
  </si>
  <si>
    <t>0 [5.676117]</t>
  </si>
  <si>
    <t>0 [6.094659]</t>
  </si>
  <si>
    <t>0 [6.495961]</t>
  </si>
  <si>
    <t>0 [6.891649]</t>
  </si>
  <si>
    <t>0 [7.295886]</t>
  </si>
  <si>
    <t>0 [7.707825]</t>
  </si>
  <si>
    <t>0 [8.116663]</t>
  </si>
  <si>
    <t>0 [8.519702]</t>
  </si>
  <si>
    <t>0 [8.932187]</t>
  </si>
  <si>
    <t>0 [9.332983]</t>
  </si>
  <si>
    <t>0 [9.734495]</t>
  </si>
  <si>
    <t>vision^Xb7e^1^1^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</si>
</sst>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37.93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37.926140000000011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3.5859200000000002</c:v>
                </c:pt>
                <c:pt idx="1">
                  <c:v>3.08711</c:v>
                </c:pt>
              </c:numCache>
            </c:numRef>
          </c:xVal>
          <c:yVal>
            <c:numRef>
              <c:f>info!$W$2:$W$3</c:f>
              <c:numCache>
                <c:formatCode>0.00</c:formatCode>
                <c:ptCount val="2"/>
                <c:pt idx="0">
                  <c:v>35.489699999999999</c:v>
                </c:pt>
                <c:pt idx="1">
                  <c:v>53.354300000000002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3.6004000000000005</c:v>
                </c:pt>
                <c:pt idx="1">
                  <c:v>2.9687700000000001</c:v>
                </c:pt>
              </c:numCache>
            </c:numRef>
          </c:xVal>
          <c:yVal>
            <c:numRef>
              <c:f>info!$W$15:$W$16</c:f>
              <c:numCache>
                <c:formatCode>0.00_ </c:formatCode>
                <c:ptCount val="2"/>
                <c:pt idx="0">
                  <c:v>35.1907</c:v>
                </c:pt>
                <c:pt idx="1">
                  <c:v>54.884200000000007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3.4696703999999996</c:v>
                </c:pt>
              </c:numCache>
            </c:numRef>
          </c:xVal>
          <c:yVal>
            <c:numRef>
              <c:f>info!$N$9</c:f>
              <c:numCache>
                <c:formatCode>0.0</c:formatCode>
                <c:ptCount val="1"/>
                <c:pt idx="0">
                  <c:v>45.547420000000002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43.794899999999998</c:v>
                </c:pt>
                <c:pt idx="1">
                  <c:v>25.314</c:v>
                </c:pt>
                <c:pt idx="2">
                  <c:v>34.7393</c:v>
                </c:pt>
                <c:pt idx="3">
                  <c:v>35.0246</c:v>
                </c:pt>
                <c:pt idx="4">
                  <c:v>62.959200000000003</c:v>
                </c:pt>
                <c:pt idx="5">
                  <c:v>85.476600000000005</c:v>
                </c:pt>
                <c:pt idx="6">
                  <c:v>23.624099999999999</c:v>
                </c:pt>
                <c:pt idx="7">
                  <c:v>73.963899999999995</c:v>
                </c:pt>
                <c:pt idx="8">
                  <c:v>19.9953</c:v>
                </c:pt>
                <c:pt idx="9">
                  <c:v>9.1319099999999995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37.93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37.926140000000011</c:v>
                </c:pt>
                <c:pt idx="1">
                  <c:v>37.926140000000011</c:v>
                </c:pt>
                <c:pt idx="2">
                  <c:v>0</c:v>
                </c:pt>
              </c:numCache>
            </c:numRef>
          </c:xVal>
          <c:yVal>
            <c:numRef>
              <c:f>'R2'!$I$5:$I$7</c:f>
              <c:numCache>
                <c:formatCode>0.0_ </c:formatCode>
                <c:ptCount val="3"/>
                <c:pt idx="0">
                  <c:v>0</c:v>
                </c:pt>
                <c:pt idx="1">
                  <c:v>29.326630425714473</c:v>
                </c:pt>
                <c:pt idx="2">
                  <c:v>29.326630425714473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58.758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58.757999999999996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1.76274</c:v>
                </c:pt>
                <c:pt idx="1">
                  <c:v>1.76274</c:v>
                </c:pt>
                <c:pt idx="2">
                  <c:v>0</c:v>
                </c:pt>
              </c:numCache>
            </c:numRef>
          </c:xVal>
          <c:yVal>
            <c:numRef>
              <c:f>'R3'!$I$6:$I$8</c:f>
              <c:numCache>
                <c:formatCode>0.0_ </c:formatCode>
                <c:ptCount val="3"/>
                <c:pt idx="0">
                  <c:v>0</c:v>
                </c:pt>
                <c:pt idx="1">
                  <c:v>42.366162269596295</c:v>
                </c:pt>
                <c:pt idx="2">
                  <c:v>42.366162269596295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0.66597432888995622</c:v>
                </c:pt>
              </c:numCache>
            </c:numRef>
          </c:xVal>
          <c:yVal>
            <c:numRef>
              <c:f>'R'!$I$4</c:f>
              <c:numCache>
                <c:formatCode>0.00_ </c:formatCode>
                <c:ptCount val="1"/>
                <c:pt idx="0">
                  <c:v>73.781694514155433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37.93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37.926140000000011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3.5859200000000002</c:v>
                </c:pt>
                <c:pt idx="1">
                  <c:v>3.08711</c:v>
                </c:pt>
              </c:numCache>
            </c:numRef>
          </c:xVal>
          <c:yVal>
            <c:numRef>
              <c:f>info!$W$2:$W$3</c:f>
              <c:numCache>
                <c:formatCode>0.00</c:formatCode>
                <c:ptCount val="2"/>
                <c:pt idx="0">
                  <c:v>35.489699999999999</c:v>
                </c:pt>
                <c:pt idx="1">
                  <c:v>53.354300000000002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3.6004000000000005</c:v>
                </c:pt>
                <c:pt idx="1">
                  <c:v>2.9687700000000001</c:v>
                </c:pt>
              </c:numCache>
            </c:numRef>
          </c:xVal>
          <c:yVal>
            <c:numRef>
              <c:f>info!$W$15:$W$16</c:f>
              <c:numCache>
                <c:formatCode>0.00_ </c:formatCode>
                <c:ptCount val="2"/>
                <c:pt idx="0">
                  <c:v>35.1907</c:v>
                </c:pt>
                <c:pt idx="1">
                  <c:v>54.884200000000007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3.4696703999999996</c:v>
                </c:pt>
              </c:numCache>
            </c:numRef>
          </c:xVal>
          <c:yVal>
            <c:numRef>
              <c:f>info!$N$9</c:f>
              <c:numCache>
                <c:formatCode>0.0</c:formatCode>
                <c:ptCount val="1"/>
                <c:pt idx="0">
                  <c:v>45.547420000000002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43.794899999999998</c:v>
                </c:pt>
                <c:pt idx="1">
                  <c:v>25.314</c:v>
                </c:pt>
                <c:pt idx="2">
                  <c:v>34.7393</c:v>
                </c:pt>
                <c:pt idx="3">
                  <c:v>35.0246</c:v>
                </c:pt>
                <c:pt idx="4">
                  <c:v>62.959200000000003</c:v>
                </c:pt>
                <c:pt idx="5">
                  <c:v>85.476600000000005</c:v>
                </c:pt>
                <c:pt idx="6">
                  <c:v>23.624099999999999</c:v>
                </c:pt>
                <c:pt idx="7">
                  <c:v>73.963899999999995</c:v>
                </c:pt>
                <c:pt idx="8">
                  <c:v>19.9953</c:v>
                </c:pt>
                <c:pt idx="9">
                  <c:v>9.1319099999999995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37.93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37.926140000000011</c:v>
                </c:pt>
                <c:pt idx="1">
                  <c:v>37.926140000000011</c:v>
                </c:pt>
                <c:pt idx="2">
                  <c:v>0</c:v>
                </c:pt>
              </c:numCache>
            </c:numRef>
          </c:xVal>
          <c:yVal>
            <c:numRef>
              <c:f>'R2'!$I$5:$I$7</c:f>
              <c:numCache>
                <c:formatCode>0.0_ </c:formatCode>
                <c:ptCount val="3"/>
                <c:pt idx="0">
                  <c:v>0</c:v>
                </c:pt>
                <c:pt idx="1">
                  <c:v>29.326630425714473</c:v>
                </c:pt>
                <c:pt idx="2">
                  <c:v>29.326630425714473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58.758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58.757999999999996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1.76274</c:v>
                </c:pt>
                <c:pt idx="1">
                  <c:v>1.76274</c:v>
                </c:pt>
                <c:pt idx="2">
                  <c:v>0</c:v>
                </c:pt>
              </c:numCache>
            </c:numRef>
          </c:xVal>
          <c:yVal>
            <c:numRef>
              <c:f>'R3'!$I$6:$I$8</c:f>
              <c:numCache>
                <c:formatCode>0.0_ </c:formatCode>
                <c:ptCount val="3"/>
                <c:pt idx="0">
                  <c:v>0</c:v>
                </c:pt>
                <c:pt idx="1">
                  <c:v>42.366162269596295</c:v>
                </c:pt>
                <c:pt idx="2">
                  <c:v>42.366162269596295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0.66597432888995622</c:v>
                </c:pt>
              </c:numCache>
            </c:numRef>
          </c:xVal>
          <c:yVal>
            <c:numRef>
              <c:f>'R'!$I$4</c:f>
              <c:numCache>
                <c:formatCode>0.00_ </c:formatCode>
                <c:ptCount val="1"/>
                <c:pt idx="0">
                  <c:v>73.781694514155433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FT!$J$2:$J$2000</c:f>
              <c:numCache>
                <c:formatCode>General</c:formatCode>
                <c:ptCount val="1999"/>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3.6004000000000005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3.6004000000000005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3.6004000000000005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3.6004000000000005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3.6004000000000005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3.6004000000000005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3.6004000000000005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3.6004000000000005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3.6004000000000005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3.6004000000000005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3.6004000000000005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3.6004000000000005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3.6004000000000005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3.6004000000000005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3.6004000000000005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3.6004000000000005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3.6004000000000005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3.6004000000000005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3.6004000000000005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3.6004000000000005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3.6004000000000005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3.6004000000000005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3.6004000000000005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3.6004000000000005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FT!$K$2:$K$2000</c:f>
              <c:numCache>
                <c:formatCode>General</c:formatCode>
                <c:ptCount val="1999"/>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35.1907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35.1907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35.1907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35.1907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35.1907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35.1907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35.1907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35.1907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35.1907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35.1907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35.1907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35.1907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35.1907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35.1907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35.1907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35.1907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35.1907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35.1907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35.1907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35.1907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35.1907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35.1907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35.1907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35.1907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FT!$L$2:$L$2000</c:f>
              <c:numCache>
                <c:formatCode>General</c:formatCode>
                <c:ptCount val="1999"/>
                <c:pt idx="0">
                  <c:v>9.7741084323963996</c:v>
                </c:pt>
                <c:pt idx="1">
                  <c:v>9.8969581028020688</c:v>
                </c:pt>
                <c:pt idx="2">
                  <c:v>10.07082081802651</c:v>
                </c:pt>
                <c:pt idx="3">
                  <c:v>10.286814640272976</c:v>
                </c:pt>
                <c:pt idx="4">
                  <c:v>10.454363628839815</c:v>
                </c:pt>
                <c:pt idx="5">
                  <c:v>10.559368209563118</c:v>
                </c:pt>
                <c:pt idx="6">
                  <c:v>10.702551763063305</c:v>
                </c:pt>
                <c:pt idx="7">
                  <c:v>10.928502500688323</c:v>
                </c:pt>
                <c:pt idx="8">
                  <c:v>11.191434068153313</c:v>
                </c:pt>
                <c:pt idx="9">
                  <c:v>11.522347740016295</c:v>
                </c:pt>
                <c:pt idx="10">
                  <c:v>11.804594143107984</c:v>
                </c:pt>
                <c:pt idx="11">
                  <c:v>12.162987950768438</c:v>
                </c:pt>
                <c:pt idx="12">
                  <c:v>12.572953047764718</c:v>
                </c:pt>
                <c:pt idx="13">
                  <c:v>13.055671701718195</c:v>
                </c:pt>
                <c:pt idx="14">
                  <c:v>13.544182372192756</c:v>
                </c:pt>
                <c:pt idx="15">
                  <c:v>14.067602695116401</c:v>
                </c:pt>
                <c:pt idx="16">
                  <c:v>14.657246881380335</c:v>
                </c:pt>
                <c:pt idx="17">
                  <c:v>15.309508962895247</c:v>
                </c:pt>
                <c:pt idx="18">
                  <c:v>15.838749899693214</c:v>
                </c:pt>
                <c:pt idx="19">
                  <c:v>16.287961149839429</c:v>
                </c:pt>
                <c:pt idx="20">
                  <c:v>16.773453701019665</c:v>
                </c:pt>
                <c:pt idx="21">
                  <c:v>17.282928045971801</c:v>
                </c:pt>
                <c:pt idx="22">
                  <c:v>17.710337210143262</c:v>
                </c:pt>
                <c:pt idx="23">
                  <c:v>18.18406631914084</c:v>
                </c:pt>
                <c:pt idx="24">
                  <c:v>18.487184928438378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1.3701797504560129E-3</c:v>
                </c:pt>
                <c:pt idx="7">
                  <c:v>0</c:v>
                </c:pt>
                <c:pt idx="8">
                  <c:v>2.3863992532520358E-2</c:v>
                </c:pt>
                <c:pt idx="9">
                  <c:v>1.2217464653644249E-2</c:v>
                </c:pt>
                <c:pt idx="10">
                  <c:v>0</c:v>
                </c:pt>
                <c:pt idx="11">
                  <c:v>0.24720354876555367</c:v>
                </c:pt>
                <c:pt idx="12">
                  <c:v>0.10801555154016768</c:v>
                </c:pt>
                <c:pt idx="13">
                  <c:v>9.6940217344762908E-2</c:v>
                </c:pt>
                <c:pt idx="14">
                  <c:v>0.12171734904472779</c:v>
                </c:pt>
                <c:pt idx="15">
                  <c:v>5.4464645080626511E-2</c:v>
                </c:pt>
                <c:pt idx="16">
                  <c:v>0.25702259940225908</c:v>
                </c:pt>
                <c:pt idx="17">
                  <c:v>0.20849597081517132</c:v>
                </c:pt>
                <c:pt idx="18">
                  <c:v>8.4836991427812924E-2</c:v>
                </c:pt>
                <c:pt idx="19">
                  <c:v>4.4987539927894289E-2</c:v>
                </c:pt>
                <c:pt idx="20">
                  <c:v>1.5528675293090011E-2</c:v>
                </c:pt>
                <c:pt idx="21">
                  <c:v>5.8004247557226406E-2</c:v>
                </c:pt>
                <c:pt idx="22">
                  <c:v>5.4464645080626511E-2</c:v>
                </c:pt>
                <c:pt idx="23">
                  <c:v>4.544432360220256E-2</c:v>
                </c:pt>
                <c:pt idx="24">
                  <c:v>7.4788949500312576E-2</c:v>
                </c:pt>
                <c:pt idx="25">
                  <c:v>4.2133027326522396E-2</c:v>
                </c:pt>
                <c:pt idx="26">
                  <c:v>0.14752297191987873</c:v>
                </c:pt>
                <c:pt idx="27">
                  <c:v>0.10733046166493966</c:v>
                </c:pt>
                <c:pt idx="28">
                  <c:v>8.3923509715430791E-2</c:v>
                </c:pt>
                <c:pt idx="29">
                  <c:v>0.28728130646639205</c:v>
                </c:pt>
                <c:pt idx="30">
                  <c:v>0.1033346749676723</c:v>
                </c:pt>
                <c:pt idx="31">
                  <c:v>0.27860293047194129</c:v>
                </c:pt>
                <c:pt idx="32">
                  <c:v>0.17264264855745762</c:v>
                </c:pt>
                <c:pt idx="33">
                  <c:v>0.11303982941262107</c:v>
                </c:pt>
                <c:pt idx="34">
                  <c:v>0.21774468413074941</c:v>
                </c:pt>
                <c:pt idx="35">
                  <c:v>0.14112851429696932</c:v>
                </c:pt>
                <c:pt idx="36">
                  <c:v>4.9440624116876331E-2</c:v>
                </c:pt>
                <c:pt idx="37">
                  <c:v>0.22813492845092614</c:v>
                </c:pt>
                <c:pt idx="38">
                  <c:v>9.2144588218166873E-2</c:v>
                </c:pt>
                <c:pt idx="39">
                  <c:v>0.23350175126099354</c:v>
                </c:pt>
                <c:pt idx="40">
                  <c:v>0.15677168523545681</c:v>
                </c:pt>
                <c:pt idx="41">
                  <c:v>9.0431863530096857E-2</c:v>
                </c:pt>
                <c:pt idx="42">
                  <c:v>0.26570097539670984</c:v>
                </c:pt>
                <c:pt idx="43">
                  <c:v>0.21523211701335065</c:v>
                </c:pt>
                <c:pt idx="44">
                  <c:v>0.25862142789857245</c:v>
                </c:pt>
                <c:pt idx="45">
                  <c:v>0.16556310105932021</c:v>
                </c:pt>
                <c:pt idx="46">
                  <c:v>0.16362258398773688</c:v>
                </c:pt>
                <c:pt idx="47">
                  <c:v>0.41333784350834524</c:v>
                </c:pt>
                <c:pt idx="48">
                  <c:v>0.19741978025742252</c:v>
                </c:pt>
                <c:pt idx="49">
                  <c:v>0.44999015183304358</c:v>
                </c:pt>
                <c:pt idx="50">
                  <c:v>0.21934265626471872</c:v>
                </c:pt>
                <c:pt idx="51">
                  <c:v>0.11041336610346569</c:v>
                </c:pt>
                <c:pt idx="52">
                  <c:v>0.44131177583859282</c:v>
                </c:pt>
                <c:pt idx="53">
                  <c:v>0.19193906125559845</c:v>
                </c:pt>
                <c:pt idx="54">
                  <c:v>0.19844741507026453</c:v>
                </c:pt>
                <c:pt idx="55">
                  <c:v>0.35738826612316199</c:v>
                </c:pt>
                <c:pt idx="56">
                  <c:v>0.10995692497409504</c:v>
                </c:pt>
                <c:pt idx="57">
                  <c:v>0.27437849502881662</c:v>
                </c:pt>
                <c:pt idx="58">
                  <c:v>0.14752297191987873</c:v>
                </c:pt>
                <c:pt idx="59">
                  <c:v>0.12171734904472779</c:v>
                </c:pt>
                <c:pt idx="60">
                  <c:v>0.29527373622327074</c:v>
                </c:pt>
                <c:pt idx="61">
                  <c:v>0.13142335985202058</c:v>
                </c:pt>
                <c:pt idx="62">
                  <c:v>0.26398825070863979</c:v>
                </c:pt>
                <c:pt idx="63">
                  <c:v>0.12594264085019652</c:v>
                </c:pt>
                <c:pt idx="64">
                  <c:v>0.20644070118948729</c:v>
                </c:pt>
                <c:pt idx="65">
                  <c:v>0.27095304565267658</c:v>
                </c:pt>
                <c:pt idx="66">
                  <c:v>0.29744290204071144</c:v>
                </c:pt>
                <c:pt idx="67">
                  <c:v>0.38022488075154359</c:v>
                </c:pt>
                <c:pt idx="68">
                  <c:v>0.22802103225916948</c:v>
                </c:pt>
                <c:pt idx="69">
                  <c:v>0.22950510820138217</c:v>
                </c:pt>
                <c:pt idx="70">
                  <c:v>0.47545237340823643</c:v>
                </c:pt>
                <c:pt idx="71">
                  <c:v>0.26649996146369453</c:v>
                </c:pt>
                <c:pt idx="72">
                  <c:v>0.15631438774374212</c:v>
                </c:pt>
                <c:pt idx="73">
                  <c:v>0.43834362395416743</c:v>
                </c:pt>
                <c:pt idx="74">
                  <c:v>0.13587644404100263</c:v>
                </c:pt>
                <c:pt idx="75">
                  <c:v>0.56622678187594733</c:v>
                </c:pt>
                <c:pt idx="76">
                  <c:v>0.19410908343538316</c:v>
                </c:pt>
                <c:pt idx="77">
                  <c:v>0.1660203985510349</c:v>
                </c:pt>
                <c:pt idx="78">
                  <c:v>0.57947213825113686</c:v>
                </c:pt>
                <c:pt idx="79">
                  <c:v>0.26992541083983457</c:v>
                </c:pt>
                <c:pt idx="80">
                  <c:v>0.52786174886317894</c:v>
                </c:pt>
                <c:pt idx="81">
                  <c:v>0.27769004821319992</c:v>
                </c:pt>
                <c:pt idx="82">
                  <c:v>0.22402438919955811</c:v>
                </c:pt>
                <c:pt idx="83">
                  <c:v>0.56360031856679194</c:v>
                </c:pt>
                <c:pt idx="84">
                  <c:v>0.32964212617642774</c:v>
                </c:pt>
                <c:pt idx="85">
                  <c:v>0.26855523108937851</c:v>
                </c:pt>
                <c:pt idx="86">
                  <c:v>1</c:v>
                </c:pt>
                <c:pt idx="87">
                  <c:v>0.23612735820780487</c:v>
                </c:pt>
                <c:pt idx="88">
                  <c:v>0.64729603589870943</c:v>
                </c:pt>
                <c:pt idx="89">
                  <c:v>0.35339247942589463</c:v>
                </c:pt>
                <c:pt idx="90">
                  <c:v>0.2760912197168866</c:v>
                </c:pt>
                <c:pt idx="91">
                  <c:v>0.74377895575175768</c:v>
                </c:pt>
                <c:pt idx="92">
                  <c:v>0.36812191174329684</c:v>
                </c:pt>
                <c:pt idx="93">
                  <c:v>0.86036155618165144</c:v>
                </c:pt>
                <c:pt idx="94">
                  <c:v>0.37497281049557685</c:v>
                </c:pt>
                <c:pt idx="95">
                  <c:v>0.36652308324698346</c:v>
                </c:pt>
                <c:pt idx="96">
                  <c:v>0.85647367113973261</c:v>
                </c:pt>
                <c:pt idx="97">
                  <c:v>0.33215469329382646</c:v>
                </c:pt>
                <c:pt idx="98">
                  <c:v>0.96540296130098568</c:v>
                </c:pt>
                <c:pt idx="99">
                  <c:v>0.41858991376431193</c:v>
                </c:pt>
                <c:pt idx="100">
                  <c:v>0.43994159608813682</c:v>
                </c:pt>
                <c:pt idx="101">
                  <c:v>0.91619638101273415</c:v>
                </c:pt>
                <c:pt idx="102">
                  <c:v>0.2215126784445034</c:v>
                </c:pt>
                <c:pt idx="103">
                  <c:v>0.39415532700196104</c:v>
                </c:pt>
                <c:pt idx="104">
                  <c:v>0.85636234403500799</c:v>
                </c:pt>
                <c:pt idx="105">
                  <c:v>0.36686562818459745</c:v>
                </c:pt>
                <c:pt idx="106">
                  <c:v>0.6868025999160764</c:v>
                </c:pt>
                <c:pt idx="107">
                  <c:v>0.43366189101932806</c:v>
                </c:pt>
                <c:pt idx="108">
                  <c:v>0.24777388608668099</c:v>
                </c:pt>
                <c:pt idx="109">
                  <c:v>0.76307622481224247</c:v>
                </c:pt>
                <c:pt idx="110">
                  <c:v>0.27312221147011723</c:v>
                </c:pt>
                <c:pt idx="111">
                  <c:v>0.81320168189564368</c:v>
                </c:pt>
                <c:pt idx="112">
                  <c:v>0.33649302492870781</c:v>
                </c:pt>
                <c:pt idx="113">
                  <c:v>0.25279816395913435</c:v>
                </c:pt>
                <c:pt idx="114">
                  <c:v>0.8710917763524102</c:v>
                </c:pt>
                <c:pt idx="115">
                  <c:v>0.3878747655708083</c:v>
                </c:pt>
                <c:pt idx="116">
                  <c:v>0.78203009257276934</c:v>
                </c:pt>
                <c:pt idx="117">
                  <c:v>0.4085422143817492</c:v>
                </c:pt>
                <c:pt idx="118">
                  <c:v>0.38136641175614228</c:v>
                </c:pt>
                <c:pt idx="119">
                  <c:v>0.71694655442610877</c:v>
                </c:pt>
                <c:pt idx="120">
                  <c:v>0.47396829746602381</c:v>
                </c:pt>
                <c:pt idx="121">
                  <c:v>0.4858426177284132</c:v>
                </c:pt>
                <c:pt idx="122">
                  <c:v>0.6725296087280449</c:v>
                </c:pt>
                <c:pt idx="123">
                  <c:v>0.29047810709667471</c:v>
                </c:pt>
                <c:pt idx="124">
                  <c:v>0.98150257336884372</c:v>
                </c:pt>
                <c:pt idx="125">
                  <c:v>0.46060904489907761</c:v>
                </c:pt>
                <c:pt idx="126">
                  <c:v>0</c:v>
                </c:pt>
                <c:pt idx="127">
                  <c:v>0.91962183038887402</c:v>
                </c:pt>
                <c:pt idx="128">
                  <c:v>0.42201536314045196</c:v>
                </c:pt>
                <c:pt idx="129">
                  <c:v>0.77723446344617331</c:v>
                </c:pt>
                <c:pt idx="130">
                  <c:v>0</c:v>
                </c:pt>
                <c:pt idx="131">
                  <c:v>0.41059748400743318</c:v>
                </c:pt>
                <c:pt idx="132">
                  <c:v>0.70552867529309005</c:v>
                </c:pt>
                <c:pt idx="133">
                  <c:v>0.17515435931251228</c:v>
                </c:pt>
                <c:pt idx="134">
                  <c:v>0.44199686571382085</c:v>
                </c:pt>
                <c:pt idx="135">
                  <c:v>0.29287592165997273</c:v>
                </c:pt>
                <c:pt idx="136">
                  <c:v>0.1543738706721588</c:v>
                </c:pt>
                <c:pt idx="137">
                  <c:v>0.28842283747099068</c:v>
                </c:pt>
                <c:pt idx="138">
                  <c:v>0.19034108912162911</c:v>
                </c:pt>
                <c:pt idx="139">
                  <c:v>0.14032952822998468</c:v>
                </c:pt>
                <c:pt idx="140">
                  <c:v>0.23726974557474756</c:v>
                </c:pt>
                <c:pt idx="141">
                  <c:v>8.3580964777816777E-2</c:v>
                </c:pt>
                <c:pt idx="142">
                  <c:v>0.16168121055380952</c:v>
                </c:pt>
                <c:pt idx="143">
                  <c:v>8.8947787587884172E-2</c:v>
                </c:pt>
                <c:pt idx="144">
                  <c:v>5.5149734955854519E-2</c:v>
                </c:pt>
                <c:pt idx="145">
                  <c:v>0.14946348899146206</c:v>
                </c:pt>
                <c:pt idx="146">
                  <c:v>5.663406780677039E-2</c:v>
                </c:pt>
                <c:pt idx="147">
                  <c:v>0.11429611297132042</c:v>
                </c:pt>
                <c:pt idx="148">
                  <c:v>5.4807190018240519E-2</c:v>
                </c:pt>
                <c:pt idx="149">
                  <c:v>5.9602819144836554E-2</c:v>
                </c:pt>
                <c:pt idx="150">
                  <c:v>5.6976612744384397E-2</c:v>
                </c:pt>
                <c:pt idx="151">
                  <c:v>2.2607965882524214E-2</c:v>
                </c:pt>
                <c:pt idx="152">
                  <c:v>5.6748306543464667E-2</c:v>
                </c:pt>
                <c:pt idx="153">
                  <c:v>8.792015277504216E-3</c:v>
                </c:pt>
                <c:pt idx="154">
                  <c:v>1.7013093780240296E-2</c:v>
                </c:pt>
                <c:pt idx="155">
                  <c:v>5.5606432993928395E-2</c:v>
                </c:pt>
                <c:pt idx="156">
                  <c:v>2.4206537470134362E-2</c:v>
                </c:pt>
                <c:pt idx="157">
                  <c:v>1.5414522192630144E-2</c:v>
                </c:pt>
                <c:pt idx="158">
                  <c:v>2.6261807095818383E-2</c:v>
                </c:pt>
                <c:pt idx="159">
                  <c:v>0</c:v>
                </c:pt>
                <c:pt idx="160">
                  <c:v>5.1381740642100484E-3</c:v>
                </c:pt>
                <c:pt idx="161">
                  <c:v>1.0504739965574232E-2</c:v>
                </c:pt>
                <c:pt idx="162">
                  <c:v>5.2523528555402359E-3</c:v>
                </c:pt>
                <c:pt idx="163">
                  <c:v>5.2523528555402359E-3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0.70582442775577592</c:v>
                </c:pt>
                <c:pt idx="4">
                  <c:v>0</c:v>
                </c:pt>
                <c:pt idx="5">
                  <c:v>0</c:v>
                </c:pt>
                <c:pt idx="6">
                  <c:v>1</c:v>
                </c:pt>
                <c:pt idx="7">
                  <c:v>0</c:v>
                </c:pt>
                <c:pt idx="8">
                  <c:v>0.77278259004233418</c:v>
                </c:pt>
                <c:pt idx="9">
                  <c:v>0</c:v>
                </c:pt>
                <c:pt idx="10">
                  <c:v>0</c:v>
                </c:pt>
                <c:pt idx="11">
                  <c:v>0.5603062565473016</c:v>
                </c:pt>
                <c:pt idx="12">
                  <c:v>0</c:v>
                </c:pt>
                <c:pt idx="13">
                  <c:v>0.42664115495434979</c:v>
                </c:pt>
                <c:pt idx="14">
                  <c:v>0</c:v>
                </c:pt>
                <c:pt idx="15">
                  <c:v>0</c:v>
                </c:pt>
                <c:pt idx="16">
                  <c:v>0.32092842588641801</c:v>
                </c:pt>
                <c:pt idx="17">
                  <c:v>0</c:v>
                </c:pt>
                <c:pt idx="18">
                  <c:v>0</c:v>
                </c:pt>
                <c:pt idx="19">
                  <c:v>0.24994548413481951</c:v>
                </c:pt>
                <c:pt idx="20">
                  <c:v>0</c:v>
                </c:pt>
                <c:pt idx="21">
                  <c:v>0.20366332312342561</c:v>
                </c:pt>
                <c:pt idx="22">
                  <c:v>0</c:v>
                </c:pt>
                <c:pt idx="23">
                  <c:v>0</c:v>
                </c:pt>
                <c:pt idx="24">
                  <c:v>0.17678159054856704</c:v>
                </c:pt>
                <c:pt idx="25">
                  <c:v>0</c:v>
                </c:pt>
                <c:pt idx="26">
                  <c:v>0.1539577454087333</c:v>
                </c:pt>
                <c:pt idx="27">
                  <c:v>0</c:v>
                </c:pt>
                <c:pt idx="28">
                  <c:v>0</c:v>
                </c:pt>
                <c:pt idx="29">
                  <c:v>0.14533643028908011</c:v>
                </c:pt>
                <c:pt idx="30">
                  <c:v>0</c:v>
                </c:pt>
                <c:pt idx="31">
                  <c:v>0.13126937356687302</c:v>
                </c:pt>
                <c:pt idx="32">
                  <c:v>0</c:v>
                </c:pt>
                <c:pt idx="33">
                  <c:v>0</c:v>
                </c:pt>
                <c:pt idx="34">
                  <c:v>0.12103879142596578</c:v>
                </c:pt>
                <c:pt idx="35">
                  <c:v>0</c:v>
                </c:pt>
                <c:pt idx="36">
                  <c:v>0</c:v>
                </c:pt>
                <c:pt idx="37">
                  <c:v>0.1118325816137995</c:v>
                </c:pt>
                <c:pt idx="38">
                  <c:v>0</c:v>
                </c:pt>
                <c:pt idx="39">
                  <c:v>0.1043182607083792</c:v>
                </c:pt>
                <c:pt idx="40">
                  <c:v>0</c:v>
                </c:pt>
                <c:pt idx="41">
                  <c:v>0</c:v>
                </c:pt>
                <c:pt idx="42">
                  <c:v>9.7901008763813691E-2</c:v>
                </c:pt>
                <c:pt idx="43">
                  <c:v>0</c:v>
                </c:pt>
                <c:pt idx="44">
                  <c:v>9.5687032231376729E-2</c:v>
                </c:pt>
                <c:pt idx="45">
                  <c:v>0</c:v>
                </c:pt>
                <c:pt idx="46">
                  <c:v>0</c:v>
                </c:pt>
                <c:pt idx="47">
                  <c:v>9.1847259806532008E-2</c:v>
                </c:pt>
                <c:pt idx="48">
                  <c:v>0</c:v>
                </c:pt>
                <c:pt idx="49">
                  <c:v>8.9134297736370896E-2</c:v>
                </c:pt>
                <c:pt idx="50">
                  <c:v>0</c:v>
                </c:pt>
                <c:pt idx="51">
                  <c:v>0</c:v>
                </c:pt>
                <c:pt idx="52">
                  <c:v>8.8912904709360627E-2</c:v>
                </c:pt>
                <c:pt idx="53">
                  <c:v>0</c:v>
                </c:pt>
                <c:pt idx="54">
                  <c:v>0</c:v>
                </c:pt>
                <c:pt idx="55">
                  <c:v>8.7310242627663168E-2</c:v>
                </c:pt>
                <c:pt idx="56">
                  <c:v>0</c:v>
                </c:pt>
                <c:pt idx="57">
                  <c:v>8.6864140225164047E-2</c:v>
                </c:pt>
                <c:pt idx="58">
                  <c:v>0</c:v>
                </c:pt>
                <c:pt idx="59">
                  <c:v>0</c:v>
                </c:pt>
                <c:pt idx="60">
                  <c:v>8.2303999809832731E-2</c:v>
                </c:pt>
                <c:pt idx="61">
                  <c:v>0</c:v>
                </c:pt>
                <c:pt idx="62">
                  <c:v>7.9739740743472967E-2</c:v>
                </c:pt>
                <c:pt idx="63">
                  <c:v>0</c:v>
                </c:pt>
                <c:pt idx="64">
                  <c:v>0</c:v>
                </c:pt>
                <c:pt idx="65">
                  <c:v>7.4462530181199929E-2</c:v>
                </c:pt>
                <c:pt idx="66">
                  <c:v>0</c:v>
                </c:pt>
                <c:pt idx="67">
                  <c:v>6.7688402659183827E-2</c:v>
                </c:pt>
                <c:pt idx="68">
                  <c:v>0</c:v>
                </c:pt>
                <c:pt idx="69">
                  <c:v>0</c:v>
                </c:pt>
                <c:pt idx="70">
                  <c:v>6.1512379708794022E-2</c:v>
                </c:pt>
                <c:pt idx="71">
                  <c:v>0</c:v>
                </c:pt>
                <c:pt idx="72">
                  <c:v>0</c:v>
                </c:pt>
                <c:pt idx="73">
                  <c:v>5.5554453263650591E-2</c:v>
                </c:pt>
                <c:pt idx="74">
                  <c:v>0</c:v>
                </c:pt>
                <c:pt idx="75">
                  <c:v>5.0779520795522656E-2</c:v>
                </c:pt>
                <c:pt idx="76">
                  <c:v>0</c:v>
                </c:pt>
                <c:pt idx="77">
                  <c:v>0</c:v>
                </c:pt>
                <c:pt idx="78">
                  <c:v>4.4415146699058265E-2</c:v>
                </c:pt>
                <c:pt idx="79">
                  <c:v>0</c:v>
                </c:pt>
                <c:pt idx="80">
                  <c:v>3.8235819296218693E-2</c:v>
                </c:pt>
                <c:pt idx="81">
                  <c:v>0</c:v>
                </c:pt>
                <c:pt idx="82">
                  <c:v>0</c:v>
                </c:pt>
                <c:pt idx="83">
                  <c:v>3.1349341712691596E-2</c:v>
                </c:pt>
                <c:pt idx="84">
                  <c:v>0</c:v>
                </c:pt>
                <c:pt idx="85">
                  <c:v>0</c:v>
                </c:pt>
                <c:pt idx="86">
                  <c:v>2.6220830188876963E-2</c:v>
                </c:pt>
                <c:pt idx="87">
                  <c:v>0</c:v>
                </c:pt>
                <c:pt idx="88">
                  <c:v>1.9380613617865583E-2</c:v>
                </c:pt>
                <c:pt idx="89">
                  <c:v>0</c:v>
                </c:pt>
                <c:pt idx="90">
                  <c:v>0</c:v>
                </c:pt>
                <c:pt idx="91">
                  <c:v>1.4414021585870362E-2</c:v>
                </c:pt>
                <c:pt idx="92">
                  <c:v>0</c:v>
                </c:pt>
                <c:pt idx="93">
                  <c:v>1.0415634121655979E-2</c:v>
                </c:pt>
                <c:pt idx="94">
                  <c:v>0</c:v>
                </c:pt>
                <c:pt idx="95">
                  <c:v>0</c:v>
                </c:pt>
                <c:pt idx="96">
                  <c:v>7.2631864845811682E-3</c:v>
                </c:pt>
                <c:pt idx="97">
                  <c:v>0</c:v>
                </c:pt>
                <c:pt idx="98">
                  <c:v>4.9269386025980536E-3</c:v>
                </c:pt>
                <c:pt idx="99">
                  <c:v>0</c:v>
                </c:pt>
                <c:pt idx="100">
                  <c:v>0</c:v>
                </c:pt>
                <c:pt idx="101">
                  <c:v>3.357323688960176E-3</c:v>
                </c:pt>
                <c:pt idx="102">
                  <c:v>0</c:v>
                </c:pt>
                <c:pt idx="103">
                  <c:v>0</c:v>
                </c:pt>
                <c:pt idx="104">
                  <c:v>2.1578074496958611E-3</c:v>
                </c:pt>
                <c:pt idx="105">
                  <c:v>0</c:v>
                </c:pt>
                <c:pt idx="106">
                  <c:v>1.3316943372548731E-3</c:v>
                </c:pt>
                <c:pt idx="107">
                  <c:v>0</c:v>
                </c:pt>
                <c:pt idx="108">
                  <c:v>0</c:v>
                </c:pt>
                <c:pt idx="109">
                  <c:v>9.5498675798178238E-4</c:v>
                </c:pt>
                <c:pt idx="110">
                  <c:v>0</c:v>
                </c:pt>
                <c:pt idx="111">
                  <c:v>5.5184355911058009E-4</c:v>
                </c:pt>
                <c:pt idx="112">
                  <c:v>0</c:v>
                </c:pt>
                <c:pt idx="113">
                  <c:v>0</c:v>
                </c:pt>
                <c:pt idx="114">
                  <c:v>3.50271959674979E-4</c:v>
                </c:pt>
                <c:pt idx="115">
                  <c:v>0</c:v>
                </c:pt>
                <c:pt idx="116">
                  <c:v>2.1809386168442088E-4</c:v>
                </c:pt>
                <c:pt idx="117">
                  <c:v>0</c:v>
                </c:pt>
                <c:pt idx="118">
                  <c:v>0</c:v>
                </c:pt>
                <c:pt idx="119">
                  <c:v>1.2226474064126625E-4</c:v>
                </c:pt>
                <c:pt idx="120">
                  <c:v>0</c:v>
                </c:pt>
                <c:pt idx="121">
                  <c:v>0</c:v>
                </c:pt>
                <c:pt idx="122">
                  <c:v>4.9566786746459287E-5</c:v>
                </c:pt>
                <c:pt idx="123">
                  <c:v>0</c:v>
                </c:pt>
                <c:pt idx="124">
                  <c:v>2.9740072047875573E-5</c:v>
                </c:pt>
                <c:pt idx="125">
                  <c:v>0</c:v>
                </c:pt>
                <c:pt idx="126">
                  <c:v>0</c:v>
                </c:pt>
                <c:pt idx="127">
                  <c:v>1.6522262248819766E-5</c:v>
                </c:pt>
                <c:pt idx="128">
                  <c:v>0</c:v>
                </c:pt>
                <c:pt idx="129">
                  <c:v>9.9133573492918571E-6</c:v>
                </c:pt>
                <c:pt idx="130">
                  <c:v>0</c:v>
                </c:pt>
                <c:pt idx="131">
                  <c:v>0</c:v>
                </c:pt>
                <c:pt idx="132">
                  <c:v>6.6089048995279053E-6</c:v>
                </c:pt>
                <c:pt idx="133">
                  <c:v>0</c:v>
                </c:pt>
                <c:pt idx="134">
                  <c:v>3.3044524497639526E-6</c:v>
                </c:pt>
                <c:pt idx="135">
                  <c:v>0</c:v>
                </c:pt>
                <c:pt idx="136">
                  <c:v>0</c:v>
                </c:pt>
                <c:pt idx="137">
                  <c:v>6.6089048995279053E-6</c:v>
                </c:pt>
                <c:pt idx="138">
                  <c:v>0</c:v>
                </c:pt>
                <c:pt idx="139">
                  <c:v>0</c:v>
                </c:pt>
                <c:pt idx="140">
                  <c:v>3.3044524497639526E-6</c:v>
                </c:pt>
                <c:pt idx="141">
                  <c:v>0</c:v>
                </c:pt>
                <c:pt idx="142">
                  <c:v>3.3044524497639526E-6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(58.2 , 42.4)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58.217213284276703</c:v>
                </c:pt>
              </c:numCache>
            </c:numRef>
          </c:xVal>
          <c:yVal>
            <c:numRef>
              <c:f>info!$W$20:$W$21</c:f>
              <c:numCache>
                <c:formatCode>General</c:formatCode>
                <c:ptCount val="2"/>
                <c:pt idx="0">
                  <c:v>50</c:v>
                </c:pt>
                <c:pt idx="1">
                  <c:v>42.366162269596295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56.934300000000007</c:v>
                      </c:pt>
                    </c:numCache>
                  </c:numRef>
                </c:xVal>
                <c:yVal>
                  <c:numRef>
                    <c:extLst>
                      <c:ext uri="{02D57815-91ED-43cb-92C2-25804820EDAC}">
                        <c15:formulaRef>
                          <c15:sqref>info!$W$18</c15:sqref>
                        </c15:formulaRef>
                      </c:ext>
                    </c:extLst>
                    <c:numCache>
                      <c:formatCode>General</c:formatCode>
                      <c:ptCount val="1"/>
                      <c:pt idx="0">
                        <c:v>43.370899999999999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(58.2 , 42.4)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58.217213284276703</c:v>
                </c:pt>
              </c:numCache>
            </c:numRef>
          </c:xVal>
          <c:yVal>
            <c:numRef>
              <c:f>info!$W$20:$W$21</c:f>
              <c:numCache>
                <c:formatCode>General</c:formatCode>
                <c:ptCount val="2"/>
                <c:pt idx="0">
                  <c:v>50</c:v>
                </c:pt>
                <c:pt idx="1">
                  <c:v>42.366162269596295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43.794899999999998</c:v>
                </c:pt>
                <c:pt idx="1">
                  <c:v>25.314</c:v>
                </c:pt>
                <c:pt idx="2">
                  <c:v>34.7393</c:v>
                </c:pt>
                <c:pt idx="3">
                  <c:v>35.0246</c:v>
                </c:pt>
                <c:pt idx="4">
                  <c:v>62.959200000000003</c:v>
                </c:pt>
                <c:pt idx="5">
                  <c:v>85.476600000000005</c:v>
                </c:pt>
                <c:pt idx="6">
                  <c:v>23.624099999999999</c:v>
                </c:pt>
                <c:pt idx="7">
                  <c:v>73.963899999999995</c:v>
                </c:pt>
                <c:pt idx="8">
                  <c:v>19.9953</c:v>
                </c:pt>
                <c:pt idx="9">
                  <c:v>9.1319099999999995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0.55516920619972843</c:v>
                </c:pt>
                <c:pt idx="1">
                  <c:v>0.31337578778448938</c:v>
                </c:pt>
                <c:pt idx="2">
                  <c:v>0.13145500601578214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1.3701797504560129E-3</c:v>
                </c:pt>
                <c:pt idx="7">
                  <c:v>0</c:v>
                </c:pt>
                <c:pt idx="8">
                  <c:v>2.3863992532520358E-2</c:v>
                </c:pt>
                <c:pt idx="9">
                  <c:v>1.2217464653644249E-2</c:v>
                </c:pt>
                <c:pt idx="10">
                  <c:v>0</c:v>
                </c:pt>
                <c:pt idx="11">
                  <c:v>0.24720354876555367</c:v>
                </c:pt>
                <c:pt idx="12">
                  <c:v>0.10801555154016768</c:v>
                </c:pt>
                <c:pt idx="13">
                  <c:v>9.6940217344762908E-2</c:v>
                </c:pt>
                <c:pt idx="14">
                  <c:v>0.12171734904472779</c:v>
                </c:pt>
                <c:pt idx="15">
                  <c:v>5.4464645080626511E-2</c:v>
                </c:pt>
                <c:pt idx="16">
                  <c:v>0.25702259940225908</c:v>
                </c:pt>
                <c:pt idx="17">
                  <c:v>0.20849597081517132</c:v>
                </c:pt>
                <c:pt idx="18">
                  <c:v>8.4836991427812924E-2</c:v>
                </c:pt>
                <c:pt idx="19">
                  <c:v>4.4987539927894289E-2</c:v>
                </c:pt>
                <c:pt idx="20">
                  <c:v>1.5528675293090011E-2</c:v>
                </c:pt>
                <c:pt idx="21">
                  <c:v>5.8004247557226406E-2</c:v>
                </c:pt>
                <c:pt idx="22">
                  <c:v>5.4464645080626511E-2</c:v>
                </c:pt>
                <c:pt idx="23">
                  <c:v>4.544432360220256E-2</c:v>
                </c:pt>
                <c:pt idx="24">
                  <c:v>7.4788949500312576E-2</c:v>
                </c:pt>
                <c:pt idx="25">
                  <c:v>4.2133027326522396E-2</c:v>
                </c:pt>
                <c:pt idx="26">
                  <c:v>0.14752297191987873</c:v>
                </c:pt>
                <c:pt idx="27">
                  <c:v>0.10733046166493966</c:v>
                </c:pt>
                <c:pt idx="28">
                  <c:v>8.3923509715430791E-2</c:v>
                </c:pt>
                <c:pt idx="29">
                  <c:v>0.28728130646639205</c:v>
                </c:pt>
                <c:pt idx="30">
                  <c:v>0.1033346749676723</c:v>
                </c:pt>
                <c:pt idx="31">
                  <c:v>0.27860293047194129</c:v>
                </c:pt>
                <c:pt idx="32">
                  <c:v>0.17264264855745762</c:v>
                </c:pt>
                <c:pt idx="33">
                  <c:v>0.11303982941262107</c:v>
                </c:pt>
                <c:pt idx="34">
                  <c:v>0.21774468413074941</c:v>
                </c:pt>
                <c:pt idx="35">
                  <c:v>0.14112851429696932</c:v>
                </c:pt>
                <c:pt idx="36">
                  <c:v>4.9440624116876331E-2</c:v>
                </c:pt>
                <c:pt idx="37">
                  <c:v>0.22813492845092614</c:v>
                </c:pt>
                <c:pt idx="38">
                  <c:v>9.2144588218166873E-2</c:v>
                </c:pt>
                <c:pt idx="39">
                  <c:v>0.23350175126099354</c:v>
                </c:pt>
                <c:pt idx="40">
                  <c:v>0.15677168523545681</c:v>
                </c:pt>
                <c:pt idx="41">
                  <c:v>9.0431863530096857E-2</c:v>
                </c:pt>
                <c:pt idx="42">
                  <c:v>0.26570097539670984</c:v>
                </c:pt>
                <c:pt idx="43">
                  <c:v>0.21523211701335065</c:v>
                </c:pt>
                <c:pt idx="44">
                  <c:v>0.25862142789857245</c:v>
                </c:pt>
                <c:pt idx="45">
                  <c:v>0.16556310105932021</c:v>
                </c:pt>
                <c:pt idx="46">
                  <c:v>0.16362258398773688</c:v>
                </c:pt>
                <c:pt idx="47">
                  <c:v>0.41333784350834524</c:v>
                </c:pt>
                <c:pt idx="48">
                  <c:v>0.19741978025742252</c:v>
                </c:pt>
                <c:pt idx="49">
                  <c:v>0.44999015183304358</c:v>
                </c:pt>
                <c:pt idx="50">
                  <c:v>0.21934265626471872</c:v>
                </c:pt>
                <c:pt idx="51">
                  <c:v>0.11041336610346569</c:v>
                </c:pt>
                <c:pt idx="52">
                  <c:v>0.44131177583859282</c:v>
                </c:pt>
                <c:pt idx="53">
                  <c:v>0.19193906125559845</c:v>
                </c:pt>
                <c:pt idx="54">
                  <c:v>0.19844741507026453</c:v>
                </c:pt>
                <c:pt idx="55">
                  <c:v>0.35738826612316199</c:v>
                </c:pt>
                <c:pt idx="56">
                  <c:v>0.10995692497409504</c:v>
                </c:pt>
                <c:pt idx="57">
                  <c:v>0.27437849502881662</c:v>
                </c:pt>
                <c:pt idx="58">
                  <c:v>0.14752297191987873</c:v>
                </c:pt>
                <c:pt idx="59">
                  <c:v>0.12171734904472779</c:v>
                </c:pt>
                <c:pt idx="60">
                  <c:v>0.29527373622327074</c:v>
                </c:pt>
                <c:pt idx="61">
                  <c:v>0.13142335985202058</c:v>
                </c:pt>
                <c:pt idx="62">
                  <c:v>0.26398825070863979</c:v>
                </c:pt>
                <c:pt idx="63">
                  <c:v>0.12594264085019652</c:v>
                </c:pt>
                <c:pt idx="64">
                  <c:v>0.20644070118948729</c:v>
                </c:pt>
                <c:pt idx="65">
                  <c:v>0.27095304565267658</c:v>
                </c:pt>
                <c:pt idx="66">
                  <c:v>0.29744290204071144</c:v>
                </c:pt>
                <c:pt idx="67">
                  <c:v>0.38022488075154359</c:v>
                </c:pt>
                <c:pt idx="68">
                  <c:v>0.22802103225916948</c:v>
                </c:pt>
                <c:pt idx="69">
                  <c:v>0.22950510820138217</c:v>
                </c:pt>
                <c:pt idx="70">
                  <c:v>0.47545237340823643</c:v>
                </c:pt>
                <c:pt idx="71">
                  <c:v>0.26649996146369453</c:v>
                </c:pt>
                <c:pt idx="72">
                  <c:v>0.15631438774374212</c:v>
                </c:pt>
                <c:pt idx="73">
                  <c:v>0.43834362395416743</c:v>
                </c:pt>
                <c:pt idx="74">
                  <c:v>0.13587644404100263</c:v>
                </c:pt>
                <c:pt idx="75">
                  <c:v>0.56622678187594733</c:v>
                </c:pt>
                <c:pt idx="76">
                  <c:v>0.19410908343538316</c:v>
                </c:pt>
                <c:pt idx="77">
                  <c:v>0.1660203985510349</c:v>
                </c:pt>
                <c:pt idx="78">
                  <c:v>0.57947213825113686</c:v>
                </c:pt>
                <c:pt idx="79">
                  <c:v>0.26992541083983457</c:v>
                </c:pt>
                <c:pt idx="80">
                  <c:v>0.52786174886317894</c:v>
                </c:pt>
                <c:pt idx="81">
                  <c:v>0.27769004821319992</c:v>
                </c:pt>
                <c:pt idx="82">
                  <c:v>0.22402438919955811</c:v>
                </c:pt>
                <c:pt idx="83">
                  <c:v>0.56360031856679194</c:v>
                </c:pt>
                <c:pt idx="84">
                  <c:v>0.32964212617642774</c:v>
                </c:pt>
                <c:pt idx="85">
                  <c:v>0.26855523108937851</c:v>
                </c:pt>
                <c:pt idx="86">
                  <c:v>1</c:v>
                </c:pt>
                <c:pt idx="87">
                  <c:v>0.23612735820780487</c:v>
                </c:pt>
                <c:pt idx="88">
                  <c:v>0.64729603589870943</c:v>
                </c:pt>
                <c:pt idx="89">
                  <c:v>0.35339247942589463</c:v>
                </c:pt>
                <c:pt idx="90">
                  <c:v>0.2760912197168866</c:v>
                </c:pt>
                <c:pt idx="91">
                  <c:v>0.74377895575175768</c:v>
                </c:pt>
                <c:pt idx="92">
                  <c:v>0.36812191174329684</c:v>
                </c:pt>
                <c:pt idx="93">
                  <c:v>0.86036155618165144</c:v>
                </c:pt>
                <c:pt idx="94">
                  <c:v>0.37497281049557685</c:v>
                </c:pt>
                <c:pt idx="95">
                  <c:v>0.36652308324698346</c:v>
                </c:pt>
                <c:pt idx="96">
                  <c:v>0.85647367113973261</c:v>
                </c:pt>
                <c:pt idx="97">
                  <c:v>0.33215469329382646</c:v>
                </c:pt>
                <c:pt idx="98">
                  <c:v>0.96540296130098568</c:v>
                </c:pt>
                <c:pt idx="99">
                  <c:v>0.41858991376431193</c:v>
                </c:pt>
                <c:pt idx="100">
                  <c:v>0.43994159608813682</c:v>
                </c:pt>
                <c:pt idx="101">
                  <c:v>0.91619638101273415</c:v>
                </c:pt>
                <c:pt idx="102">
                  <c:v>0.2215126784445034</c:v>
                </c:pt>
                <c:pt idx="103">
                  <c:v>0.39415532700196104</c:v>
                </c:pt>
                <c:pt idx="104">
                  <c:v>0.85636234403500799</c:v>
                </c:pt>
                <c:pt idx="105">
                  <c:v>0.36686562818459745</c:v>
                </c:pt>
                <c:pt idx="106">
                  <c:v>0.6868025999160764</c:v>
                </c:pt>
                <c:pt idx="107">
                  <c:v>0.43366189101932806</c:v>
                </c:pt>
                <c:pt idx="108">
                  <c:v>0.24777388608668099</c:v>
                </c:pt>
                <c:pt idx="109">
                  <c:v>0.76307622481224247</c:v>
                </c:pt>
                <c:pt idx="110">
                  <c:v>0.27312221147011723</c:v>
                </c:pt>
                <c:pt idx="111">
                  <c:v>0.81320168189564368</c:v>
                </c:pt>
                <c:pt idx="112">
                  <c:v>0.33649302492870781</c:v>
                </c:pt>
                <c:pt idx="113">
                  <c:v>0.25279816395913435</c:v>
                </c:pt>
                <c:pt idx="114">
                  <c:v>0.8710917763524102</c:v>
                </c:pt>
                <c:pt idx="115">
                  <c:v>0.3878747655708083</c:v>
                </c:pt>
                <c:pt idx="116">
                  <c:v>0.78203009257276934</c:v>
                </c:pt>
                <c:pt idx="117">
                  <c:v>0.4085422143817492</c:v>
                </c:pt>
                <c:pt idx="118">
                  <c:v>0.38136641175614228</c:v>
                </c:pt>
                <c:pt idx="119">
                  <c:v>0.71694655442610877</c:v>
                </c:pt>
                <c:pt idx="120">
                  <c:v>0.47396829746602381</c:v>
                </c:pt>
                <c:pt idx="121">
                  <c:v>0.4858426177284132</c:v>
                </c:pt>
                <c:pt idx="122">
                  <c:v>0.6725296087280449</c:v>
                </c:pt>
                <c:pt idx="123">
                  <c:v>0.29047810709667471</c:v>
                </c:pt>
                <c:pt idx="124">
                  <c:v>0.98150257336884372</c:v>
                </c:pt>
                <c:pt idx="125">
                  <c:v>0.46060904489907761</c:v>
                </c:pt>
                <c:pt idx="126">
                  <c:v>0</c:v>
                </c:pt>
                <c:pt idx="127">
                  <c:v>0.91962183038887402</c:v>
                </c:pt>
                <c:pt idx="128">
                  <c:v>0.42201536314045196</c:v>
                </c:pt>
                <c:pt idx="129">
                  <c:v>0.77723446344617331</c:v>
                </c:pt>
                <c:pt idx="130">
                  <c:v>0</c:v>
                </c:pt>
                <c:pt idx="131">
                  <c:v>0.41059748400743318</c:v>
                </c:pt>
                <c:pt idx="132">
                  <c:v>0.70552867529309005</c:v>
                </c:pt>
                <c:pt idx="133">
                  <c:v>0.17515435931251228</c:v>
                </c:pt>
                <c:pt idx="134">
                  <c:v>0.44199686571382085</c:v>
                </c:pt>
                <c:pt idx="135">
                  <c:v>0.29287592165997273</c:v>
                </c:pt>
                <c:pt idx="136">
                  <c:v>0.1543738706721588</c:v>
                </c:pt>
                <c:pt idx="137">
                  <c:v>0.28842283747099068</c:v>
                </c:pt>
                <c:pt idx="138">
                  <c:v>0.19034108912162911</c:v>
                </c:pt>
                <c:pt idx="139">
                  <c:v>0.14032952822998468</c:v>
                </c:pt>
                <c:pt idx="140">
                  <c:v>0.23726974557474756</c:v>
                </c:pt>
                <c:pt idx="141">
                  <c:v>8.3580964777816777E-2</c:v>
                </c:pt>
                <c:pt idx="142">
                  <c:v>0.16168121055380952</c:v>
                </c:pt>
                <c:pt idx="143">
                  <c:v>8.8947787587884172E-2</c:v>
                </c:pt>
                <c:pt idx="144">
                  <c:v>5.5149734955854519E-2</c:v>
                </c:pt>
                <c:pt idx="145">
                  <c:v>0.14946348899146206</c:v>
                </c:pt>
                <c:pt idx="146">
                  <c:v>5.663406780677039E-2</c:v>
                </c:pt>
                <c:pt idx="147">
                  <c:v>0.11429611297132042</c:v>
                </c:pt>
                <c:pt idx="148">
                  <c:v>5.4807190018240519E-2</c:v>
                </c:pt>
                <c:pt idx="149">
                  <c:v>5.9602819144836554E-2</c:v>
                </c:pt>
                <c:pt idx="150">
                  <c:v>5.6976612744384397E-2</c:v>
                </c:pt>
                <c:pt idx="151">
                  <c:v>2.2607965882524214E-2</c:v>
                </c:pt>
                <c:pt idx="152">
                  <c:v>5.6748306543464667E-2</c:v>
                </c:pt>
                <c:pt idx="153">
                  <c:v>8.792015277504216E-3</c:v>
                </c:pt>
                <c:pt idx="154">
                  <c:v>1.7013093780240296E-2</c:v>
                </c:pt>
                <c:pt idx="155">
                  <c:v>5.5606432993928395E-2</c:v>
                </c:pt>
                <c:pt idx="156">
                  <c:v>2.4206537470134362E-2</c:v>
                </c:pt>
                <c:pt idx="157">
                  <c:v>1.5414522192630144E-2</c:v>
                </c:pt>
                <c:pt idx="158">
                  <c:v>2.6261807095818383E-2</c:v>
                </c:pt>
                <c:pt idx="159">
                  <c:v>0</c:v>
                </c:pt>
                <c:pt idx="160">
                  <c:v>5.1381740642100484E-3</c:v>
                </c:pt>
                <c:pt idx="161">
                  <c:v>1.0504739965574232E-2</c:v>
                </c:pt>
                <c:pt idx="162">
                  <c:v>5.2523528555402359E-3</c:v>
                </c:pt>
                <c:pt idx="163">
                  <c:v>5.2523528555402359E-3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extLst xmlns:c15="http://schemas.microsoft.com/office/drawing/2012/chart"/>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3.6004000000000005</c:v>
                </c:pt>
              </c:numCache>
            </c:numRef>
          </c:xVal>
          <c:yVal>
            <c:numRef>
              <c:f>[0]!FT_PH01</c:f>
              <c:numCache>
                <c:formatCode>0.00</c:formatCode>
                <c:ptCount val="1"/>
                <c:pt idx="0">
                  <c:v>35.1907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3.6004000000000005</c:v>
                </c:pt>
              </c:numCache>
            </c:numRef>
          </c:xVal>
          <c:yVal>
            <c:numRef>
              <c:f>[0]!FT_PH02</c:f>
              <c:numCache>
                <c:formatCode>0.00</c:formatCode>
                <c:ptCount val="1"/>
                <c:pt idx="0">
                  <c:v>35.1907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3.6004000000000005</c:v>
                </c:pt>
              </c:numCache>
            </c:numRef>
          </c:xVal>
          <c:yVal>
            <c:numRef>
              <c:f>[0]!FT_PH03</c:f>
              <c:numCache>
                <c:formatCode>0.00</c:formatCode>
                <c:ptCount val="1"/>
                <c:pt idx="0">
                  <c:v>35.1907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3.6004000000000005</c:v>
                </c:pt>
              </c:numCache>
            </c:numRef>
          </c:xVal>
          <c:yVal>
            <c:numRef>
              <c:f>[0]!FT_PH04</c:f>
              <c:numCache>
                <c:formatCode>0.00</c:formatCode>
                <c:ptCount val="1"/>
                <c:pt idx="0">
                  <c:v>35.1907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3.6004000000000005</c:v>
                </c:pt>
              </c:numCache>
            </c:numRef>
          </c:xVal>
          <c:yVal>
            <c:numRef>
              <c:f>[0]!FT_PH05</c:f>
              <c:numCache>
                <c:formatCode>0.00</c:formatCode>
                <c:ptCount val="1"/>
                <c:pt idx="0">
                  <c:v>35.1907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3.6004000000000005</c:v>
                </c:pt>
              </c:numCache>
            </c:numRef>
          </c:xVal>
          <c:yVal>
            <c:numRef>
              <c:f>[0]!FT_PH06</c:f>
              <c:numCache>
                <c:formatCode>0.00</c:formatCode>
                <c:ptCount val="1"/>
                <c:pt idx="0">
                  <c:v>35.1907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3.6004000000000005</c:v>
                </c:pt>
              </c:numCache>
            </c:numRef>
          </c:xVal>
          <c:yVal>
            <c:numRef>
              <c:f>[0]!FT_PH07</c:f>
              <c:numCache>
                <c:formatCode>0.00</c:formatCode>
                <c:ptCount val="1"/>
                <c:pt idx="0">
                  <c:v>35.1907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3.6004000000000005</c:v>
                </c:pt>
              </c:numCache>
            </c:numRef>
          </c:xVal>
          <c:yVal>
            <c:numRef>
              <c:f>[0]!FT_PH08</c:f>
              <c:numCache>
                <c:formatCode>0.00</c:formatCode>
                <c:ptCount val="1"/>
                <c:pt idx="0">
                  <c:v>35.1907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3.6004000000000005</c:v>
                </c:pt>
              </c:numCache>
            </c:numRef>
          </c:xVal>
          <c:yVal>
            <c:numRef>
              <c:f>[0]!FT_PH09</c:f>
              <c:numCache>
                <c:formatCode>0.00</c:formatCode>
                <c:ptCount val="1"/>
                <c:pt idx="0">
                  <c:v>35.1907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3.6004000000000005</c:v>
                </c:pt>
              </c:numCache>
            </c:numRef>
          </c:xVal>
          <c:yVal>
            <c:numRef>
              <c:f>[0]!FT_PH10</c:f>
              <c:numCache>
                <c:formatCode>0.00</c:formatCode>
                <c:ptCount val="1"/>
                <c:pt idx="0">
                  <c:v>35.1907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3.6004000000000005</c:v>
                </c:pt>
              </c:numCache>
            </c:numRef>
          </c:xVal>
          <c:yVal>
            <c:numRef>
              <c:f>[0]!FT_PH11</c:f>
              <c:numCache>
                <c:formatCode>0.00</c:formatCode>
                <c:ptCount val="1"/>
                <c:pt idx="0">
                  <c:v>35.1907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3.6004000000000005</c:v>
                </c:pt>
              </c:numCache>
            </c:numRef>
          </c:xVal>
          <c:yVal>
            <c:numRef>
              <c:f>[0]!FT_PH12</c:f>
              <c:numCache>
                <c:formatCode>0.00</c:formatCode>
                <c:ptCount val="1"/>
                <c:pt idx="0">
                  <c:v>35.1907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3.6004000000000005</c:v>
                </c:pt>
              </c:numCache>
            </c:numRef>
          </c:xVal>
          <c:yVal>
            <c:numRef>
              <c:f>[0]!FT_PH13</c:f>
              <c:numCache>
                <c:formatCode>0.00</c:formatCode>
                <c:ptCount val="1"/>
                <c:pt idx="0">
                  <c:v>35.1907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3.6004000000000005</c:v>
                </c:pt>
              </c:numCache>
            </c:numRef>
          </c:xVal>
          <c:yVal>
            <c:numRef>
              <c:f>[0]!FT_PH14</c:f>
              <c:numCache>
                <c:formatCode>0.00</c:formatCode>
                <c:ptCount val="1"/>
                <c:pt idx="0">
                  <c:v>35.1907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3.6004000000000005</c:v>
                </c:pt>
              </c:numCache>
            </c:numRef>
          </c:xVal>
          <c:yVal>
            <c:numRef>
              <c:f>[0]!FT_PH15</c:f>
              <c:numCache>
                <c:formatCode>0.00</c:formatCode>
                <c:ptCount val="1"/>
                <c:pt idx="0">
                  <c:v>35.1907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3.6004000000000005</c:v>
                </c:pt>
              </c:numCache>
            </c:numRef>
          </c:xVal>
          <c:yVal>
            <c:numRef>
              <c:f>[0]!FT_PH16</c:f>
              <c:numCache>
                <c:formatCode>0.00</c:formatCode>
                <c:ptCount val="1"/>
                <c:pt idx="0">
                  <c:v>35.1907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3.6004000000000005</c:v>
                </c:pt>
              </c:numCache>
            </c:numRef>
          </c:xVal>
          <c:yVal>
            <c:numRef>
              <c:f>[0]!FT_PH17</c:f>
              <c:numCache>
                <c:formatCode>0.00</c:formatCode>
                <c:ptCount val="1"/>
                <c:pt idx="0">
                  <c:v>35.1907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3.6004000000000005</c:v>
                </c:pt>
              </c:numCache>
            </c:numRef>
          </c:xVal>
          <c:yVal>
            <c:numRef>
              <c:f>[0]!FT_PH18</c:f>
              <c:numCache>
                <c:formatCode>0.00</c:formatCode>
                <c:ptCount val="1"/>
                <c:pt idx="0">
                  <c:v>35.1907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3.6004000000000005</c:v>
                </c:pt>
              </c:numCache>
            </c:numRef>
          </c:xVal>
          <c:yVal>
            <c:numRef>
              <c:f>[0]!FT_PH19</c:f>
              <c:numCache>
                <c:formatCode>0.00</c:formatCode>
                <c:ptCount val="1"/>
                <c:pt idx="0">
                  <c:v>35.1907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3.6004000000000005</c:v>
                </c:pt>
              </c:numCache>
            </c:numRef>
          </c:xVal>
          <c:yVal>
            <c:numRef>
              <c:f>[0]!FT_PH20</c:f>
              <c:numCache>
                <c:formatCode>0.00</c:formatCode>
                <c:ptCount val="1"/>
                <c:pt idx="0">
                  <c:v>35.1907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3.6004000000000005</c:v>
                </c:pt>
              </c:numCache>
            </c:numRef>
          </c:xVal>
          <c:yVal>
            <c:numRef>
              <c:f>[0]!FT_PH21</c:f>
              <c:numCache>
                <c:formatCode>0.00</c:formatCode>
                <c:ptCount val="1"/>
                <c:pt idx="0">
                  <c:v>35.1907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3.6004000000000005</c:v>
                </c:pt>
              </c:numCache>
            </c:numRef>
          </c:xVal>
          <c:yVal>
            <c:numRef>
              <c:f>[0]!FT_PH22</c:f>
              <c:numCache>
                <c:formatCode>0.00</c:formatCode>
                <c:ptCount val="1"/>
                <c:pt idx="0">
                  <c:v>35.1907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3.6004000000000005</c:v>
                </c:pt>
              </c:numCache>
            </c:numRef>
          </c:xVal>
          <c:yVal>
            <c:numRef>
              <c:f>[0]!FT_PH23</c:f>
              <c:numCache>
                <c:formatCode>0.00</c:formatCode>
                <c:ptCount val="1"/>
                <c:pt idx="0">
                  <c:v>35.1907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3.6004000000000005</c:v>
                </c:pt>
              </c:numCache>
            </c:numRef>
          </c:xVal>
          <c:yVal>
            <c:numRef>
              <c:f>[0]!FT_PH24</c:f>
              <c:numCache>
                <c:formatCode>0.00</c:formatCode>
                <c:ptCount val="1"/>
                <c:pt idx="0">
                  <c:v>35.1907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3.6004000000000005</c:v>
                </c:pt>
              </c:numCache>
            </c:numRef>
          </c:xVal>
          <c:yVal>
            <c:numRef>
              <c:f>info!$H$2</c:f>
              <c:numCache>
                <c:formatCode>0.00</c:formatCode>
                <c:ptCount val="1"/>
                <c:pt idx="0">
                  <c:v>35.1907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0.22259358538464008</c:v>
                </c:pt>
                <c:pt idx="1">
                  <c:v>0.27018995365835985</c:v>
                </c:pt>
                <c:pt idx="2">
                  <c:v>0.50721646095700001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[0]!FT_E</c:f>
              <c:numCache>
                <c:formatCode>0.00</c:formatCode>
                <c:ptCount val="25"/>
                <c:pt idx="0">
                  <c:v>3.6004000000000005</c:v>
                </c:pt>
                <c:pt idx="1">
                  <c:v>3.5859200000000002</c:v>
                </c:pt>
                <c:pt idx="2">
                  <c:v>3.5822799999999999</c:v>
                </c:pt>
                <c:pt idx="3">
                  <c:v>3.59884</c:v>
                </c:pt>
                <c:pt idx="4">
                  <c:v>3.6248499999999999</c:v>
                </c:pt>
                <c:pt idx="5">
                  <c:v>3.6632400000000001</c:v>
                </c:pt>
                <c:pt idx="6">
                  <c:v>3.7029299999999998</c:v>
                </c:pt>
                <c:pt idx="7">
                  <c:v>3.7409699999999999</c:v>
                </c:pt>
                <c:pt idx="8">
                  <c:v>3.76328</c:v>
                </c:pt>
                <c:pt idx="9">
                  <c:v>3.7683899999999997</c:v>
                </c:pt>
                <c:pt idx="10">
                  <c:v>3.7473800000000002</c:v>
                </c:pt>
                <c:pt idx="11">
                  <c:v>3.7114399999999996</c:v>
                </c:pt>
                <c:pt idx="12">
                  <c:v>3.66777</c:v>
                </c:pt>
                <c:pt idx="13">
                  <c:v>3.6113499999999998</c:v>
                </c:pt>
                <c:pt idx="14">
                  <c:v>3.5443999999999996</c:v>
                </c:pt>
                <c:pt idx="15">
                  <c:v>3.4699799999999996</c:v>
                </c:pt>
                <c:pt idx="16">
                  <c:v>3.3893200000000001</c:v>
                </c:pt>
                <c:pt idx="17">
                  <c:v>3.30362</c:v>
                </c:pt>
                <c:pt idx="18">
                  <c:v>3.2400600000000002</c:v>
                </c:pt>
                <c:pt idx="19">
                  <c:v>3.1917499999999999</c:v>
                </c:pt>
                <c:pt idx="20">
                  <c:v>3.1392700000000002</c:v>
                </c:pt>
                <c:pt idx="21">
                  <c:v>3.08711</c:v>
                </c:pt>
                <c:pt idx="22">
                  <c:v>3.0420199999999999</c:v>
                </c:pt>
                <c:pt idx="23">
                  <c:v>2.9964200000000001</c:v>
                </c:pt>
                <c:pt idx="24">
                  <c:v>2.9687700000000001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3.6004000000000005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3.6004000000000005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3.6004000000000005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3.6004000000000005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3.6004000000000005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3.6004000000000005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3.6004000000000005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3.6004000000000005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3.6004000000000005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3.6004000000000005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3.6004000000000005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3.6004000000000005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3.6004000000000005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3.6004000000000005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3.6004000000000005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3.6004000000000005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3.6004000000000005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3.6004000000000005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3.6004000000000005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3.6004000000000005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3.6004000000000005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3.6004000000000005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3.6004000000000005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3.6004000000000005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0.39440999999999998</c:v>
                </c:pt>
                <c:pt idx="2">
                  <c:v>0.80634700000000004</c:v>
                </c:pt>
                <c:pt idx="3">
                  <c:v>1.2169300000000001</c:v>
                </c:pt>
                <c:pt idx="4">
                  <c:v>1.62923</c:v>
                </c:pt>
                <c:pt idx="5">
                  <c:v>2.0201600000000002</c:v>
                </c:pt>
                <c:pt idx="6">
                  <c:v>2.4254199999999999</c:v>
                </c:pt>
                <c:pt idx="7">
                  <c:v>2.8321700000000001</c:v>
                </c:pt>
                <c:pt idx="8">
                  <c:v>3.2422399999999998</c:v>
                </c:pt>
                <c:pt idx="9">
                  <c:v>3.6509200000000002</c:v>
                </c:pt>
                <c:pt idx="10">
                  <c:v>4.0698699999999999</c:v>
                </c:pt>
                <c:pt idx="11">
                  <c:v>4.4577900000000001</c:v>
                </c:pt>
                <c:pt idx="12">
                  <c:v>4.8747199999999999</c:v>
                </c:pt>
                <c:pt idx="13">
                  <c:v>5.2700800000000001</c:v>
                </c:pt>
                <c:pt idx="14">
                  <c:v>5.6761200000000001</c:v>
                </c:pt>
                <c:pt idx="15">
                  <c:v>6.0946600000000002</c:v>
                </c:pt>
                <c:pt idx="16">
                  <c:v>6.4959600000000002</c:v>
                </c:pt>
                <c:pt idx="17">
                  <c:v>6.8916500000000003</c:v>
                </c:pt>
                <c:pt idx="18">
                  <c:v>7.29589</c:v>
                </c:pt>
                <c:pt idx="19">
                  <c:v>7.7078199999999999</c:v>
                </c:pt>
                <c:pt idx="20">
                  <c:v>8.1166599999999995</c:v>
                </c:pt>
                <c:pt idx="21">
                  <c:v>8.5197000000000003</c:v>
                </c:pt>
                <c:pt idx="22">
                  <c:v>8.9321900000000003</c:v>
                </c:pt>
                <c:pt idx="23">
                  <c:v>9.3329799999999992</c:v>
                </c:pt>
                <c:pt idx="24">
                  <c:v>9.7345000000000006</c:v>
                </c:pt>
              </c:numCache>
            </c:numRef>
          </c:xVal>
          <c:yVal>
            <c:numRef>
              <c:f>[0]!FT_PH</c:f>
              <c:numCache>
                <c:formatCode>0.00</c:formatCode>
                <c:ptCount val="25"/>
                <c:pt idx="0">
                  <c:v>35.1907</c:v>
                </c:pt>
                <c:pt idx="1">
                  <c:v>35.489699999999999</c:v>
                </c:pt>
                <c:pt idx="2">
                  <c:v>36.076500000000003</c:v>
                </c:pt>
                <c:pt idx="3">
                  <c:v>37.020599999999995</c:v>
                </c:pt>
                <c:pt idx="4">
                  <c:v>37.895499999999998</c:v>
                </c:pt>
                <c:pt idx="5">
                  <c:v>38.6815</c:v>
                </c:pt>
                <c:pt idx="6">
                  <c:v>39.630800000000001</c:v>
                </c:pt>
                <c:pt idx="7">
                  <c:v>40.883199999999995</c:v>
                </c:pt>
                <c:pt idx="8">
                  <c:v>42.116500000000002</c:v>
                </c:pt>
                <c:pt idx="9">
                  <c:v>43.420700000000004</c:v>
                </c:pt>
                <c:pt idx="10">
                  <c:v>44.2363</c:v>
                </c:pt>
                <c:pt idx="11">
                  <c:v>45.142200000000003</c:v>
                </c:pt>
                <c:pt idx="12">
                  <c:v>46.114699999999999</c:v>
                </c:pt>
                <c:pt idx="13">
                  <c:v>47.148600000000002</c:v>
                </c:pt>
                <c:pt idx="14">
                  <c:v>48.006</c:v>
                </c:pt>
                <c:pt idx="15">
                  <c:v>48.814300000000003</c:v>
                </c:pt>
                <c:pt idx="16">
                  <c:v>49.678100000000001</c:v>
                </c:pt>
                <c:pt idx="17">
                  <c:v>50.576799999999999</c:v>
                </c:pt>
                <c:pt idx="18">
                  <c:v>51.3185</c:v>
                </c:pt>
                <c:pt idx="19">
                  <c:v>51.987099999999998</c:v>
                </c:pt>
                <c:pt idx="20">
                  <c:v>52.656400000000005</c:v>
                </c:pt>
                <c:pt idx="21">
                  <c:v>53.354300000000002</c:v>
                </c:pt>
                <c:pt idx="22">
                  <c:v>53.8752</c:v>
                </c:pt>
                <c:pt idx="23">
                  <c:v>54.487099999999998</c:v>
                </c:pt>
                <c:pt idx="24">
                  <c:v>54.884200000000007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35.1907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35.1907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35.1907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35.1907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35.1907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35.1907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35.1907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35.1907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35.1907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35.1907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35.1907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35.1907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35.1907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35.1907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35.1907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35.1907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35.1907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35.1907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35.1907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35.1907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35.1907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35.1907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35.1907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35.1907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73.78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0.66597432888995622</c:v>
                </c:pt>
                <c:pt idx="1">
                  <c:v>0.66597432888995622</c:v>
                </c:pt>
                <c:pt idx="2">
                  <c:v>-7</c:v>
                </c:pt>
              </c:numCache>
            </c:numRef>
          </c:xVal>
          <c:yVal>
            <c:numRef>
              <c:f>'R'!$I$5:$I$7</c:f>
              <c:numCache>
                <c:formatCode>0.0_ </c:formatCode>
                <c:ptCount val="3"/>
                <c:pt idx="0">
                  <c:v>0</c:v>
                </c:pt>
                <c:pt idx="1">
                  <c:v>73.781694514155433</c:v>
                </c:pt>
                <c:pt idx="2">
                  <c:v>73.781694514155433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0.66597432888995622</c:v>
                </c:pt>
              </c:numCache>
            </c:numRef>
          </c:xVal>
          <c:yVal>
            <c:numRef>
              <c:f>'R'!$I$4</c:f>
              <c:numCache>
                <c:formatCode>0.00_ </c:formatCode>
                <c:ptCount val="1"/>
                <c:pt idx="0">
                  <c:v>73.781694514155433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37.93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37.926140000000011</c:v>
                </c:pt>
                <c:pt idx="1">
                  <c:v>37.926140000000011</c:v>
                </c:pt>
                <c:pt idx="2">
                  <c:v>0</c:v>
                </c:pt>
              </c:numCache>
            </c:numRef>
          </c:xVal>
          <c:yVal>
            <c:numRef>
              <c:f>'R2'!$I$5:$I$7</c:f>
              <c:numCache>
                <c:formatCode>0.0_ </c:formatCode>
                <c:ptCount val="3"/>
                <c:pt idx="0">
                  <c:v>0</c:v>
                </c:pt>
                <c:pt idx="1">
                  <c:v>29.326630425714473</c:v>
                </c:pt>
                <c:pt idx="2">
                  <c:v>29.326630425714473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1.76274</c:v>
                </c:pt>
                <c:pt idx="1">
                  <c:v>1.76274</c:v>
                </c:pt>
                <c:pt idx="2">
                  <c:v>0</c:v>
                </c:pt>
              </c:numCache>
            </c:numRef>
          </c:xVal>
          <c:yVal>
            <c:numRef>
              <c:f>'R3'!$I$6:$I$8</c:f>
              <c:numCache>
                <c:formatCode>0.0_ </c:formatCode>
                <c:ptCount val="3"/>
                <c:pt idx="0">
                  <c:v>0</c:v>
                </c:pt>
                <c:pt idx="1">
                  <c:v>42.366162269596295</c:v>
                </c:pt>
                <c:pt idx="2">
                  <c:v>42.366162269596295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1.76274</c:v>
                </c:pt>
                <c:pt idx="1">
                  <c:v>1.76274</c:v>
                </c:pt>
                <c:pt idx="2">
                  <c:v>0</c:v>
                </c:pt>
              </c:numCache>
            </c:numRef>
          </c:xVal>
          <c:yVal>
            <c:numRef>
              <c:f>'R4'!$I$5:$I$7</c:f>
              <c:numCache>
                <c:formatCode>0.0_ </c:formatCode>
                <c:ptCount val="3"/>
                <c:pt idx="0">
                  <c:v>0</c:v>
                </c:pt>
                <c:pt idx="1">
                  <c:v>5.8221651686797951E-2</c:v>
                </c:pt>
                <c:pt idx="2">
                  <c:v>5.8221651686797951E-2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0.59422621128963571</c:v>
                </c:pt>
                <c:pt idx="1">
                  <c:v>0.33542225506306028</c:v>
                </c:pt>
                <c:pt idx="2">
                  <c:v>7.0351533647303996E-2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0.2982262056926771</c:v>
                </c:pt>
                <c:pt idx="1">
                  <c:v>0.36199481919739601</c:v>
                </c:pt>
                <c:pt idx="2">
                  <c:v>0.33977897510992694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(58.2 , 42.4)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58.217213284276703</c:v>
                      </c:pt>
                    </c:numCache>
                  </c:numRef>
                </c:xVal>
                <c:yVal>
                  <c:numRef>
                    <c:extLst>
                      <c:ext uri="{02D57815-91ED-43cb-92C2-25804820EDAC}">
                        <c15:formulaRef>
                          <c15:sqref>info!$W$20:$W$21</c15:sqref>
                        </c15:formulaRef>
                      </c:ext>
                    </c:extLst>
                    <c:numCache>
                      <c:formatCode>General</c:formatCode>
                      <c:ptCount val="2"/>
                      <c:pt idx="0">
                        <c:v>50</c:v>
                      </c:pt>
                      <c:pt idx="1">
                        <c:v>42.366162269596295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(56.9 , 56.6)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56.934300000000007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43.370899999999999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Xb7e%5e1%5e1%5e\2025-06-11%2020_54_2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Xb7e%5e1%5e1%5e\2025-06-11%2020_54_2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090F515-1A29-793A-6B95-368146D3B55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06DD5A8-70F8-50DD-C4E1-800E9A7057F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45819.87128472222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Xb7e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45819.87128472222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( 87 , 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0.66597432888995622</v>
      </c>
      <c r="I20" s="862"/>
      <c r="J20" s="311" t="str">
        <f>lang!B174</f>
        <v>정보량</v>
      </c>
      <c r="K20" s="236">
        <f ca="1">info!N9</f>
        <v>45.547420000000002</v>
      </c>
      <c r="L20" s="312" t="str">
        <f>lang!B175</f>
        <v>에너지</v>
      </c>
      <c r="M20" s="863">
        <f ca="1">info!M9</f>
        <v>3.4696703999999996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35.1128</v>
      </c>
      <c r="N32" s="816"/>
      <c r="O32" s="817">
        <f>Measurement!N7</f>
        <v>43.794899999999998</v>
      </c>
      <c r="P32" s="818"/>
      <c r="Q32" s="819">
        <f>Measurement!T7</f>
        <v>51.826599999999999</v>
      </c>
      <c r="R32" s="820"/>
    </row>
    <row r="33" spans="3:18" ht="12.75" customHeight="1">
      <c r="C33" s="77"/>
      <c r="I33" s="502">
        <f>Measurement!L8</f>
        <v>3</v>
      </c>
      <c r="J33" s="139" t="str">
        <f>lang!B15</f>
        <v>스트레스</v>
      </c>
      <c r="K33" s="90" t="s">
        <v>226</v>
      </c>
      <c r="L33" s="504" t="str">
        <f>Measurement!Y8</f>
        <v>보통</v>
      </c>
      <c r="M33" s="792">
        <f>Measurement!R8</f>
        <v>16.346</v>
      </c>
      <c r="N33" s="793"/>
      <c r="O33" s="806">
        <f>Measurement!N8</f>
        <v>25.314</v>
      </c>
      <c r="P33" s="807"/>
      <c r="Q33" s="792">
        <f>Measurement!T8</f>
        <v>28.066700000000001</v>
      </c>
      <c r="R33" s="808"/>
    </row>
    <row r="34" spans="3:18" ht="12.75" customHeight="1">
      <c r="C34" s="77"/>
      <c r="I34" s="502">
        <f>Measurement!L9</f>
        <v>3</v>
      </c>
      <c r="J34" s="139" t="str">
        <f>lang!B16</f>
        <v>불안</v>
      </c>
      <c r="K34" s="90" t="s">
        <v>227</v>
      </c>
      <c r="L34" s="504" t="str">
        <f>Measurement!Y9</f>
        <v>보통</v>
      </c>
      <c r="M34" s="792">
        <f>Measurement!R9</f>
        <v>28.786100000000001</v>
      </c>
      <c r="N34" s="793"/>
      <c r="O34" s="806">
        <f>Measurement!N9</f>
        <v>34.7393</v>
      </c>
      <c r="P34" s="807"/>
      <c r="Q34" s="792">
        <f>Measurement!T9</f>
        <v>38.582900000000002</v>
      </c>
      <c r="R34" s="808"/>
    </row>
    <row r="35" spans="3:18" ht="12.75" customHeight="1">
      <c r="C35" s="77"/>
      <c r="I35" s="502">
        <f>Measurement!L10</f>
        <v>3</v>
      </c>
      <c r="J35" s="139" t="str">
        <f>lang!B17</f>
        <v>의심</v>
      </c>
      <c r="K35" s="90" t="s">
        <v>225</v>
      </c>
      <c r="L35" s="504" t="str">
        <f>Measurement!Y10</f>
        <v>보통</v>
      </c>
      <c r="M35" s="792">
        <f>Measurement!R10</f>
        <v>32.311100000000003</v>
      </c>
      <c r="N35" s="793"/>
      <c r="O35" s="806">
        <f>Measurement!N10</f>
        <v>35.0246</v>
      </c>
      <c r="P35" s="807"/>
      <c r="Q35" s="792">
        <f>Measurement!T10</f>
        <v>36.164999999999999</v>
      </c>
      <c r="R35" s="808"/>
    </row>
    <row r="36" spans="3:18" ht="12.75" customHeight="1">
      <c r="C36" s="77"/>
      <c r="I36" s="502">
        <f>Measurement!L11</f>
        <v>3</v>
      </c>
      <c r="J36" s="139" t="str">
        <f>lang!B18</f>
        <v>밸런스</v>
      </c>
      <c r="K36" s="90" t="s">
        <v>2171</v>
      </c>
      <c r="L36" s="504" t="str">
        <f>Measurement!Y11</f>
        <v>보통</v>
      </c>
      <c r="M36" s="792">
        <f>Measurement!R11</f>
        <v>46.7547</v>
      </c>
      <c r="N36" s="793"/>
      <c r="O36" s="806">
        <f>Measurement!N11</f>
        <v>62.959200000000003</v>
      </c>
      <c r="P36" s="807"/>
      <c r="Q36" s="792">
        <f>Measurement!T11</f>
        <v>66.180700000000002</v>
      </c>
      <c r="R36" s="808"/>
    </row>
    <row r="37" spans="3:18" ht="12.75" customHeight="1">
      <c r="C37" s="77"/>
      <c r="I37" s="502">
        <f>Measurement!L12</f>
        <v>5</v>
      </c>
      <c r="J37" s="139" t="str">
        <f>lang!B19</f>
        <v>카리스마</v>
      </c>
      <c r="K37" s="90" t="s">
        <v>229</v>
      </c>
      <c r="L37" s="504" t="str">
        <f>Measurement!Y12</f>
        <v>매우 높음</v>
      </c>
      <c r="M37" s="792">
        <f>Measurement!R12</f>
        <v>80.834100000000007</v>
      </c>
      <c r="N37" s="793"/>
      <c r="O37" s="806">
        <f>Measurement!N12</f>
        <v>85.476600000000005</v>
      </c>
      <c r="P37" s="807"/>
      <c r="Q37" s="792">
        <f>Measurement!T12</f>
        <v>88.010300000000001</v>
      </c>
      <c r="R37" s="808"/>
    </row>
    <row r="38" spans="3:18" ht="12.75" customHeight="1">
      <c r="C38" s="77"/>
      <c r="I38" s="502">
        <f>Measurement!L13</f>
        <v>3</v>
      </c>
      <c r="J38" s="139" t="str">
        <f>lang!B20</f>
        <v>에너지</v>
      </c>
      <c r="K38" s="90" t="s">
        <v>2170</v>
      </c>
      <c r="L38" s="504" t="str">
        <f>Measurement!Y13</f>
        <v>보통</v>
      </c>
      <c r="M38" s="792">
        <f>Measurement!R13</f>
        <v>20.513200000000001</v>
      </c>
      <c r="N38" s="793"/>
      <c r="O38" s="806">
        <f>Measurement!N13</f>
        <v>23.624099999999999</v>
      </c>
      <c r="P38" s="807"/>
      <c r="Q38" s="792">
        <f>Measurement!T13</f>
        <v>26.9419</v>
      </c>
      <c r="R38" s="808"/>
    </row>
    <row r="39" spans="3:18" ht="12.75" customHeight="1">
      <c r="C39" s="77"/>
      <c r="I39" s="502">
        <f>Measurement!L14</f>
        <v>3</v>
      </c>
      <c r="J39" s="139" t="str">
        <f>lang!B21</f>
        <v>자기조절</v>
      </c>
      <c r="K39" s="90" t="s">
        <v>230</v>
      </c>
      <c r="L39" s="504" t="str">
        <f>Measurement!Y14</f>
        <v>보통</v>
      </c>
      <c r="M39" s="792">
        <f>Measurement!R14</f>
        <v>65.321600000000004</v>
      </c>
      <c r="N39" s="793"/>
      <c r="O39" s="806">
        <f>Measurement!N14</f>
        <v>73.963899999999995</v>
      </c>
      <c r="P39" s="807"/>
      <c r="Q39" s="792">
        <f>Measurement!T14</f>
        <v>77.034499999999994</v>
      </c>
      <c r="R39" s="808"/>
    </row>
    <row r="40" spans="3:18" ht="12.75" customHeight="1">
      <c r="C40" s="77"/>
      <c r="I40" s="502">
        <f>Measurement!L15</f>
        <v>3</v>
      </c>
      <c r="J40" s="139" t="str">
        <f>lang!B22</f>
        <v>억제</v>
      </c>
      <c r="K40" s="91" t="s">
        <v>248</v>
      </c>
      <c r="L40" s="504" t="str">
        <f>Measurement!Y15</f>
        <v>보통</v>
      </c>
      <c r="M40" s="792">
        <f>Measurement!R15</f>
        <v>18.0745</v>
      </c>
      <c r="N40" s="793"/>
      <c r="O40" s="806">
        <f>Measurement!N15</f>
        <v>19.9953</v>
      </c>
      <c r="P40" s="807"/>
      <c r="Q40" s="792">
        <f>Measurement!T15</f>
        <v>21.6556</v>
      </c>
      <c r="R40" s="808"/>
    </row>
    <row r="41" spans="3:18" ht="12.75" customHeight="1" thickBot="1">
      <c r="C41" s="77"/>
      <c r="I41" s="502">
        <f>Measurement!L16</f>
        <v>1</v>
      </c>
      <c r="J41" s="140" t="str">
        <f>lang!B23</f>
        <v>신경성</v>
      </c>
      <c r="K41" s="92" t="s">
        <v>231</v>
      </c>
      <c r="L41" s="504" t="str">
        <f>Measurement!Y16</f>
        <v>매우 낮음</v>
      </c>
      <c r="M41" s="794">
        <f>Measurement!R16</f>
        <v>0.34563199999999999</v>
      </c>
      <c r="N41" s="795"/>
      <c r="O41" s="796">
        <f>Measurement!N16</f>
        <v>9.1319099999999995</v>
      </c>
      <c r="P41" s="797"/>
      <c r="Q41" s="794">
        <f>Measurement!T16</f>
        <v>11.6997</v>
      </c>
      <c r="R41" s="798"/>
    </row>
    <row r="42" spans="3:18" ht="29.25" customHeight="1" thickBot="1">
      <c r="C42" s="77"/>
      <c r="I42" s="84"/>
      <c r="J42" s="780" t="str">
        <f>lang!B215</f>
        <v>감정변이도</v>
      </c>
      <c r="K42" s="781"/>
      <c r="L42" s="319" t="str">
        <f>info!V43</f>
        <v>낮음</v>
      </c>
      <c r="M42" s="782">
        <f>info!W43</f>
        <v>7.9925800000000002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1.76274</v>
      </c>
      <c r="E44" s="249" t="s">
        <v>1072</v>
      </c>
      <c r="G44" s="289"/>
      <c r="H44" s="289"/>
      <c r="I44" s="290"/>
      <c r="J44" s="802">
        <f>info!$W$36</f>
        <v>37.926140000000011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45819.87128472222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Xb7e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( 87 , 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0.66597432888995622</v>
      </c>
      <c r="I20" s="862"/>
      <c r="J20" s="311" t="str">
        <f>lang!B174</f>
        <v>정보량</v>
      </c>
      <c r="K20" s="236">
        <f ca="1">info!N9</f>
        <v>45.547420000000002</v>
      </c>
      <c r="L20" s="312" t="str">
        <f>lang!B175</f>
        <v>에너지</v>
      </c>
      <c r="M20" s="863">
        <f ca="1">info!M9</f>
        <v>3.4696703999999996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35.1128</v>
      </c>
      <c r="N32" s="816"/>
      <c r="O32" s="817">
        <f>Measurement!N7</f>
        <v>43.794899999999998</v>
      </c>
      <c r="P32" s="818"/>
      <c r="Q32" s="819">
        <f>Measurement!T7</f>
        <v>51.826599999999999</v>
      </c>
      <c r="R32" s="820"/>
    </row>
    <row r="33" spans="3:18" ht="12.75" customHeight="1">
      <c r="C33" s="77"/>
      <c r="I33" s="502">
        <f>Measurement!L8</f>
        <v>3</v>
      </c>
      <c r="J33" s="139" t="str">
        <f>lang!B15</f>
        <v>스트레스</v>
      </c>
      <c r="K33" s="90" t="s">
        <v>226</v>
      </c>
      <c r="L33" s="504" t="str">
        <f>Measurement!Y8</f>
        <v>보통</v>
      </c>
      <c r="M33" s="792">
        <f>Measurement!R8</f>
        <v>16.346</v>
      </c>
      <c r="N33" s="793"/>
      <c r="O33" s="806">
        <f>Measurement!N8</f>
        <v>25.314</v>
      </c>
      <c r="P33" s="807"/>
      <c r="Q33" s="792">
        <f>Measurement!T8</f>
        <v>28.066700000000001</v>
      </c>
      <c r="R33" s="808"/>
    </row>
    <row r="34" spans="3:18" ht="12.75" customHeight="1">
      <c r="C34" s="77"/>
      <c r="I34" s="502">
        <f>Measurement!L9</f>
        <v>3</v>
      </c>
      <c r="J34" s="139" t="str">
        <f>lang!B16</f>
        <v>불안</v>
      </c>
      <c r="K34" s="90" t="s">
        <v>227</v>
      </c>
      <c r="L34" s="504" t="str">
        <f>Measurement!Y9</f>
        <v>보통</v>
      </c>
      <c r="M34" s="792">
        <f>Measurement!R9</f>
        <v>28.786100000000001</v>
      </c>
      <c r="N34" s="793"/>
      <c r="O34" s="806">
        <f>Measurement!N9</f>
        <v>34.7393</v>
      </c>
      <c r="P34" s="807"/>
      <c r="Q34" s="792">
        <f>Measurement!T9</f>
        <v>38.582900000000002</v>
      </c>
      <c r="R34" s="808"/>
    </row>
    <row r="35" spans="3:18" ht="12.75" customHeight="1">
      <c r="C35" s="77"/>
      <c r="I35" s="502">
        <f>Measurement!L10</f>
        <v>3</v>
      </c>
      <c r="J35" s="139" t="str">
        <f>lang!B17</f>
        <v>의심</v>
      </c>
      <c r="K35" s="90" t="s">
        <v>225</v>
      </c>
      <c r="L35" s="504" t="str">
        <f>Measurement!Y10</f>
        <v>보통</v>
      </c>
      <c r="M35" s="792">
        <f>Measurement!R10</f>
        <v>32.311100000000003</v>
      </c>
      <c r="N35" s="793"/>
      <c r="O35" s="806">
        <f>Measurement!N10</f>
        <v>35.0246</v>
      </c>
      <c r="P35" s="807"/>
      <c r="Q35" s="792">
        <f>Measurement!T10</f>
        <v>36.164999999999999</v>
      </c>
      <c r="R35" s="808"/>
    </row>
    <row r="36" spans="3:18" ht="12.75" customHeight="1">
      <c r="C36" s="77"/>
      <c r="I36" s="502">
        <f>Measurement!L11</f>
        <v>3</v>
      </c>
      <c r="J36" s="139" t="str">
        <f>lang!B18</f>
        <v>밸런스</v>
      </c>
      <c r="K36" s="90" t="s">
        <v>2171</v>
      </c>
      <c r="L36" s="504" t="str">
        <f>Measurement!Y11</f>
        <v>보통</v>
      </c>
      <c r="M36" s="792">
        <f>Measurement!R11</f>
        <v>46.7547</v>
      </c>
      <c r="N36" s="793"/>
      <c r="O36" s="806">
        <f>Measurement!N11</f>
        <v>62.959200000000003</v>
      </c>
      <c r="P36" s="807"/>
      <c r="Q36" s="792">
        <f>Measurement!T11</f>
        <v>66.180700000000002</v>
      </c>
      <c r="R36" s="808"/>
    </row>
    <row r="37" spans="3:18" ht="12.75" customHeight="1">
      <c r="C37" s="77"/>
      <c r="I37" s="502">
        <f>Measurement!L12</f>
        <v>5</v>
      </c>
      <c r="J37" s="139" t="str">
        <f>lang!B19</f>
        <v>카리스마</v>
      </c>
      <c r="K37" s="90" t="s">
        <v>229</v>
      </c>
      <c r="L37" s="504" t="str">
        <f>Measurement!Y12</f>
        <v>매우 높음</v>
      </c>
      <c r="M37" s="792">
        <f>Measurement!R12</f>
        <v>80.834100000000007</v>
      </c>
      <c r="N37" s="793"/>
      <c r="O37" s="806">
        <f>Measurement!N12</f>
        <v>85.476600000000005</v>
      </c>
      <c r="P37" s="807"/>
      <c r="Q37" s="792">
        <f>Measurement!T12</f>
        <v>88.010300000000001</v>
      </c>
      <c r="R37" s="808"/>
    </row>
    <row r="38" spans="3:18" ht="12.75" customHeight="1">
      <c r="C38" s="77"/>
      <c r="I38" s="502">
        <f>Measurement!L13</f>
        <v>3</v>
      </c>
      <c r="J38" s="139" t="str">
        <f>lang!B20</f>
        <v>에너지</v>
      </c>
      <c r="K38" s="90" t="s">
        <v>2170</v>
      </c>
      <c r="L38" s="504" t="str">
        <f>Measurement!Y13</f>
        <v>보통</v>
      </c>
      <c r="M38" s="792">
        <f>Measurement!R13</f>
        <v>20.513200000000001</v>
      </c>
      <c r="N38" s="793"/>
      <c r="O38" s="806">
        <f>Measurement!N13</f>
        <v>23.624099999999999</v>
      </c>
      <c r="P38" s="807"/>
      <c r="Q38" s="792">
        <f>Measurement!T13</f>
        <v>26.9419</v>
      </c>
      <c r="R38" s="808"/>
    </row>
    <row r="39" spans="3:18" ht="12.75" customHeight="1">
      <c r="C39" s="77"/>
      <c r="I39" s="502">
        <f>Measurement!L14</f>
        <v>3</v>
      </c>
      <c r="J39" s="139" t="str">
        <f>lang!B21</f>
        <v>자기조절</v>
      </c>
      <c r="K39" s="90" t="s">
        <v>230</v>
      </c>
      <c r="L39" s="504" t="str">
        <f>Measurement!Y14</f>
        <v>보통</v>
      </c>
      <c r="M39" s="792">
        <f>Measurement!R14</f>
        <v>65.321600000000004</v>
      </c>
      <c r="N39" s="793"/>
      <c r="O39" s="806">
        <f>Measurement!N14</f>
        <v>73.963899999999995</v>
      </c>
      <c r="P39" s="807"/>
      <c r="Q39" s="792">
        <f>Measurement!T14</f>
        <v>77.034499999999994</v>
      </c>
      <c r="R39" s="808"/>
    </row>
    <row r="40" spans="3:18" ht="12.75" customHeight="1">
      <c r="C40" s="77"/>
      <c r="I40" s="502">
        <f>Measurement!L15</f>
        <v>3</v>
      </c>
      <c r="J40" s="139" t="str">
        <f>lang!B22</f>
        <v>억제</v>
      </c>
      <c r="K40" s="91" t="s">
        <v>248</v>
      </c>
      <c r="L40" s="504" t="str">
        <f>Measurement!Y15</f>
        <v>보통</v>
      </c>
      <c r="M40" s="792">
        <f>Measurement!R15</f>
        <v>18.0745</v>
      </c>
      <c r="N40" s="793"/>
      <c r="O40" s="806">
        <f>Measurement!N15</f>
        <v>19.9953</v>
      </c>
      <c r="P40" s="807"/>
      <c r="Q40" s="792">
        <f>Measurement!T15</f>
        <v>21.6556</v>
      </c>
      <c r="R40" s="808"/>
    </row>
    <row r="41" spans="3:18" ht="12.75" customHeight="1" thickBot="1">
      <c r="C41" s="77"/>
      <c r="I41" s="502">
        <f>Measurement!L16</f>
        <v>1</v>
      </c>
      <c r="J41" s="140" t="str">
        <f>lang!B23</f>
        <v>신경성</v>
      </c>
      <c r="K41" s="92" t="s">
        <v>231</v>
      </c>
      <c r="L41" s="504" t="str">
        <f>Measurement!Y16</f>
        <v>매우 낮음</v>
      </c>
      <c r="M41" s="794">
        <f>Measurement!R16</f>
        <v>0.34563199999999999</v>
      </c>
      <c r="N41" s="795"/>
      <c r="O41" s="796">
        <f>Measurement!N16</f>
        <v>9.1319099999999995</v>
      </c>
      <c r="P41" s="797"/>
      <c r="Q41" s="794">
        <f>Measurement!T16</f>
        <v>11.6997</v>
      </c>
      <c r="R41" s="798"/>
    </row>
    <row r="42" spans="3:18" ht="29.25" customHeight="1" thickBot="1">
      <c r="C42" s="77"/>
      <c r="I42" s="84"/>
      <c r="J42" s="780" t="str">
        <f>lang!B215</f>
        <v>감정변이도</v>
      </c>
      <c r="K42" s="781"/>
      <c r="L42" s="319" t="str">
        <f>info!V43</f>
        <v>낮음</v>
      </c>
      <c r="M42" s="782">
        <f>info!W43</f>
        <v>7.9925800000000002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1.76274</v>
      </c>
      <c r="E44" s="249" t="s">
        <v>1195</v>
      </c>
      <c r="G44" s="289"/>
      <c r="H44" s="289"/>
      <c r="I44" s="290"/>
      <c r="J44" s="802">
        <f>info!$W$36</f>
        <v>37.926140000000011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45819.87128472222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Xb7e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(-0.08,-0.14)</v>
      </c>
      <c r="S18" s="966"/>
      <c r="T18" s="967"/>
    </row>
    <row r="19" spans="2:22" ht="16.5" customHeight="1">
      <c r="C19" s="136" t="str">
        <f>lang!B328</f>
        <v>최소값</v>
      </c>
      <c r="D19" s="105">
        <f ca="1">info!M7</f>
        <v>35.1907</v>
      </c>
      <c r="E19" s="94" t="str">
        <f>lang!B330</f>
        <v>평균값</v>
      </c>
      <c r="F19" s="971">
        <f ca="1">info!N9</f>
        <v>45.547420000000002</v>
      </c>
      <c r="G19" s="972"/>
      <c r="H19" s="912" t="str">
        <f>lang!B329</f>
        <v>최대값</v>
      </c>
      <c r="I19" s="913"/>
      <c r="J19" s="105">
        <f ca="1">info!M8</f>
        <v>54.884200000000007</v>
      </c>
      <c r="K19" s="137" t="str">
        <f>lang!B328</f>
        <v>최소값</v>
      </c>
      <c r="L19" s="105">
        <f ca="1">info!M5</f>
        <v>2.9687700000000001</v>
      </c>
      <c r="M19" s="94" t="str">
        <f>lang!B330</f>
        <v>평균값</v>
      </c>
      <c r="N19" s="971">
        <f ca="1">info!M9</f>
        <v>3.4696703999999996</v>
      </c>
      <c r="O19" s="972">
        <f>info!T9</f>
        <v>1</v>
      </c>
      <c r="P19" s="94" t="str">
        <f>lang!B329</f>
        <v>최대값</v>
      </c>
      <c r="Q19" s="105">
        <f ca="1">info!M6</f>
        <v>3.7683899999999997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13.325067956520508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1.7627390000000001</v>
      </c>
      <c r="N47" s="986"/>
      <c r="O47" s="451"/>
      <c r="P47" s="491" t="s">
        <v>1101</v>
      </c>
      <c r="Q47" s="987">
        <f>hist!M3</f>
        <v>0.443359</v>
      </c>
      <c r="R47" s="986"/>
      <c r="S47" s="451"/>
      <c r="T47" s="452"/>
    </row>
    <row r="48" spans="3:20" ht="18" customHeight="1">
      <c r="C48" s="931"/>
      <c r="D48" s="910"/>
      <c r="E48" s="910"/>
      <c r="F48" s="355"/>
      <c r="G48" s="355"/>
      <c r="H48" s="356"/>
      <c r="I48" s="356"/>
      <c r="J48" s="951"/>
      <c r="K48" s="951"/>
      <c r="L48" s="936"/>
      <c r="M48" s="988">
        <f>hist!N2</f>
        <v>0.62909899999999996</v>
      </c>
      <c r="N48" s="989"/>
      <c r="O48" s="451"/>
      <c r="P48" s="491" t="s">
        <v>1102</v>
      </c>
      <c r="Q48" s="986">
        <f>hist!N3</f>
        <v>0.42379699999999998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0.39576499999999998</v>
      </c>
      <c r="N49" s="991"/>
      <c r="O49" s="453"/>
      <c r="P49" s="454" t="s">
        <v>1588</v>
      </c>
      <c r="Q49" s="992">
        <f>hist!O3</f>
        <v>0.17960400000000001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vision^Xb7e^1^1^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1</v>
      </c>
      <c r="CI4" t="s">
        <v>1570</v>
      </c>
      <c r="CJ4" s="426">
        <f>DK17*100</f>
        <v>58.217213284276703</v>
      </c>
      <c r="CK4" s="422">
        <f>info!W21</f>
        <v>42.366162269596295</v>
      </c>
      <c r="CL4">
        <f>100-M!B19*100</f>
        <v>43.370899999999999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45819.87128472222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7.9925800000000002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9</v>
      </c>
      <c r="BY6" s="220">
        <f t="shared" si="0"/>
        <v>1</v>
      </c>
      <c r="BZ6" s="220">
        <f t="shared" si="0"/>
        <v>4</v>
      </c>
      <c r="CA6" s="220">
        <f t="shared" si="0"/>
        <v>7</v>
      </c>
      <c r="CB6" s="220">
        <f t="shared" si="0"/>
        <v>6</v>
      </c>
      <c r="CC6" s="220">
        <f t="shared" si="0"/>
        <v>8</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43.794899999999998</v>
      </c>
      <c r="O7" s="48">
        <f>M!C5*1</f>
        <v>4.2610700000000001</v>
      </c>
      <c r="P7" s="48">
        <f>M!D5*1</f>
        <v>9.72959</v>
      </c>
      <c r="Q7" s="48">
        <f>M!E5*1</f>
        <v>20</v>
      </c>
      <c r="R7" s="48">
        <f>IF(M!B5="","",M!F5*1)</f>
        <v>35.1128</v>
      </c>
      <c r="S7" s="48">
        <f>M!G5*1</f>
        <v>50</v>
      </c>
      <c r="T7" s="48">
        <f>IF(M!B5="","",M!H5*1)</f>
        <v>51.826599999999999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0.69088364891738696</v>
      </c>
      <c r="AI7" s="98">
        <v>2.5024862326905418E-2</v>
      </c>
      <c r="AJ7" s="98">
        <v>-7.7313821231156016E-2</v>
      </c>
      <c r="AK7" s="98">
        <v>0.50012525104428274</v>
      </c>
      <c r="AL7" s="98">
        <v>-8.545985269705475E-2</v>
      </c>
      <c r="AM7" s="98">
        <f>$AH7*AI7+$AH8*AI8+$AH9*AI9+$AH10*AI10+$AH11*AI11+$AH12*AI12+$AH13*AI13+$AH14*AI14+$AH15*AI15+$AH16*AI16</f>
        <v>1.0584508100843946</v>
      </c>
      <c r="AN7" s="98">
        <f t="shared" ref="AN7:AP7" si="2">$AH7*AJ7+$AH8*AJ8+$AH9*AJ9+$AH10*AJ10+$AH11*AJ11+$AH12*AJ12+$AH13*AJ13+$AH14*AJ14+$AH15*AJ15+$AH16*AJ16</f>
        <v>2.8151772792722376</v>
      </c>
      <c r="AO7" s="98">
        <f t="shared" si="2"/>
        <v>1.1811420754812796</v>
      </c>
      <c r="AP7" s="98">
        <f t="shared" si="2"/>
        <v>-1.1562736388648351</v>
      </c>
      <c r="AQ7" s="335">
        <f>IF(SUM(N7:N16)&gt;0, 0.8608*AM7+0.333*AN7+0.104*AO7+1.129*AP7,"")</f>
        <v>0.66597432888995622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43.794899999999998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339.76641045359997</v>
      </c>
      <c r="BL7" s="56">
        <f t="shared" ref="BL7:BT7" si="3">BB7*$AY7+BB8*$AY8+BB9*$AY9+BB10*$AY10+BB11*$AY11+BB12*$AY12+BB13*$AY13+BB14</f>
        <v>338.24260251959998</v>
      </c>
      <c r="BM7" s="56">
        <f t="shared" si="3"/>
        <v>330.0508297606001</v>
      </c>
      <c r="BN7" s="56">
        <f t="shared" si="3"/>
        <v>342.03295877480008</v>
      </c>
      <c r="BO7" s="56">
        <f t="shared" si="3"/>
        <v>337.82945501640006</v>
      </c>
      <c r="BP7" s="56">
        <f t="shared" si="3"/>
        <v>333.06276670900013</v>
      </c>
      <c r="BQ7" s="56">
        <f t="shared" si="3"/>
        <v>334.85710252080003</v>
      </c>
      <c r="BR7" s="56">
        <f t="shared" si="3"/>
        <v>331.24186360859994</v>
      </c>
      <c r="BS7" s="56">
        <f t="shared" si="3"/>
        <v>337.14883299739989</v>
      </c>
      <c r="BT7" s="56">
        <f t="shared" si="3"/>
        <v>313.01654549920005</v>
      </c>
      <c r="BU7" s="56">
        <f>EXP(BK7)+EXP(BL7)+EXP(BM7)+EXP(BN7)+EXP(BO7)+EXP(BP7)+EXP(BQ7)+EXP(BR7)+EXP(BS7)+EXP(BT7)</f>
        <v>4.0142586158082287E+148</v>
      </c>
      <c r="BV7" s="56">
        <f>IF(SUM($AY$7:$AY$13)&gt;0,EXP(BK7)/$BU$7,"")</f>
        <v>9.0172030218469812E-2</v>
      </c>
      <c r="BW7" s="56">
        <f t="shared" ref="BW7:CE7" si="4">IF(SUM($AY$7:$AY$13)&gt;0,EXP(BL7)/$BU$7,"")</f>
        <v>1.9646738771455154E-2</v>
      </c>
      <c r="BX7" s="56">
        <f t="shared" si="4"/>
        <v>5.4406246448359843E-6</v>
      </c>
      <c r="BY7" s="56">
        <f t="shared" si="4"/>
        <v>0.86980375210673</v>
      </c>
      <c r="BZ7" s="56">
        <f t="shared" si="4"/>
        <v>1.2997588698316647E-2</v>
      </c>
      <c r="CA7" s="56">
        <f t="shared" si="4"/>
        <v>1.1059012806408792E-4</v>
      </c>
      <c r="CB7" s="56">
        <f t="shared" si="4"/>
        <v>6.6525248074618664E-4</v>
      </c>
      <c r="CC7" s="56">
        <f t="shared" si="4"/>
        <v>1.7902273692263283E-5</v>
      </c>
      <c r="CD7" s="56">
        <f t="shared" si="4"/>
        <v>6.580704697663268E-3</v>
      </c>
      <c r="CE7" s="56">
        <f t="shared" si="4"/>
        <v>2.1764721110354183E-13</v>
      </c>
      <c r="CF7" s="418" t="s">
        <v>1870</v>
      </c>
      <c r="CG7" s="221">
        <f>IF(SUM($AY$7:$AY$13)&gt;0,HLOOKUP(1,$BV$6:$CE$7,2,FALSE),"")</f>
        <v>0.86980375210673</v>
      </c>
      <c r="CH7" s="221">
        <f>IF(SUM($AY$7:$AY$13)&gt;0,HLOOKUP(2,$BV$6:$CE$7,2,FALSE),"")</f>
        <v>9.0172030218469812E-2</v>
      </c>
      <c r="CI7" s="425" t="str">
        <f>"( "&amp;IF(CG7&lt;&gt;"",ROUND(CG7*100,0),"")&amp;" , "&amp;IF(CH7&lt;&gt;"",ROUND(CH7*100,0),"")&amp;" )"</f>
        <v>( 87 , 9 )</v>
      </c>
      <c r="CJ7" s="420">
        <f>CG7</f>
        <v>0.86980375210673</v>
      </c>
      <c r="CK7" s="420">
        <f>CH7</f>
        <v>9.0172030218469812E-2</v>
      </c>
      <c r="CL7" s="425" t="str">
        <f>CI7</f>
        <v>( 87 , 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43.794899999999998</v>
      </c>
      <c r="DJ7" s="265">
        <f>(DI7-$DB7)/$DC7</f>
        <v>1.0913093206458724</v>
      </c>
      <c r="DK7" s="266">
        <f>IF(DH7=1,(DJ7-DF7)^2,0)</f>
        <v>3.0320959422608456E-3</v>
      </c>
      <c r="DL7" s="267">
        <f>IF(DH7=1,(DJ7-DG7)^2,0)</f>
        <v>0.88552593611199326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25.314</v>
      </c>
      <c r="O8" s="48">
        <f>M!C6*1</f>
        <v>2.90252</v>
      </c>
      <c r="P8" s="48">
        <f>M!D6*1</f>
        <v>11.466100000000001</v>
      </c>
      <c r="Q8" s="48">
        <f>M!E6*1</f>
        <v>20</v>
      </c>
      <c r="R8" s="48">
        <f>IF(M!B6="","",M!F6*1)</f>
        <v>16.346</v>
      </c>
      <c r="S8" s="48">
        <f>M!G6*1</f>
        <v>40</v>
      </c>
      <c r="T8" s="48">
        <f>IF(M!B6="","",M!H6*1)</f>
        <v>28.066700000000001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-1.0219967741181422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25.314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25.314</v>
      </c>
      <c r="DJ8" s="265">
        <f t="shared" ref="DJ8:DJ14" si="8">(DI8-$DB8)/$DC8</f>
        <v>-0.93422967329839079</v>
      </c>
      <c r="DK8" s="273">
        <f t="shared" ref="DK8:DK14" si="9">IF(DH8=1,(DJ8-DF8)^2,0)</f>
        <v>0.30075343887135114</v>
      </c>
      <c r="DL8" s="274">
        <f t="shared" ref="DL8:DL14" si="10">IF(DH8=1,(DJ8-DG8)^2,0)</f>
        <v>1.4537869109507211</v>
      </c>
    </row>
    <row r="9" spans="2:119" s="5" customFormat="1" ht="24.75" customHeight="1" thickBot="1">
      <c r="B9" s="62" t="str">
        <f>CONCATENATE(M7,"
(20 ~ 50)")</f>
        <v>적극/공격성
(20 ~ 50)</v>
      </c>
      <c r="C9" s="63">
        <f>R7</f>
        <v>35.1128</v>
      </c>
      <c r="D9" s="64">
        <f>N7</f>
        <v>43.794899999999998</v>
      </c>
      <c r="E9" s="65">
        <f>T7</f>
        <v>51.826599999999999</v>
      </c>
      <c r="F9" s="65">
        <f>P7</f>
        <v>9.72959</v>
      </c>
      <c r="G9" s="66" t="str">
        <f>CONCATENATE(M8,"
(20 ~ 40)")</f>
        <v>스트레스
(20 ~ 40)</v>
      </c>
      <c r="H9" s="63">
        <f>R8</f>
        <v>16.346</v>
      </c>
      <c r="I9" s="67">
        <f>N8</f>
        <v>25.314</v>
      </c>
      <c r="J9" s="63">
        <f>T8</f>
        <v>28.066700000000001</v>
      </c>
      <c r="K9" s="68">
        <f>P8</f>
        <v>11.466100000000001</v>
      </c>
      <c r="L9" s="1">
        <f>IF(M!B7="","",IF(N9&lt;U9,1,IF(N9&lt;V9,2,IF(N9&lt;W9,3,IF(N9&lt;X9,4,5)))))</f>
        <v>3</v>
      </c>
      <c r="M9" s="162" t="str">
        <f>lang!B16</f>
        <v>불안</v>
      </c>
      <c r="N9" s="48">
        <f>IF(M!B7="","",M!B7*1)</f>
        <v>34.7393</v>
      </c>
      <c r="O9" s="48">
        <f>M!C7*1</f>
        <v>1.4691099999999999</v>
      </c>
      <c r="P9" s="48">
        <f>M!D7*1</f>
        <v>4.2289599999999998</v>
      </c>
      <c r="Q9" s="48">
        <f>M!E7*1</f>
        <v>15</v>
      </c>
      <c r="R9" s="48">
        <f>IF(M!B7="","",M!F7*1)</f>
        <v>28.786100000000001</v>
      </c>
      <c r="S9" s="48">
        <f>M!G7*1</f>
        <v>40</v>
      </c>
      <c r="T9" s="48">
        <f>IF(M!B7="","",M!H7*1)</f>
        <v>38.582900000000002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1.8083318175407272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34.7393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34.7393</v>
      </c>
      <c r="DJ9" s="265">
        <f t="shared" si="8"/>
        <v>0.82565148003029443</v>
      </c>
      <c r="DK9" s="273">
        <f t="shared" si="9"/>
        <v>4.1772697717957188</v>
      </c>
      <c r="DL9" s="274">
        <f t="shared" si="10"/>
        <v>0.44537848673446884</v>
      </c>
      <c r="DM9"/>
      <c r="DN9"/>
    </row>
    <row r="10" spans="2:119" s="4" customFormat="1" ht="30.3" thickBot="1">
      <c r="B10" s="57" t="str">
        <f>CONCATENATE(M9,"
(15 ~ 40)")</f>
        <v>불안
(15 ~ 40)</v>
      </c>
      <c r="C10" s="17">
        <f>R9</f>
        <v>28.786100000000001</v>
      </c>
      <c r="D10" s="41">
        <f>N9</f>
        <v>34.7393</v>
      </c>
      <c r="E10" s="43">
        <f>T9</f>
        <v>38.582900000000002</v>
      </c>
      <c r="F10" s="43">
        <f>P9</f>
        <v>4.2289599999999998</v>
      </c>
      <c r="G10" s="59" t="str">
        <f>CONCATENATE(M10,"
(20 ~ 50)")</f>
        <v>의심
(20 ~ 50)</v>
      </c>
      <c r="H10" s="17">
        <f>R10</f>
        <v>32.311100000000003</v>
      </c>
      <c r="I10" s="42">
        <f>N10</f>
        <v>35.0246</v>
      </c>
      <c r="J10" s="17">
        <f>T10</f>
        <v>36.164999999999999</v>
      </c>
      <c r="K10" s="18">
        <f>P10</f>
        <v>3.5080900000000002</v>
      </c>
      <c r="L10" s="1">
        <f>IF(M!B8="","",IF(N10&lt;U10,1,IF(N10&lt;V10,2,IF(N10&lt;W10,3,IF(N10&lt;X10,4,5)))))</f>
        <v>3</v>
      </c>
      <c r="M10" s="162" t="str">
        <f>lang!B17</f>
        <v>의심</v>
      </c>
      <c r="N10" s="48">
        <f>IF(M!B8="","",M!B8*1)</f>
        <v>35.0246</v>
      </c>
      <c r="O10" s="48">
        <f>M!C8*1</f>
        <v>1.2286900000000001</v>
      </c>
      <c r="P10" s="48">
        <f>M!D8*1</f>
        <v>3.5080900000000002</v>
      </c>
      <c r="Q10" s="48">
        <f>M!E8*1</f>
        <v>20</v>
      </c>
      <c r="R10" s="48">
        <f>IF(M!B8="","",M!F8*1)</f>
        <v>32.311100000000003</v>
      </c>
      <c r="S10" s="48">
        <f>M!G8*1</f>
        <v>50</v>
      </c>
      <c r="T10" s="48">
        <f>IF(M!B8="","",M!H8*1)</f>
        <v>36.164999999999999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1.5887354187407927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62.959200000000003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62.959200000000003</v>
      </c>
      <c r="DJ10" s="265">
        <f t="shared" si="8"/>
        <v>-0.3656601391536875</v>
      </c>
      <c r="DK10" s="273">
        <f t="shared" si="9"/>
        <v>1.1704312699661107E-2</v>
      </c>
      <c r="DL10" s="274">
        <f t="shared" si="10"/>
        <v>1.4365761579908847</v>
      </c>
      <c r="DM10"/>
      <c r="DN10"/>
    </row>
    <row r="11" spans="2:119" s="4" customFormat="1" ht="24.75" customHeight="1" thickBot="1">
      <c r="B11" s="57" t="str">
        <f>CONCATENATE(M11,"
(50 ~ 100)")</f>
        <v>밸런스
(50 ~ 100)</v>
      </c>
      <c r="C11" s="17">
        <f>R11</f>
        <v>46.7547</v>
      </c>
      <c r="D11" s="42">
        <f>N11</f>
        <v>62.959200000000003</v>
      </c>
      <c r="E11" s="17">
        <f>T11</f>
        <v>66.180700000000002</v>
      </c>
      <c r="F11" s="17">
        <f>P11</f>
        <v>9.0725300000000004</v>
      </c>
      <c r="G11" s="59" t="str">
        <f>CONCATENATE(M12,"
(40 ~ 100)")</f>
        <v>카리스마
(40 ~ 100)</v>
      </c>
      <c r="H11" s="17">
        <f>R12</f>
        <v>80.834100000000007</v>
      </c>
      <c r="I11" s="42">
        <f>N12</f>
        <v>85.476600000000005</v>
      </c>
      <c r="J11" s="17">
        <f>T12</f>
        <v>88.010300000000001</v>
      </c>
      <c r="K11" s="18">
        <f>P12</f>
        <v>2.1112099999999998</v>
      </c>
      <c r="L11" s="1">
        <f>IF(M!B9="","",IF(N11&lt;U11,1,IF(N11&lt;V11,2,IF(N11&lt;W11,3,IF(N11&lt;X11,4,5)))))</f>
        <v>3</v>
      </c>
      <c r="M11" s="162" t="str">
        <f>lang!B18</f>
        <v>밸런스</v>
      </c>
      <c r="N11" s="48">
        <f>IF(M!B9="","",M!B9*1)</f>
        <v>62.959200000000003</v>
      </c>
      <c r="O11" s="48">
        <f>M!C9*1</f>
        <v>5.7119900000000001</v>
      </c>
      <c r="P11" s="48">
        <f>M!D9*1</f>
        <v>9.0725300000000004</v>
      </c>
      <c r="Q11" s="48">
        <f>M!E9*1</f>
        <v>50</v>
      </c>
      <c r="R11" s="48">
        <f>IF(M!B9="","",M!F9*1)</f>
        <v>46.7547</v>
      </c>
      <c r="S11" s="48">
        <f>M!G9*1</f>
        <v>100</v>
      </c>
      <c r="T11" s="48">
        <f>IF(M!B9="","",M!H9*1)</f>
        <v>66.180700000000002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-1.6244507028066097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85.476600000000005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85.476600000000005</v>
      </c>
      <c r="DJ11" s="265">
        <f t="shared" si="8"/>
        <v>1.3643895774207944</v>
      </c>
      <c r="DK11" s="273">
        <f t="shared" si="9"/>
        <v>0.12529365376308624</v>
      </c>
      <c r="DL11" s="274">
        <f t="shared" si="10"/>
        <v>3.0302493381383164</v>
      </c>
      <c r="DM11"/>
      <c r="DN11"/>
    </row>
    <row r="12" spans="2:119" s="4" customFormat="1" ht="24.75" customHeight="1" thickBot="1">
      <c r="B12" s="57" t="str">
        <f>CONCATENATE(M13,"
(10 ~ 50)")</f>
        <v>에너지
(10 ~ 50)</v>
      </c>
      <c r="C12" s="17">
        <f>R13</f>
        <v>20.513200000000001</v>
      </c>
      <c r="D12" s="41">
        <f>N13</f>
        <v>23.624099999999999</v>
      </c>
      <c r="E12" s="43">
        <f>T13</f>
        <v>26.9419</v>
      </c>
      <c r="F12" s="43">
        <f>P13</f>
        <v>7.8017000000000003</v>
      </c>
      <c r="G12" s="59" t="str">
        <f>CONCATENATE(M14,"
(50 ~ 100)")</f>
        <v>자기조절
(50 ~ 100)</v>
      </c>
      <c r="H12" s="17">
        <f>R14</f>
        <v>65.321600000000004</v>
      </c>
      <c r="I12" s="42">
        <f>N14</f>
        <v>73.963899999999995</v>
      </c>
      <c r="J12" s="17">
        <f>T14</f>
        <v>77.034499999999994</v>
      </c>
      <c r="K12" s="18">
        <f>P14</f>
        <v>4.8505399999999996</v>
      </c>
      <c r="L12" s="1">
        <f>IF(M!B10="","",IF(N12&lt;U12,1,IF(N12&lt;V12,2,IF(N12&lt;W12,3,IF(N12&lt;X12,4,5)))))</f>
        <v>5</v>
      </c>
      <c r="M12" s="162" t="str">
        <f>lang!B19</f>
        <v>카리스마</v>
      </c>
      <c r="N12" s="48">
        <f>IF(M!B10="","",M!B10*1)</f>
        <v>85.476600000000005</v>
      </c>
      <c r="O12" s="48">
        <f>M!C10*1</f>
        <v>1.8045899999999999</v>
      </c>
      <c r="P12" s="48">
        <f>M!D10*1</f>
        <v>2.1112099999999998</v>
      </c>
      <c r="Q12" s="48">
        <f>M!E10*1</f>
        <v>40</v>
      </c>
      <c r="R12" s="48">
        <f>IF(M!B10="","",M!F10*1)</f>
        <v>80.834100000000007</v>
      </c>
      <c r="S12" s="48">
        <f>M!G10*1</f>
        <v>100</v>
      </c>
      <c r="T12" s="48">
        <f>IF(M!B10="","",M!H10*1)</f>
        <v>88.010300000000001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1.8064956217894292</v>
      </c>
      <c r="AI12" s="98">
        <v>0.31913434649697919</v>
      </c>
      <c r="AJ12" s="98">
        <v>3.8587997439955973E-2</v>
      </c>
      <c r="AK12" s="98">
        <v>1.0272327081707585E-2</v>
      </c>
      <c r="AL12" s="98">
        <v>1.9404033844491575E-2</v>
      </c>
      <c r="AM12" s="101"/>
      <c r="AN12" s="101"/>
      <c r="AO12" s="101"/>
      <c r="AP12" s="101"/>
      <c r="AX12" s="171"/>
      <c r="AY12" s="219">
        <f>N13</f>
        <v>23.624099999999999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23.624099999999999</v>
      </c>
      <c r="DJ12" s="265">
        <f t="shared" si="8"/>
        <v>0.88621531911550777</v>
      </c>
      <c r="DK12" s="273">
        <f t="shared" si="9"/>
        <v>1.0031661927403455</v>
      </c>
      <c r="DL12" s="274">
        <f t="shared" si="10"/>
        <v>0.29684439753514841</v>
      </c>
      <c r="DM12"/>
      <c r="DN12"/>
    </row>
    <row r="13" spans="2:119" ht="24.75" customHeight="1" thickBot="1">
      <c r="B13" s="58" t="str">
        <f>CONCATENATE(M15,"
(10 ~ 25)")</f>
        <v>억제
(10 ~ 25)</v>
      </c>
      <c r="C13" s="44">
        <f>R15</f>
        <v>18.0745</v>
      </c>
      <c r="D13" s="45">
        <f>N15</f>
        <v>19.9953</v>
      </c>
      <c r="E13" s="46">
        <f>T15</f>
        <v>21.6556</v>
      </c>
      <c r="F13" s="46">
        <f>P15</f>
        <v>4.5670200000000003</v>
      </c>
      <c r="G13" s="60" t="str">
        <f>CONCATENATE(M16,"
(10 ~ 50)")</f>
        <v>신경성
(10 ~ 50)</v>
      </c>
      <c r="H13" s="44">
        <f>R16</f>
        <v>0.34563199999999999</v>
      </c>
      <c r="I13" s="45">
        <f>N16</f>
        <v>9.1319099999999995</v>
      </c>
      <c r="J13" s="46">
        <f>T16</f>
        <v>11.6997</v>
      </c>
      <c r="K13" s="47">
        <f>P16</f>
        <v>22.5901</v>
      </c>
      <c r="L13" s="1">
        <f>IF(M!B11="","",IF(N13&lt;U13,1,IF(N13&lt;V13,2,IF(N13&lt;W13,3,IF(N13&lt;X13,4,5)))))</f>
        <v>3</v>
      </c>
      <c r="M13" s="162" t="str">
        <f>lang!B20</f>
        <v>에너지</v>
      </c>
      <c r="N13" s="48">
        <f>IF(M!B11="","",M!B11*1)</f>
        <v>23.624099999999999</v>
      </c>
      <c r="O13" s="48">
        <f>M!C11*1</f>
        <v>1.8430800000000001</v>
      </c>
      <c r="P13" s="48">
        <f>M!D11*1</f>
        <v>7.8017000000000003</v>
      </c>
      <c r="Q13" s="48">
        <f>M!E11*1</f>
        <v>10</v>
      </c>
      <c r="R13" s="48">
        <f>IF(M!B11="","",M!F11*1)</f>
        <v>20.513200000000001</v>
      </c>
      <c r="S13" s="48">
        <f>M!G11*1</f>
        <v>50</v>
      </c>
      <c r="T13" s="48">
        <f>IF(M!B11="","",M!H11*1)</f>
        <v>26.9419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-0.23296637826250052</v>
      </c>
      <c r="AI13" s="98">
        <v>0.16093442074971984</v>
      </c>
      <c r="AJ13" s="98">
        <v>-1.0988594420247608E-2</v>
      </c>
      <c r="AK13" s="98">
        <v>0.37151940745754808</v>
      </c>
      <c r="AL13" s="98">
        <v>8.9062029657998948E-2</v>
      </c>
      <c r="AM13" s="96"/>
      <c r="AN13" s="96"/>
      <c r="AO13" s="96"/>
      <c r="AP13" s="96"/>
      <c r="AX13" s="171"/>
      <c r="AY13" s="219">
        <f>info!W36</f>
        <v>37.926140000000011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9.1319099999999995</v>
      </c>
      <c r="DJ13" s="265">
        <f t="shared" si="8"/>
        <v>-1.734003274722935</v>
      </c>
      <c r="DK13" s="273">
        <f>IF(DH13=1,(DJ13-DF13)^2,0)</f>
        <v>4.7255690820132417</v>
      </c>
      <c r="DL13" s="274">
        <f t="shared" si="10"/>
        <v>1.8661856676348219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73.963899999999995</v>
      </c>
      <c r="O14" s="48">
        <f>M!C12*1</f>
        <v>3.58765</v>
      </c>
      <c r="P14" s="48">
        <f>M!D12*1</f>
        <v>4.8505399999999996</v>
      </c>
      <c r="Q14" s="48">
        <f>M!E12*1</f>
        <v>50</v>
      </c>
      <c r="R14" s="48">
        <f>IF(M!B12="","",M!F12*1)</f>
        <v>65.321600000000004</v>
      </c>
      <c r="S14" s="48">
        <f>M!G12*1</f>
        <v>100</v>
      </c>
      <c r="T14" s="48">
        <f>IF(M!B12="","",M!H12*1)</f>
        <v>77.034499999999994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0.63382985810258285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56.934300000000007</v>
      </c>
      <c r="DJ14" s="265">
        <f t="shared" si="8"/>
        <v>0.10659568402335304</v>
      </c>
      <c r="DK14" s="279">
        <f t="shared" si="9"/>
        <v>3.1065557058118393E-2</v>
      </c>
      <c r="DL14" s="280">
        <f t="shared" si="10"/>
        <v>5.045229327291664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19.9953</v>
      </c>
      <c r="O15" s="48">
        <f>M!C13*1</f>
        <v>0.91319099999999997</v>
      </c>
      <c r="P15" s="48">
        <f>M!D13*1</f>
        <v>4.5670200000000003</v>
      </c>
      <c r="Q15" s="48">
        <f>M!E13*1</f>
        <v>10</v>
      </c>
      <c r="R15" s="48">
        <f>IF(M!B13="","",M!F13*1)</f>
        <v>18.0745</v>
      </c>
      <c r="S15" s="48">
        <f>M!G13*1</f>
        <v>25</v>
      </c>
      <c r="T15" s="48">
        <f>IF(M!B13="","",M!H13*1)</f>
        <v>21.6556</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2.9837661829396744E-2</v>
      </c>
      <c r="AI15" s="98">
        <v>-8.3250321124619289E-2</v>
      </c>
      <c r="AJ15" s="98">
        <v>-0.44690513063775733</v>
      </c>
      <c r="AK15" s="98">
        <v>0.12052818186953573</v>
      </c>
      <c r="AL15" s="98">
        <v>-2.4174505446491225E-2</v>
      </c>
      <c r="AM15" s="96"/>
      <c r="AN15" s="96"/>
      <c r="AO15" s="96"/>
      <c r="AP15" s="96"/>
      <c r="AX15" s="171"/>
      <c r="AY15" s="50">
        <f>SUM(AY7:AY14)</f>
        <v>313.83424000000002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10.377854104883783</v>
      </c>
      <c r="DL15" s="281">
        <f>IF(SUM($DI$7:$DI$14)&gt;0,SUM(DL7:DL14),0)</f>
        <v>14.459776222388019</v>
      </c>
      <c r="DM15" t="s">
        <v>1206</v>
      </c>
    </row>
    <row r="16" spans="2:119" ht="24.75" customHeight="1" thickBot="1">
      <c r="B16" s="20"/>
      <c r="C16"/>
      <c r="D16"/>
      <c r="E16"/>
      <c r="F16"/>
      <c r="G16" s="1071"/>
      <c r="H16" s="827"/>
      <c r="I16" s="827"/>
      <c r="J16" s="827"/>
      <c r="K16" s="828"/>
      <c r="L16" s="1">
        <f>IF(M!B14="","",IF(N16&lt;U16,1,IF(N16&lt;V16,2,IF(N16&lt;W16,3,IF(N16&lt;X16,4,5)))))</f>
        <v>1</v>
      </c>
      <c r="M16" s="162" t="str">
        <f>lang!B23</f>
        <v>신경성</v>
      </c>
      <c r="N16" s="370">
        <f>IF(M!B14="","",IF(M!B14&gt;100, 100, M!B14*1))</f>
        <v>9.1319099999999995</v>
      </c>
      <c r="O16" s="48">
        <f>M!C14*1</f>
        <v>2.06291</v>
      </c>
      <c r="P16" s="48">
        <f>M!D14*1</f>
        <v>22.5901</v>
      </c>
      <c r="Q16" s="48">
        <f>M!E14*1</f>
        <v>10</v>
      </c>
      <c r="R16" s="48">
        <f>IF(M!B14="","",M!F14*1)</f>
        <v>0.34563199999999999</v>
      </c>
      <c r="S16" s="48">
        <f>M!G14*1</f>
        <v>50</v>
      </c>
      <c r="T16" s="48">
        <f>IF(M!B14="","",M!H14*1)</f>
        <v>11.6997</v>
      </c>
      <c r="U16" s="125">
        <v>10</v>
      </c>
      <c r="V16" s="125">
        <v>20</v>
      </c>
      <c r="W16" s="125">
        <v>40</v>
      </c>
      <c r="X16" s="125">
        <v>50</v>
      </c>
      <c r="Y16" s="126" t="str">
        <f>IF(M!B14="","",IF(N16&lt;U16,lang!B$210,IF(N16&lt;V16,lang!B$211,IF(N16&lt;W16,lang!B$212,IF(N16&lt;X16,lang!B$213,lang!B$214)))))</f>
        <v>매우 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-4.4694356959279791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9.6359034333446975E-2</v>
      </c>
      <c r="DL16" s="281">
        <f>IF(DL15&gt;0,1/DL15,0)</f>
        <v>6.9157363476462633E-2</v>
      </c>
      <c r="DM16" t="s">
        <v>1207</v>
      </c>
    </row>
    <row r="17" spans="2:117" ht="21" customHeight="1" thickBot="1">
      <c r="B17" s="20"/>
      <c r="C17"/>
      <c r="D17"/>
      <c r="E17"/>
      <c r="F17"/>
      <c r="G17" s="1071"/>
      <c r="H17" s="827"/>
      <c r="I17" s="827"/>
      <c r="J17" s="827"/>
      <c r="K17" s="828"/>
      <c r="M17" s="163" t="str">
        <f>lang!B7</f>
        <v>긍정감정</v>
      </c>
      <c r="N17" s="54">
        <f>SUM(N11:N14)/4</f>
        <v>61.505949999999999</v>
      </c>
      <c r="O17" s="16">
        <f>N17/(N17+N18+N19)</f>
        <v>0.55516920619972843</v>
      </c>
      <c r="P17" s="54">
        <f>SUM(P11:P14)/4</f>
        <v>5.9589949999999998</v>
      </c>
      <c r="Q17" s="16">
        <f>P17/(P17+P18+P19)</f>
        <v>0.22259358538464008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0.58217213284276703</v>
      </c>
      <c r="DL17" s="283"/>
      <c r="DM17" s="284" t="s">
        <v>1208</v>
      </c>
    </row>
    <row r="18" spans="2:117" ht="21" customHeight="1">
      <c r="B18" s="20"/>
      <c r="C18"/>
      <c r="D18"/>
      <c r="E18"/>
      <c r="F18"/>
      <c r="G18" s="1071"/>
      <c r="H18" s="827"/>
      <c r="I18" s="827"/>
      <c r="J18" s="827"/>
      <c r="K18" s="828"/>
      <c r="M18" s="163" t="str">
        <f>lang!B8</f>
        <v>부정감정</v>
      </c>
      <c r="N18" s="14">
        <f>SUM(N7:N10)/4</f>
        <v>34.718200000000003</v>
      </c>
      <c r="O18" s="16">
        <f>N18/(N17+N18+N19)</f>
        <v>0.31337578778448938</v>
      </c>
      <c r="P18" s="14">
        <f>SUM(P7:P10)/4</f>
        <v>7.2331849999999998</v>
      </c>
      <c r="Q18" s="16">
        <f>P18/(P17+P18+P19)</f>
        <v>0.27018995365835985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14.563604999999999</v>
      </c>
      <c r="O19" s="16">
        <f>N19/(N17+N18+N19)</f>
        <v>0.13145500601578214</v>
      </c>
      <c r="P19" s="14">
        <f>(P15+P16)/2</f>
        <v>13.57856</v>
      </c>
      <c r="Q19" s="16">
        <f>P19/(P17+P18+P19)</f>
        <v>0.50721646095700001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1.76274</v>
      </c>
      <c r="D24" s="34" t="str">
        <f>lang!B11</f>
        <v>편차</v>
      </c>
      <c r="E24" s="1077">
        <f>FH_info!G2*1</f>
        <v>0.62909899999999996</v>
      </c>
      <c r="F24" s="1078"/>
      <c r="G24" s="1075" t="str">
        <f>lang!B12</f>
        <v>정보(I)변화량</v>
      </c>
      <c r="H24" s="1076"/>
      <c r="I24" s="51" t="str">
        <f ca="1">CONCATENATE(info!N7,"-",info!N8)</f>
        <v>35.2-54.9</v>
      </c>
      <c r="J24" s="32" t="str">
        <f>lang!B13</f>
        <v>Kcal/분</v>
      </c>
      <c r="K24" s="31" t="str">
        <f ca="1">CONCATENATE(info!N5,"-",info!N6)</f>
        <v>3-3.8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56.934300000000007</v>
      </c>
      <c r="F27" s="1043"/>
      <c r="G27" s="1055" t="str">
        <f>lang!B33</f>
        <v>정서안정성</v>
      </c>
      <c r="H27" s="1056"/>
      <c r="I27" s="1057"/>
      <c r="J27" s="993">
        <f>M!B19*100</f>
        <v>56.629100000000001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3.6004000000000005</v>
      </c>
      <c r="H2" s="50">
        <f>IF(FT!B2&lt;&gt;"",FT!B2*100,"")</f>
        <v>35.1907</v>
      </c>
      <c r="I2" s="50">
        <f>(IF(G2&lt;&gt;"",1,""))</f>
        <v>1</v>
      </c>
      <c r="J2" t="str">
        <f>IF(FT!B2&lt;&gt;"",FT!E2,"")</f>
        <v>0 [0.000000]</v>
      </c>
      <c r="K2">
        <f>IF(FT!B2&lt;&gt;"",IF(FT!C2&lt;&gt;"",FT!C2,F2/$M$3*$M$4),"")</f>
        <v>0</v>
      </c>
      <c r="L2" t="s">
        <v>52</v>
      </c>
      <c r="M2">
        <f>FH_info!E2</f>
        <v>4.9207200000000002</v>
      </c>
      <c r="N2" s="75">
        <f>LOOKUP(O3,A2:A1000,B2:B1000)</f>
        <v>1.6595369411764709</v>
      </c>
      <c r="O2" s="50">
        <f>MAX(C2:C1000)</f>
        <v>1</v>
      </c>
      <c r="P2" t="s">
        <v>60</v>
      </c>
      <c r="Q2" t="s">
        <v>61</v>
      </c>
      <c r="R2" t="s">
        <v>62</v>
      </c>
      <c r="S2" t="s">
        <v>63</v>
      </c>
      <c r="T2" t="s">
        <v>64</v>
      </c>
      <c r="V2" s="50">
        <f>FT!G2*10</f>
        <v>3.5859200000000002</v>
      </c>
      <c r="W2" s="50">
        <f>FT!H2*100</f>
        <v>35.489699999999999</v>
      </c>
      <c r="Y2">
        <f>IF(I2=1,H2/G2,"")</f>
        <v>9.7741084323963996</v>
      </c>
      <c r="Z2">
        <f>AVERAGE(Y2:Y2000)</f>
        <v>13.325067956520508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3.5859200000000002</v>
      </c>
      <c r="H3" s="50">
        <f>IF(FT!B3&lt;&gt;"",FT!B3*100,"")</f>
        <v>35.489699999999999</v>
      </c>
      <c r="I3" s="50">
        <f t="shared" ref="I3:I66" si="2">(IF(G3&lt;&gt;"",1,""))</f>
        <v>1</v>
      </c>
      <c r="J3" t="str">
        <f>IF(FT!B3&lt;&gt;"",FT!E3,"")</f>
        <v>0 [0.394410]</v>
      </c>
      <c r="K3">
        <f>IF(FT!B3&lt;&gt;"",IF(FT!C3&lt;&gt;"",FT!C3,F3/$M$3*$M$4),"")</f>
        <v>0.39440999999999998</v>
      </c>
      <c r="L3" t="s">
        <v>53</v>
      </c>
      <c r="M3">
        <f>SUM(I2:I2005)</f>
        <v>25</v>
      </c>
      <c r="O3" s="104">
        <f>MATCH(O2,C2:C1000,0)-1</f>
        <v>86</v>
      </c>
      <c r="P3">
        <v>0</v>
      </c>
      <c r="Q3">
        <v>0</v>
      </c>
      <c r="R3">
        <f>IF(S4=0,M3,0)</f>
        <v>25</v>
      </c>
      <c r="S3">
        <f t="array" ref="S3">MAX(IF(ft_nq=0,row_n))</f>
        <v>1998</v>
      </c>
      <c r="T3">
        <f>R3-Q3</f>
        <v>25</v>
      </c>
      <c r="V3" s="50">
        <f>FT!G3*10</f>
        <v>3.08711</v>
      </c>
      <c r="W3" s="50">
        <f>FT!H3*100</f>
        <v>53.354300000000002</v>
      </c>
      <c r="Y3" s="75">
        <f t="shared" ref="Y3:Y66" si="3">IF(I3=1,H3/G3,"")</f>
        <v>9.8969581028020688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3.5822799999999999</v>
      </c>
      <c r="H4" s="50">
        <f>IF(FT!B4&lt;&gt;"",FT!B4*100,"")</f>
        <v>36.076500000000003</v>
      </c>
      <c r="I4" s="50">
        <f t="shared" si="2"/>
        <v>1</v>
      </c>
      <c r="J4" t="str">
        <f>IF(FT!B4&lt;&gt;"",FT!E4,"")</f>
        <v>0 [0.806347]</v>
      </c>
      <c r="K4">
        <f>IF(FT!B4&lt;&gt;"",IF(FT!C4&lt;&gt;"",FT!C4,F4/$M$3*$M$4),"")</f>
        <v>0.80634700000000004</v>
      </c>
      <c r="L4" t="s">
        <v>246</v>
      </c>
      <c r="M4">
        <f>IF(M2&lt;&gt;0,M3/M2*2,0)</f>
        <v>10.16111463363085</v>
      </c>
      <c r="P4">
        <f>P3+1</f>
        <v>1</v>
      </c>
      <c r="Q4">
        <v>0</v>
      </c>
      <c r="R4">
        <f>IF(S4=1998,0,S4)</f>
        <v>0</v>
      </c>
      <c r="S4">
        <f t="array" ref="S4">MAX(IF(ft_nq=P4,row_n))</f>
        <v>0</v>
      </c>
      <c r="T4">
        <f>R4-Q4+1</f>
        <v>1</v>
      </c>
      <c r="V4" t="s">
        <v>209</v>
      </c>
      <c r="W4" s="23">
        <f>IF(ISERROR(V3-V2)=FALSE,(V3-V2)*10,0)</f>
        <v>-4.988100000000002</v>
      </c>
      <c r="Y4" s="75">
        <f t="shared" si="3"/>
        <v>10.07082081802651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0.70582442775577592</v>
      </c>
      <c r="E5" s="50">
        <f t="shared" si="1"/>
        <v>2.2678414566217979E-5</v>
      </c>
      <c r="F5">
        <f t="shared" si="6"/>
        <v>3</v>
      </c>
      <c r="G5" s="50">
        <f>IF(FT!A5&lt;&gt;"",FT!A5*10,"")</f>
        <v>3.59884</v>
      </c>
      <c r="H5" s="50">
        <f>IF(FT!B5&lt;&gt;"",FT!B5*100,"")</f>
        <v>37.020599999999995</v>
      </c>
      <c r="I5" s="50">
        <f t="shared" si="2"/>
        <v>1</v>
      </c>
      <c r="J5" t="str">
        <f>IF(FT!B5&lt;&gt;"",FT!E5,"")</f>
        <v>0 [1.216928]</v>
      </c>
      <c r="K5">
        <f>IF(FT!B5&lt;&gt;"",IF(FT!C5&lt;&gt;"",FT!C5,F5/$M$3*$M$4),"")</f>
        <v>1.2169300000000001</v>
      </c>
      <c r="L5" t="s">
        <v>54</v>
      </c>
      <c r="M5" s="52">
        <f ca="1">IF(M3&gt;0,MIN(FT_E),0)</f>
        <v>2.9687700000000001</v>
      </c>
      <c r="N5" s="52">
        <f ca="1">IF(M3&gt;0,ROUND(M5,1),0)</f>
        <v>3</v>
      </c>
      <c r="P5">
        <f t="shared" ref="P5:P27" si="10">P4+1</f>
        <v>2</v>
      </c>
      <c r="Q5">
        <f>IF(S5=1998,0,R4)</f>
        <v>0</v>
      </c>
      <c r="R5">
        <f>IF(S5=1998,0,S5)</f>
        <v>0</v>
      </c>
      <c r="S5">
        <f t="array" ref="S5">MAX(IF(ft_nq=P5,row_n))</f>
        <v>0</v>
      </c>
      <c r="T5">
        <f t="shared" ref="T5:T27" si="11">R5-Q5+1</f>
        <v>1</v>
      </c>
      <c r="V5" t="s">
        <v>210</v>
      </c>
      <c r="W5" s="23">
        <f>IF(ISERROR(W3-W2)=FALSE,W3-W2,0)</f>
        <v>17.864600000000003</v>
      </c>
      <c r="Y5" s="75">
        <f t="shared" si="3"/>
        <v>10.286814640272976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3.6248499999999999</v>
      </c>
      <c r="H6" s="50">
        <f>IF(FT!B6&lt;&gt;"",FT!B6*100,"")</f>
        <v>37.895499999999998</v>
      </c>
      <c r="I6" s="50">
        <f t="shared" si="2"/>
        <v>1</v>
      </c>
      <c r="J6" t="str">
        <f>IF(FT!B6&lt;&gt;"",FT!E6,"")</f>
        <v>0 [1.629230]</v>
      </c>
      <c r="K6">
        <f>IF(FT!B6&lt;&gt;"",IF(FT!C6&lt;&gt;"",FT!C6,F6/$M$3*$M$4),"")</f>
        <v>1.62923</v>
      </c>
      <c r="L6" t="s">
        <v>55</v>
      </c>
      <c r="M6" s="52">
        <f ca="1">IF(M3&gt;0,MAX(FT_E),0)</f>
        <v>3.7683899999999997</v>
      </c>
      <c r="N6" s="52">
        <f ca="1">IF(M3&gt;0,ROUND(M6,1),0)</f>
        <v>3.8</v>
      </c>
      <c r="P6">
        <f t="shared" si="10"/>
        <v>3</v>
      </c>
      <c r="Q6">
        <f t="shared" ref="Q6:Q27" si="12">IF(S6=1998,0,R5)</f>
        <v>0</v>
      </c>
      <c r="R6">
        <f t="shared" ref="R6:R27" si="13">IF(S6=1998,0,S6)</f>
        <v>0</v>
      </c>
      <c r="S6">
        <f t="array" ref="S6">MAX(IF(ft_nq=P6,row_n))</f>
        <v>0</v>
      </c>
      <c r="T6">
        <f t="shared" si="11"/>
        <v>1</v>
      </c>
      <c r="V6" t="s">
        <v>211</v>
      </c>
      <c r="W6" s="23">
        <f>IF(W4&lt;&gt;0,W5/W4,0)</f>
        <v>-3.5814438363304655</v>
      </c>
      <c r="Y6" s="75">
        <f t="shared" si="3"/>
        <v>10.454363628839815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3.6632400000000001</v>
      </c>
      <c r="H7" s="50">
        <f>IF(FT!B7&lt;&gt;"",FT!B7*100,"")</f>
        <v>38.6815</v>
      </c>
      <c r="I7" s="50">
        <f t="shared" si="2"/>
        <v>1</v>
      </c>
      <c r="J7" t="str">
        <f>IF(FT!B7&lt;&gt;"",FT!E7,"")</f>
        <v>0 [2.020156]</v>
      </c>
      <c r="K7">
        <f>IF(FT!B7&lt;&gt;"",IF(FT!C7&lt;&gt;"",FT!C7,F7/$M$3*$M$4),"")</f>
        <v>2.0201600000000002</v>
      </c>
      <c r="L7" t="s">
        <v>56</v>
      </c>
      <c r="M7" s="366">
        <f ca="1">IF(M3&gt;0,MIN(FT_PH),0)</f>
        <v>35.1907</v>
      </c>
      <c r="N7" s="52">
        <f ca="1">IF(M3&gt;0,ROUND(M7,1),0)</f>
        <v>35.200000000000003</v>
      </c>
      <c r="P7">
        <f t="shared" si="10"/>
        <v>4</v>
      </c>
      <c r="Q7">
        <f t="shared" si="12"/>
        <v>0</v>
      </c>
      <c r="R7">
        <f t="shared" si="13"/>
        <v>0</v>
      </c>
      <c r="S7">
        <f t="array" ref="S7">MAX(IF(ft_nq=P7,row_n))</f>
        <v>0</v>
      </c>
      <c r="T7">
        <f t="shared" si="11"/>
        <v>1</v>
      </c>
      <c r="V7" t="s">
        <v>212</v>
      </c>
      <c r="W7" s="23">
        <f>DEGREES(ATAN(W6))</f>
        <v>-74.399363120256936</v>
      </c>
      <c r="X7" s="106">
        <v>0.05</v>
      </c>
      <c r="Y7" s="75">
        <f t="shared" si="3"/>
        <v>10.559368209563118</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1.3701797504560129E-3</v>
      </c>
      <c r="D8" s="50">
        <f>IF(hist!$D$2&gt;0,hist!B8/hist!$D$2,0)</f>
        <v>1</v>
      </c>
      <c r="E8" s="50">
        <f t="shared" si="1"/>
        <v>4.2363836864975295E-5</v>
      </c>
      <c r="F8">
        <f t="shared" si="6"/>
        <v>6</v>
      </c>
      <c r="G8" s="50">
        <f>IF(FT!A8&lt;&gt;"",FT!A8*10,"")</f>
        <v>3.7029299999999998</v>
      </c>
      <c r="H8" s="50">
        <f>IF(FT!B8&lt;&gt;"",FT!B8*100,"")</f>
        <v>39.630800000000001</v>
      </c>
      <c r="I8" s="50">
        <f t="shared" si="2"/>
        <v>1</v>
      </c>
      <c r="J8" t="str">
        <f>IF(FT!B8&lt;&gt;"",FT!E8,"")</f>
        <v>0 [2.425424]</v>
      </c>
      <c r="K8">
        <f>IF(FT!B8&lt;&gt;"",IF(FT!C8&lt;&gt;"",FT!C8,F8/$M$3*$M$4),"")</f>
        <v>2.4254199999999999</v>
      </c>
      <c r="L8" t="s">
        <v>57</v>
      </c>
      <c r="M8" s="52">
        <f ca="1">IF(M3&gt;0,MAX(FT_PH),0)</f>
        <v>54.884200000000007</v>
      </c>
      <c r="N8" s="52">
        <f ca="1">IF(M3&gt;0,ROUND(M8,1),0)</f>
        <v>54.9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10.702551763063305</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3.7409699999999999</v>
      </c>
      <c r="H9" s="50">
        <f>IF(FT!B9&lt;&gt;"",FT!B9*100,"")</f>
        <v>40.883199999999995</v>
      </c>
      <c r="I9" s="50">
        <f t="shared" si="2"/>
        <v>1</v>
      </c>
      <c r="J9" t="str">
        <f>IF(FT!B9&lt;&gt;"",FT!E9,"")</f>
        <v>0 [2.832170]</v>
      </c>
      <c r="K9">
        <f>IF(FT!B9&lt;&gt;"",IF(FT!C9&lt;&gt;"",FT!C9,F9/$M$3*$M$4),"")</f>
        <v>2.8321700000000001</v>
      </c>
      <c r="L9" t="s">
        <v>222</v>
      </c>
      <c r="M9" s="74">
        <f ca="1">IF(M3&gt;0,IF(COUNT(FT_E)&gt;0,AVERAGE(FT_E),0),0)</f>
        <v>3.4696703999999996</v>
      </c>
      <c r="N9" s="365">
        <f ca="1">IF(M3&gt;0,IF(COUNT(FT_PH)&gt;0,AVERAGE(FT_PH),0),0)</f>
        <v>45.547420000000002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10.928502500688323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2.3863992532520358E-2</v>
      </c>
      <c r="D10" s="50">
        <f>IF(hist!$D$2&gt;0,hist!B10/hist!$D$2,0)</f>
        <v>0.77278259004233418</v>
      </c>
      <c r="E10" s="50">
        <f t="shared" si="1"/>
        <v>6.3585032038445378E-5</v>
      </c>
      <c r="F10">
        <f t="shared" si="6"/>
        <v>8</v>
      </c>
      <c r="G10" s="50">
        <f>IF(FT!A10&lt;&gt;"",FT!A10*10,"")</f>
        <v>3.76328</v>
      </c>
      <c r="H10" s="50">
        <f>IF(FT!B10&lt;&gt;"",FT!B10*100,"")</f>
        <v>42.116500000000002</v>
      </c>
      <c r="I10" s="50">
        <f t="shared" si="2"/>
        <v>1</v>
      </c>
      <c r="J10" t="str">
        <f>IF(FT!B10&lt;&gt;"",FT!E10,"")</f>
        <v>0 [3.242245]</v>
      </c>
      <c r="K10">
        <f>IF(FT!B10&lt;&gt;"",IF(FT!C10&lt;&gt;"",FT!C10,F10/$M$3*$M$4),"")</f>
        <v>3.2422399999999998</v>
      </c>
      <c r="M10">
        <v>2</v>
      </c>
      <c r="P10">
        <f t="shared" si="10"/>
        <v>7</v>
      </c>
      <c r="Q10">
        <f t="shared" si="12"/>
        <v>0</v>
      </c>
      <c r="R10">
        <f t="shared" si="13"/>
        <v>0</v>
      </c>
      <c r="S10">
        <f t="array" ref="S10">MAX(IF(ft_nq=P10,row_n))</f>
        <v>0</v>
      </c>
      <c r="T10">
        <f t="shared" si="11"/>
        <v>1</v>
      </c>
      <c r="V10" t="s">
        <v>215</v>
      </c>
      <c r="X10" s="71" t="s">
        <v>270</v>
      </c>
      <c r="Y10" s="75">
        <f t="shared" si="3"/>
        <v>11.191434068153313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1.2217464653644249E-2</v>
      </c>
      <c r="D11" s="50">
        <f>IF(hist!$D$2&gt;0,hist!B11/hist!$D$2,0)</f>
        <v>0</v>
      </c>
      <c r="E11" s="50">
        <f t="shared" si="1"/>
        <v>7.7654398672791705E-5</v>
      </c>
      <c r="F11">
        <f t="shared" si="6"/>
        <v>9</v>
      </c>
      <c r="G11" s="50">
        <f>IF(FT!A11&lt;&gt;"",FT!A11*10,"")</f>
        <v>3.7683899999999997</v>
      </c>
      <c r="H11" s="50">
        <f>IF(FT!B11&lt;&gt;"",FT!B11*100,"")</f>
        <v>43.420700000000004</v>
      </c>
      <c r="I11" s="50">
        <f t="shared" si="2"/>
        <v>1</v>
      </c>
      <c r="J11" t="str">
        <f>IF(FT!B11&lt;&gt;"",FT!E11,"")</f>
        <v>0 [3.650919]</v>
      </c>
      <c r="K11">
        <f>IF(FT!B11&lt;&gt;"",IF(FT!C11&lt;&gt;"",FT!C11,F11/$M$3*$M$4),"")</f>
        <v>3.6509200000000002</v>
      </c>
      <c r="M11" s="49">
        <f>MAX(IF(ft_nq=1,row_n))</f>
        <v>0</v>
      </c>
      <c r="P11">
        <f t="shared" si="10"/>
        <v>8</v>
      </c>
      <c r="Q11">
        <f t="shared" si="12"/>
        <v>0</v>
      </c>
      <c r="R11">
        <f t="shared" si="13"/>
        <v>0</v>
      </c>
      <c r="S11">
        <f t="array" ref="S11">MAX(IF(ft_nq=P11,row_n))</f>
        <v>0</v>
      </c>
      <c r="T11">
        <f t="shared" si="11"/>
        <v>1</v>
      </c>
      <c r="V11" s="71" t="s">
        <v>216</v>
      </c>
      <c r="W11" s="23">
        <f>FT!H11*100</f>
        <v>35.1907</v>
      </c>
      <c r="Y11" s="75">
        <f t="shared" si="3"/>
        <v>11.522347740016295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3.7473800000000002</v>
      </c>
      <c r="H12" s="50">
        <f>IF(FT!B12&lt;&gt;"",FT!B12*100,"")</f>
        <v>44.2363</v>
      </c>
      <c r="I12" s="50">
        <f t="shared" si="2"/>
        <v>1</v>
      </c>
      <c r="J12" t="str">
        <f>IF(FT!B12&lt;&gt;"",FT!E12,"")</f>
        <v>0 [4.069873]</v>
      </c>
      <c r="K12">
        <f>IF(FT!B12&lt;&gt;"",IF(FT!C12&lt;&gt;"",FT!C12,F12/$M$3*$M$4),"")</f>
        <v>4.0698699999999999</v>
      </c>
      <c r="M12">
        <f>M11+1</f>
        <v>1</v>
      </c>
      <c r="P12">
        <f t="shared" si="10"/>
        <v>9</v>
      </c>
      <c r="Q12">
        <f t="shared" si="12"/>
        <v>0</v>
      </c>
      <c r="R12">
        <f t="shared" si="13"/>
        <v>0</v>
      </c>
      <c r="S12">
        <f t="array" ref="S12">MAX(IF(ft_nq=P12,row_n))</f>
        <v>0</v>
      </c>
      <c r="T12">
        <f t="shared" si="11"/>
        <v>1</v>
      </c>
      <c r="V12" s="71" t="s">
        <v>217</v>
      </c>
      <c r="W12" s="23">
        <f>FT!H12*100</f>
        <v>54.884200000000007</v>
      </c>
      <c r="Y12" s="75">
        <f t="shared" si="3"/>
        <v>11.804594143107984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0.24720354876555367</v>
      </c>
      <c r="D13" s="50">
        <f>IF(hist!$D$2&gt;0,hist!B13/hist!$D$2,0)</f>
        <v>0.5603062565473016</v>
      </c>
      <c r="E13" s="50">
        <f t="shared" si="1"/>
        <v>1.1509358552241159E-4</v>
      </c>
      <c r="F13">
        <f t="shared" si="6"/>
        <v>11</v>
      </c>
      <c r="G13" s="50">
        <f>IF(FT!A13&lt;&gt;"",FT!A13*10,"")</f>
        <v>3.7114399999999996</v>
      </c>
      <c r="H13" s="50">
        <f>IF(FT!B13&lt;&gt;"",FT!B13*100,"")</f>
        <v>45.142200000000003</v>
      </c>
      <c r="I13" s="50">
        <f t="shared" si="2"/>
        <v>1</v>
      </c>
      <c r="J13" t="str">
        <f>IF(FT!B13&lt;&gt;"",FT!E13,"")</f>
        <v>0 [4.457786]</v>
      </c>
      <c r="K13">
        <f>IF(FT!B13&lt;&gt;"",IF(FT!C13&lt;&gt;"",FT!C13,F13/$M$3*$M$4),"")</f>
        <v>4.4577900000000001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12.162987950768438</v>
      </c>
    </row>
    <row r="14" spans="1:104">
      <c r="A14" s="50">
        <f t="shared" si="5"/>
        <v>12</v>
      </c>
      <c r="B14" s="50">
        <f t="shared" si="0"/>
        <v>0.23156329411764706</v>
      </c>
      <c r="C14" s="50">
        <f>IF(FH!$C$2&gt;0,FH!A14/FH!$C$2,0)</f>
        <v>0.10801555154016768</v>
      </c>
      <c r="D14" s="50">
        <f>IF(hist!$D$2&gt;0,hist!B14/hist!$D$2,0)</f>
        <v>0</v>
      </c>
      <c r="E14" s="50">
        <f t="shared" si="1"/>
        <v>1.3967703651788911E-4</v>
      </c>
      <c r="F14">
        <f t="shared" si="6"/>
        <v>12</v>
      </c>
      <c r="G14" s="50">
        <f>IF(FT!A14&lt;&gt;"",FT!A14*10,"")</f>
        <v>3.66777</v>
      </c>
      <c r="H14" s="50">
        <f>IF(FT!B14&lt;&gt;"",FT!B14*100,"")</f>
        <v>46.114699999999999</v>
      </c>
      <c r="I14" s="50">
        <f t="shared" si="2"/>
        <v>1</v>
      </c>
      <c r="J14" t="str">
        <f>IF(FT!B14&lt;&gt;"",FT!E14,"")</f>
        <v>0 [4.874716]</v>
      </c>
      <c r="K14">
        <f>IF(FT!B14&lt;&gt;"",IF(FT!C14&lt;&gt;"",FT!C14,F14/$M$3*$M$4),"")</f>
        <v>4.8747199999999999</v>
      </c>
      <c r="M14">
        <f>M13+1</f>
        <v>1</v>
      </c>
      <c r="P14">
        <f t="shared" si="10"/>
        <v>11</v>
      </c>
      <c r="Q14">
        <f t="shared" si="12"/>
        <v>0</v>
      </c>
      <c r="R14">
        <f t="shared" si="13"/>
        <v>0</v>
      </c>
      <c r="S14">
        <f t="array" ref="S14">MAX(IF(ft_nq=P14,row_n))</f>
        <v>0</v>
      </c>
      <c r="T14">
        <f t="shared" si="11"/>
        <v>1</v>
      </c>
      <c r="V14" s="71" t="s">
        <v>221</v>
      </c>
      <c r="W14">
        <f>FT!H14</f>
        <v>25</v>
      </c>
      <c r="Y14" s="75">
        <f t="shared" si="3"/>
        <v>12.572953047764718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9.6940217344762908E-2</v>
      </c>
      <c r="D15" s="50">
        <f>IF(hist!$D$2&gt;0,hist!B15/hist!$D$2,0)</f>
        <v>0.42664115495434979</v>
      </c>
      <c r="E15" s="50">
        <f t="shared" si="1"/>
        <v>1.6915563884809702E-4</v>
      </c>
      <c r="F15">
        <f t="shared" si="6"/>
        <v>13</v>
      </c>
      <c r="G15" s="50">
        <f>IF(FT!A15&lt;&gt;"",FT!A15*10,"")</f>
        <v>3.6113499999999998</v>
      </c>
      <c r="H15" s="50">
        <f>IF(FT!B15&lt;&gt;"",FT!B15*100,"")</f>
        <v>47.148600000000002</v>
      </c>
      <c r="I15" s="50">
        <f t="shared" si="2"/>
        <v>1</v>
      </c>
      <c r="J15" t="str">
        <f>IF(FT!B15&lt;&gt;"",FT!E15,"")</f>
        <v>0 [5.270077]</v>
      </c>
      <c r="K15">
        <f>IF(FT!B15&lt;&gt;"",IF(FT!C15&lt;&gt;"",FT!C15,F15/$M$3*$M$4),"")</f>
        <v>5.2700800000000001</v>
      </c>
      <c r="M15">
        <f t="array" ref="M15">MAX(IF(ft_nq=3,row_n))</f>
        <v>0</v>
      </c>
      <c r="P15">
        <f t="shared" si="10"/>
        <v>12</v>
      </c>
      <c r="Q15">
        <f t="shared" si="12"/>
        <v>0</v>
      </c>
      <c r="R15">
        <f t="shared" si="13"/>
        <v>0</v>
      </c>
      <c r="S15">
        <f t="array" ref="S15">MAX(IF(ft_nq=P15,row_n))</f>
        <v>0</v>
      </c>
      <c r="T15">
        <f t="shared" si="11"/>
        <v>1</v>
      </c>
      <c r="V15" s="23">
        <f>FT!G15*10</f>
        <v>3.6004000000000005</v>
      </c>
      <c r="W15" s="23">
        <f>FT!H15*100</f>
        <v>35.1907</v>
      </c>
      <c r="Y15" s="75">
        <f t="shared" si="3"/>
        <v>13.055671701718195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0.12171734904472779</v>
      </c>
      <c r="D16" s="50">
        <f>IF(hist!$D$2&gt;0,hist!B16/hist!$D$2,0)</f>
        <v>0</v>
      </c>
      <c r="E16" s="50">
        <f t="shared" si="1"/>
        <v>2.0442571359503606E-4</v>
      </c>
      <c r="F16">
        <f t="shared" si="6"/>
        <v>14</v>
      </c>
      <c r="G16" s="50">
        <f>IF(FT!A16&lt;&gt;"",FT!A16*10,"")</f>
        <v>3.5443999999999996</v>
      </c>
      <c r="H16" s="50">
        <f>IF(FT!B16&lt;&gt;"",FT!B16*100,"")</f>
        <v>48.006</v>
      </c>
      <c r="I16" s="50">
        <f t="shared" si="2"/>
        <v>1</v>
      </c>
      <c r="J16" t="str">
        <f>IF(FT!B16&lt;&gt;"",FT!E16,"")</f>
        <v>0 [5.676117]</v>
      </c>
      <c r="K16">
        <f>IF(FT!B16&lt;&gt;"",IF(FT!C16&lt;&gt;"",FT!C16,F16/$M$3*$M$4),"")</f>
        <v>5.6761200000000001</v>
      </c>
      <c r="M16">
        <f>M15+1</f>
        <v>1</v>
      </c>
      <c r="P16">
        <f t="shared" si="10"/>
        <v>13</v>
      </c>
      <c r="Q16">
        <f t="shared" si="12"/>
        <v>0</v>
      </c>
      <c r="R16">
        <f t="shared" si="13"/>
        <v>0</v>
      </c>
      <c r="S16">
        <f t="array" ref="S16">MAX(IF(ft_nq=P16,row_n))</f>
        <v>0</v>
      </c>
      <c r="T16">
        <f t="shared" si="11"/>
        <v>1</v>
      </c>
      <c r="V16" s="23">
        <f>FT!G16*10</f>
        <v>2.9687700000000001</v>
      </c>
      <c r="W16" s="23">
        <f>FT!H16*100</f>
        <v>54.884200000000007</v>
      </c>
      <c r="Y16" s="75">
        <f t="shared" si="3"/>
        <v>13.544182372192756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5.4464645080626511E-2</v>
      </c>
      <c r="D17" s="50">
        <f>IF(hist!$D$2&gt;0,hist!B17/hist!$D$2,0)</f>
        <v>0</v>
      </c>
      <c r="E17" s="50">
        <f t="shared" si="1"/>
        <v>2.4653134234019187E-4</v>
      </c>
      <c r="F17">
        <f t="shared" si="6"/>
        <v>15</v>
      </c>
      <c r="G17" s="50">
        <f>IF(FT!A17&lt;&gt;"",FT!A17*10,"")</f>
        <v>3.4699799999999996</v>
      </c>
      <c r="H17" s="50">
        <f>IF(FT!B17&lt;&gt;"",FT!B17*100,"")</f>
        <v>48.814300000000003</v>
      </c>
      <c r="I17" s="50">
        <f t="shared" si="2"/>
        <v>1</v>
      </c>
      <c r="J17" t="str">
        <f>IF(FT!B17&lt;&gt;"",FT!E17,"")</f>
        <v>0 [6.094659]</v>
      </c>
      <c r="K17">
        <f>IF(FT!B17&lt;&gt;"",IF(FT!C17&lt;&gt;"",FT!C17,F17/$M$3*$M$4),"")</f>
        <v>6.0946600000000002</v>
      </c>
      <c r="M17">
        <f>M3+1</f>
        <v>26</v>
      </c>
      <c r="P17">
        <f t="shared" si="10"/>
        <v>14</v>
      </c>
      <c r="Q17">
        <f t="shared" si="12"/>
        <v>0</v>
      </c>
      <c r="R17">
        <f t="shared" si="13"/>
        <v>0</v>
      </c>
      <c r="S17">
        <f t="array" ref="S17">MAX(IF(ft_nq=P17,row_n))</f>
        <v>0</v>
      </c>
      <c r="T17">
        <f t="shared" si="11"/>
        <v>1</v>
      </c>
      <c r="V17" t="s">
        <v>1522</v>
      </c>
      <c r="Y17" s="75">
        <f t="shared" si="3"/>
        <v>14.067602695116401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0.25702259940225908</v>
      </c>
      <c r="D18" s="50">
        <f>IF(hist!$D$2&gt;0,hist!B18/hist!$D$2,0)</f>
        <v>0.32092842588641801</v>
      </c>
      <c r="E18" s="50">
        <f t="shared" si="1"/>
        <v>2.9668550832626301E-4</v>
      </c>
      <c r="F18">
        <f t="shared" si="6"/>
        <v>16</v>
      </c>
      <c r="G18" s="50">
        <f>IF(FT!A18&lt;&gt;"",FT!A18*10,"")</f>
        <v>3.3893200000000001</v>
      </c>
      <c r="H18" s="50">
        <f>IF(FT!B18&lt;&gt;"",FT!B18*100,"")</f>
        <v>49.678100000000001</v>
      </c>
      <c r="I18" s="50">
        <f t="shared" si="2"/>
        <v>1</v>
      </c>
      <c r="J18" t="str">
        <f>IF(FT!B18&lt;&gt;"",FT!E18,"")</f>
        <v>0 [6.495961]</v>
      </c>
      <c r="K18">
        <f>IF(FT!B18&lt;&gt;"",IF(FT!C18&lt;&gt;"",FT!C18,F18/$M$3*$M$4),"")</f>
        <v>6.4959600000000002</v>
      </c>
      <c r="P18">
        <f t="shared" si="10"/>
        <v>15</v>
      </c>
      <c r="Q18">
        <f t="shared" si="12"/>
        <v>0</v>
      </c>
      <c r="R18">
        <f t="shared" si="13"/>
        <v>0</v>
      </c>
      <c r="S18">
        <f t="array" ref="S18">MAX(IF(ft_nq=P18,row_n))</f>
        <v>0</v>
      </c>
      <c r="T18">
        <f t="shared" si="11"/>
        <v>1</v>
      </c>
      <c r="V18" s="288">
        <f>M!B18*100</f>
        <v>56.934300000000007</v>
      </c>
      <c r="W18" s="287">
        <f>100-M!B19*100</f>
        <v>43.370899999999999</v>
      </c>
      <c r="X18" t="str">
        <f>"(" &amp; ROUND(V18,1) &amp; " , " &amp; ROUND(100-W18,1) &amp; ")"</f>
        <v>(56.9 , 56.6)</v>
      </c>
      <c r="Y18" s="75">
        <f t="shared" si="3"/>
        <v>14.657246881380335</v>
      </c>
      <c r="Z18">
        <f>M!B18*100</f>
        <v>56.934300000000007</v>
      </c>
      <c r="AA18">
        <f>100-M!B19*100</f>
        <v>43.370899999999999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0.20849597081517132</v>
      </c>
      <c r="D19" s="50">
        <f>IF(hist!$D$2&gt;0,hist!B19/hist!$D$2,0)</f>
        <v>0</v>
      </c>
      <c r="E19" s="50">
        <f t="shared" si="1"/>
        <v>3.5629366624439802E-4</v>
      </c>
      <c r="F19">
        <f t="shared" si="6"/>
        <v>17</v>
      </c>
      <c r="G19" s="50">
        <f>IF(FT!A19&lt;&gt;"",FT!A19*10,"")</f>
        <v>3.30362</v>
      </c>
      <c r="H19" s="50">
        <f>IF(FT!B19&lt;&gt;"",FT!B19*100,"")</f>
        <v>50.576799999999999</v>
      </c>
      <c r="I19" s="50">
        <f t="shared" si="2"/>
        <v>1</v>
      </c>
      <c r="J19" t="str">
        <f>IF(FT!B19&lt;&gt;"",FT!E19,"")</f>
        <v>0 [6.891649]</v>
      </c>
      <c r="K19">
        <f>IF(FT!B19&lt;&gt;"",IF(FT!C19&lt;&gt;"",FT!C19,F19/$M$3*$M$4),"")</f>
        <v>6.8916500000000003</v>
      </c>
      <c r="P19">
        <f t="shared" si="10"/>
        <v>16</v>
      </c>
      <c r="Q19">
        <f t="shared" si="12"/>
        <v>0</v>
      </c>
      <c r="R19">
        <f t="shared" si="13"/>
        <v>0</v>
      </c>
      <c r="S19">
        <f t="array" ref="S19">MAX(IF(ft_nq=P19,row_n))</f>
        <v>0</v>
      </c>
      <c r="T19">
        <f t="shared" si="11"/>
        <v>1</v>
      </c>
      <c r="V19" t="s">
        <v>1521</v>
      </c>
      <c r="Y19" s="75">
        <f t="shared" si="3"/>
        <v>15.309508962895247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8.4836991427812924E-2</v>
      </c>
      <c r="D20" s="50">
        <f>IF(hist!$D$2&gt;0,hist!B20/hist!$D$2,0)</f>
        <v>0</v>
      </c>
      <c r="E20" s="50">
        <f t="shared" si="1"/>
        <v>4.2697991431598861E-4</v>
      </c>
      <c r="F20">
        <f t="shared" si="6"/>
        <v>18</v>
      </c>
      <c r="G20" s="50">
        <f>IF(FT!A20&lt;&gt;"",FT!A20*10,"")</f>
        <v>3.2400600000000002</v>
      </c>
      <c r="H20" s="50">
        <f>IF(FT!B20&lt;&gt;"",FT!B20*100,"")</f>
        <v>51.3185</v>
      </c>
      <c r="I20" s="50">
        <f t="shared" si="2"/>
        <v>1</v>
      </c>
      <c r="J20" t="str">
        <f>IF(FT!B20&lt;&gt;"",FT!E20,"")</f>
        <v>0 [7.295886]</v>
      </c>
      <c r="K20">
        <f>IF(FT!B20&lt;&gt;"",IF(FT!C20&lt;&gt;"",FT!C20,F20/$M$3*$M$4),"")</f>
        <v>7.29589</v>
      </c>
      <c r="P20">
        <f t="shared" si="10"/>
        <v>17</v>
      </c>
      <c r="Q20">
        <f t="shared" si="12"/>
        <v>0</v>
      </c>
      <c r="R20">
        <f t="shared" si="13"/>
        <v>0</v>
      </c>
      <c r="S20">
        <f t="array" ref="S20">MAX(IF(ft_nq=P20,row_n))</f>
        <v>0</v>
      </c>
      <c r="T20">
        <f t="shared" si="11"/>
        <v>1</v>
      </c>
      <c r="V20" s="56">
        <v>50</v>
      </c>
      <c r="W20">
        <v>50</v>
      </c>
      <c r="Y20" s="75">
        <f t="shared" si="3"/>
        <v>15.838749899693214</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4.4987539927894289E-2</v>
      </c>
      <c r="D21" s="50">
        <f>IF(hist!$D$2&gt;0,hist!B21/hist!$D$2,0)</f>
        <v>0.24994548413481951</v>
      </c>
      <c r="E21" s="50">
        <f t="shared" si="1"/>
        <v>5.1061593588985126E-4</v>
      </c>
      <c r="F21">
        <f t="shared" si="6"/>
        <v>19</v>
      </c>
      <c r="G21" s="50">
        <f>IF(FT!A21&lt;&gt;"",FT!A21*10,"")</f>
        <v>3.1917499999999999</v>
      </c>
      <c r="H21" s="50">
        <f>IF(FT!B21&lt;&gt;"",FT!B21*100,"")</f>
        <v>51.987099999999998</v>
      </c>
      <c r="I21" s="50">
        <f t="shared" si="2"/>
        <v>1</v>
      </c>
      <c r="J21" t="str">
        <f>IF(FT!B21&lt;&gt;"",FT!E21,"")</f>
        <v>0 [7.707825]</v>
      </c>
      <c r="K21">
        <f>IF(FT!B21&lt;&gt;"",IF(FT!C21&lt;&gt;"",FT!C21,F21/$M$3*$M$4),"")</f>
        <v>7.7078199999999999</v>
      </c>
      <c r="P21">
        <f t="shared" si="10"/>
        <v>18</v>
      </c>
      <c r="Q21">
        <f t="shared" si="12"/>
        <v>0</v>
      </c>
      <c r="R21">
        <f t="shared" si="13"/>
        <v>0</v>
      </c>
      <c r="S21">
        <f t="array" ref="S21">MAX(IF(ft_nq=P21,row_n))</f>
        <v>0</v>
      </c>
      <c r="T21">
        <f t="shared" si="11"/>
        <v>1</v>
      </c>
      <c r="V21" s="288">
        <f>Measurement!DK17*100</f>
        <v>58.217213284276703</v>
      </c>
      <c r="W21" s="287">
        <f>'R3'!I3</f>
        <v>42.366162269596295</v>
      </c>
      <c r="X21" t="str">
        <f>"(" &amp; ROUND(V21,1) &amp; " , " &amp; ROUND(W21,1) &amp; ")" &amp; CHAR(10) &amp; AR26</f>
        <v>(58.2 , 42.4)
속 편한</v>
      </c>
      <c r="Y21" s="75">
        <f t="shared" si="3"/>
        <v>16.287961149839429</v>
      </c>
      <c r="AA21">
        <f>100-M!B19*100</f>
        <v>43.370899999999999</v>
      </c>
      <c r="AC21">
        <f>'R3'!I3</f>
        <v>42.366162269596295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1.5528675293090011E-2</v>
      </c>
      <c r="D22" s="50">
        <f>IF(hist!$D$2&gt;0,hist!B22/hist!$D$2,0)</f>
        <v>0</v>
      </c>
      <c r="E22" s="50">
        <f t="shared" si="1"/>
        <v>6.0935286693967821E-4</v>
      </c>
      <c r="F22">
        <f t="shared" si="6"/>
        <v>20</v>
      </c>
      <c r="G22" s="50">
        <f>IF(FT!A22&lt;&gt;"",FT!A22*10,"")</f>
        <v>3.1392700000000002</v>
      </c>
      <c r="H22" s="50">
        <f>IF(FT!B22&lt;&gt;"",FT!B22*100,"")</f>
        <v>52.656400000000005</v>
      </c>
      <c r="I22" s="50">
        <f t="shared" si="2"/>
        <v>1</v>
      </c>
      <c r="J22" t="str">
        <f>IF(FT!B22&lt;&gt;"",FT!E22,"")</f>
        <v>0 [8.116663]</v>
      </c>
      <c r="K22">
        <f>IF(FT!B22&lt;&gt;"",IF(FT!C22&lt;&gt;"",FT!C22,F22/$M$3*$M$4),"")</f>
        <v>8.1166599999999995</v>
      </c>
      <c r="P22">
        <f t="shared" si="10"/>
        <v>19</v>
      </c>
      <c r="Q22">
        <f t="shared" si="12"/>
        <v>0</v>
      </c>
      <c r="R22">
        <f t="shared" si="13"/>
        <v>0</v>
      </c>
      <c r="S22">
        <f t="array" ref="S22">MAX(IF(ft_nq=P22,row_n))</f>
        <v>0</v>
      </c>
      <c r="T22">
        <f t="shared" si="11"/>
        <v>1</v>
      </c>
      <c r="V22" s="300">
        <f>X23</f>
        <v>90</v>
      </c>
      <c r="W22" s="300">
        <f>X23</f>
        <v>90</v>
      </c>
      <c r="X22" t="s">
        <v>1188</v>
      </c>
      <c r="Y22" s="75">
        <f t="shared" si="3"/>
        <v>16.773453701019665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5.8004247557226406E-2</v>
      </c>
      <c r="D23" s="50">
        <f>IF(hist!$D$2&gt;0,hist!B23/hist!$D$2,0)</f>
        <v>0.20366332312342561</v>
      </c>
      <c r="E23" s="50">
        <f t="shared" si="1"/>
        <v>7.2565622996129293E-4</v>
      </c>
      <c r="F23">
        <f t="shared" si="6"/>
        <v>21</v>
      </c>
      <c r="G23" s="50">
        <f>IF(FT!A23&lt;&gt;"",FT!A23*10,"")</f>
        <v>3.08711</v>
      </c>
      <c r="H23" s="50">
        <f>IF(FT!B23&lt;&gt;"",FT!B23*100,"")</f>
        <v>53.354300000000002</v>
      </c>
      <c r="I23" s="50">
        <f t="shared" si="2"/>
        <v>1</v>
      </c>
      <c r="J23" t="str">
        <f>IF(FT!B23&lt;&gt;"",FT!E23,"")</f>
        <v>0 [8.519702]</v>
      </c>
      <c r="K23">
        <f>IF(FT!B23&lt;&gt;"",IF(FT!C23&lt;&gt;"",FT!C23,F23/$M$3*$M$4),"")</f>
        <v>8.5197000000000003</v>
      </c>
      <c r="P23">
        <f t="shared" si="10"/>
        <v>20</v>
      </c>
      <c r="Q23">
        <f t="shared" si="12"/>
        <v>0</v>
      </c>
      <c r="R23">
        <f t="shared" si="13"/>
        <v>0</v>
      </c>
      <c r="S23">
        <f t="array" ref="S23">MAX(IF(ft_nq=P23,row_n))</f>
        <v>0</v>
      </c>
      <c r="T23">
        <f t="shared" si="11"/>
        <v>1</v>
      </c>
      <c r="V23" s="300">
        <f>100-X23</f>
        <v>10</v>
      </c>
      <c r="W23" s="300">
        <f>X23</f>
        <v>90</v>
      </c>
      <c r="X23">
        <v>90</v>
      </c>
      <c r="Y23" s="75">
        <f t="shared" si="3"/>
        <v>17.282928045971801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5.4464645080626511E-2</v>
      </c>
      <c r="D24" s="50">
        <f>IF(hist!$D$2&gt;0,hist!B24/hist!$D$2,0)</f>
        <v>0</v>
      </c>
      <c r="E24" s="50">
        <f t="shared" si="1"/>
        <v>8.6234405315670649E-4</v>
      </c>
      <c r="F24">
        <f t="shared" si="6"/>
        <v>22</v>
      </c>
      <c r="G24" s="50">
        <f>IF(FT!A24&lt;&gt;"",FT!A24*10,"")</f>
        <v>3.0420199999999999</v>
      </c>
      <c r="H24" s="50">
        <f>IF(FT!B24&lt;&gt;"",FT!B24*100,"")</f>
        <v>53.8752</v>
      </c>
      <c r="I24" s="50">
        <f t="shared" si="2"/>
        <v>1</v>
      </c>
      <c r="J24" t="str">
        <f>IF(FT!B24&lt;&gt;"",FT!E24,"")</f>
        <v>0 [8.932187]</v>
      </c>
      <c r="K24">
        <f>IF(FT!B24&lt;&gt;"",IF(FT!C24&lt;&gt;"",FT!C24,F24/$M$3*$M$4),"")</f>
        <v>8.9321900000000003</v>
      </c>
      <c r="P24">
        <f t="shared" si="10"/>
        <v>21</v>
      </c>
      <c r="Q24">
        <f t="shared" si="12"/>
        <v>0</v>
      </c>
      <c r="R24">
        <f t="shared" si="13"/>
        <v>0</v>
      </c>
      <c r="S24">
        <f t="array" ref="S24">MAX(IF(ft_nq=P24,row_n))</f>
        <v>0</v>
      </c>
      <c r="T24">
        <f t="shared" si="11"/>
        <v>1</v>
      </c>
      <c r="V24" s="300">
        <f>100-X23</f>
        <v>10</v>
      </c>
      <c r="W24" s="300">
        <f>100-X23</f>
        <v>10</v>
      </c>
      <c r="Y24" s="75">
        <f t="shared" si="3"/>
        <v>17.710337210143262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4.544432360220256E-2</v>
      </c>
      <c r="D25" s="50">
        <f>IF(hist!$D$2&gt;0,hist!B25/hist!$D$2,0)</f>
        <v>0</v>
      </c>
      <c r="E25" s="50">
        <f t="shared" si="1"/>
        <v>1.0226282657710777E-3</v>
      </c>
      <c r="F25">
        <f t="shared" si="6"/>
        <v>23</v>
      </c>
      <c r="G25" s="50">
        <f>IF(FT!A25&lt;&gt;"",FT!A25*10,"")</f>
        <v>2.9964200000000001</v>
      </c>
      <c r="H25" s="50">
        <f>IF(FT!B25&lt;&gt;"",FT!B25*100,"")</f>
        <v>54.487099999999998</v>
      </c>
      <c r="I25" s="50">
        <f t="shared" si="2"/>
        <v>1</v>
      </c>
      <c r="J25" t="str">
        <f>IF(FT!B25&lt;&gt;"",FT!E25,"")</f>
        <v>0 [9.332983]</v>
      </c>
      <c r="K25">
        <f>IF(FT!B25&lt;&gt;"",IF(FT!C25&lt;&gt;"",FT!C25,F25/$M$3*$M$4),"")</f>
        <v>9.3329799999999992</v>
      </c>
      <c r="P25">
        <f t="shared" si="10"/>
        <v>22</v>
      </c>
      <c r="Q25">
        <f t="shared" si="12"/>
        <v>0</v>
      </c>
      <c r="R25">
        <f t="shared" si="13"/>
        <v>0</v>
      </c>
      <c r="S25">
        <f t="array" ref="S25">MAX(IF(ft_nq=P25,row_n))</f>
        <v>0</v>
      </c>
      <c r="T25">
        <f t="shared" si="11"/>
        <v>1</v>
      </c>
      <c r="V25" s="300">
        <f>X23</f>
        <v>90</v>
      </c>
      <c r="W25" s="300">
        <f>100-X23</f>
        <v>10</v>
      </c>
      <c r="Y25" s="75">
        <f t="shared" si="3"/>
        <v>18.18406631914084</v>
      </c>
    </row>
    <row r="26" spans="1:120">
      <c r="A26" s="50">
        <f t="shared" si="5"/>
        <v>24</v>
      </c>
      <c r="B26" s="50">
        <f t="shared" si="0"/>
        <v>0.46312658823529412</v>
      </c>
      <c r="C26" s="50">
        <f>IF(FH!$C$2&gt;0,FH!A26/FH!$C$2,0)</f>
        <v>7.4788949500312576E-2</v>
      </c>
      <c r="D26" s="50">
        <f>IF(hist!$D$2&gt;0,hist!B26/hist!$D$2,0)</f>
        <v>0.17678159054856704</v>
      </c>
      <c r="E26" s="50">
        <f t="shared" si="1"/>
        <v>1.2101594253524212E-3</v>
      </c>
      <c r="F26">
        <f t="shared" si="6"/>
        <v>24</v>
      </c>
      <c r="G26" s="50">
        <f>IF(FT!A26&lt;&gt;"",FT!A26*10,"")</f>
        <v>2.9687700000000001</v>
      </c>
      <c r="H26" s="50">
        <f>IF(FT!B26&lt;&gt;"",FT!B26*100,"")</f>
        <v>54.884200000000007</v>
      </c>
      <c r="I26" s="50">
        <f t="shared" si="2"/>
        <v>1</v>
      </c>
      <c r="J26" t="str">
        <f>IF(FT!B26&lt;&gt;"",FT!E26,"")</f>
        <v>0 [9.734495]</v>
      </c>
      <c r="K26">
        <f>IF(FT!B26&lt;&gt;"",IF(FT!C26&lt;&gt;"",FT!C26,F26/$M$3*$M$4),"")</f>
        <v>9.7345000000000006</v>
      </c>
      <c r="P26">
        <f t="shared" si="10"/>
        <v>23</v>
      </c>
      <c r="Q26">
        <f t="shared" si="12"/>
        <v>0</v>
      </c>
      <c r="R26">
        <f t="shared" si="13"/>
        <v>0</v>
      </c>
      <c r="S26">
        <f t="array" ref="S26">MAX(IF(ft_nq=P26,row_n))</f>
        <v>0</v>
      </c>
      <c r="T26">
        <f t="shared" si="11"/>
        <v>1</v>
      </c>
      <c r="V26" s="300">
        <f>X23</f>
        <v>90</v>
      </c>
      <c r="W26" s="300">
        <f>X23</f>
        <v>90</v>
      </c>
      <c r="Y26" s="75">
        <f t="shared" si="3"/>
        <v>18.487184928438378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0.4824235294117647</v>
      </c>
      <c r="C27" s="50">
        <f>IF(FH!$C$2&gt;0,FH!A27/FH!$C$2,0)</f>
        <v>4.2133027326522396E-2</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0.14752297191987873</v>
      </c>
      <c r="D28" s="50">
        <f>IF(hist!$D$2&gt;0,hist!B28/hist!$D$2,0)</f>
        <v>0.1539577454087333</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0.10733046166493966</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8.3923509715430791E-2</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0.28728130646639205</v>
      </c>
      <c r="D31" s="50">
        <f>IF(hist!$D$2&gt;0,hist!B31/hist!$D$2,0)</f>
        <v>0.14533643028908011</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0.1033346749676723</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0.27860293047194129</v>
      </c>
      <c r="D33" s="50">
        <f>IF(hist!$D$2&gt;0,hist!B33/hist!$D$2,0)</f>
        <v>0.13126937356687302</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0.62909899999999996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0.17264264855745762</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37.090100000000007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0.11303982941262107</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58.757999999999996</v>
      </c>
      <c r="W35" s="23">
        <f>IF(FH_info!G2*1&lt;&gt;0,(1-NORMSDIST((FH_info!G2*1-0.5308)/0.1538))*100,0)</f>
        <v>26.13674781166845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0.21774468413074941</v>
      </c>
      <c r="D36" s="50">
        <f>IF(hist!$D$2&gt;0,hist!B36/hist!$D$2,0)</f>
        <v>0.12103879142596578</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1.76274</v>
      </c>
      <c r="W36" s="495">
        <f>IF(W34&gt;=60,30/40*(W34-60)+70,IF(W34&gt;=35,35/25*(W34-35)+35,IF(W34&gt;=0,W34,0)))</f>
        <v>37.926140000000011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0.14112851429696932</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4.9440624116876331E-2</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0.22813492845092614</v>
      </c>
      <c r="D39" s="50">
        <f>IF(hist!$D$2&gt;0,hist!B39/hist!$D$2,0)</f>
        <v>0.1118325816137995</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9.2144588218166873E-2</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0.23350175126099354</v>
      </c>
      <c r="D41" s="50">
        <f>IF(hist!$D$2&gt;0,hist!B41/hist!$D$2,0)</f>
        <v>0.1043182607083792</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0.15677168523545681</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9.0431863530096857E-2</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7.9925800000000002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0.26570097539670984</v>
      </c>
      <c r="D44" s="50">
        <f>IF(hist!$D$2&gt;0,hist!B44/hist!$D$2,0)</f>
        <v>9.7901008763813691E-2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0.21523211701335065</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0.25862142789857245</v>
      </c>
      <c r="D46" s="50">
        <f>IF(hist!$D$2&gt;0,hist!B46/hist!$D$2,0)</f>
        <v>9.5687032231376729E-2</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0.16556310105932021</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0.16362258398773688</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0.41333784350834524</v>
      </c>
      <c r="D49" s="50">
        <f>IF(hist!$D$2&gt;0,hist!B49/hist!$D$2,0)</f>
        <v>9.1847259806532008E-2</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0.19741978025742252</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0.44999015183304358</v>
      </c>
      <c r="D51" s="50">
        <f>IF(hist!$D$2&gt;0,hist!B51/hist!$D$2,0)</f>
        <v>8.9134297736370896E-2</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0.21934265626471872</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58.217213284276703</v>
      </c>
      <c r="W52" s="303">
        <f ca="1">100-N9</f>
        <v>54.452579999999998</v>
      </c>
      <c r="X52" t="str">
        <f ca="1">"(" &amp; ROUND(V52,1) &amp; " , " &amp; ROUND(100-W52,1) &amp; ")"</f>
        <v>(58.2 , 45.5)</v>
      </c>
      <c r="Y52" s="75" t="str">
        <f t="shared" si="3"/>
        <v/>
      </c>
    </row>
    <row r="53" spans="1:25">
      <c r="A53" s="50">
        <f t="shared" si="5"/>
        <v>51</v>
      </c>
      <c r="B53" s="50">
        <f t="shared" si="0"/>
        <v>0.98414400000000013</v>
      </c>
      <c r="C53" s="50">
        <f>IF(FH!$C$2&gt;0,FH!A53/FH!$C$2,0)</f>
        <v>0.11041336610346569</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0.44131177583859282</v>
      </c>
      <c r="D54" s="50">
        <f>IF(hist!$D$2&gt;0,hist!B54/hist!$D$2,0)</f>
        <v>8.8912904709360627E-2</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0.19193906125559845</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0.19844741507026453</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0.35738826612316199</v>
      </c>
      <c r="D57" s="50">
        <f>IF(hist!$D$2&gt;0,hist!B57/hist!$D$2,0)</f>
        <v>8.7310242627663168E-2</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0.10995692497409504</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0.27437849502881662</v>
      </c>
      <c r="D59" s="50">
        <f>IF(hist!$D$2&gt;0,hist!B59/hist!$D$2,0)</f>
        <v>8.6864140225164047E-2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0.14752297191987873</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0.12171734904472779</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0.29527373622327074</v>
      </c>
      <c r="D62" s="50">
        <f>IF(hist!$D$2&gt;0,hist!B62/hist!$D$2,0)</f>
        <v>8.2303999809832731E-2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0.13142335985202058</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0.26398825070863979</v>
      </c>
      <c r="D64" s="50">
        <f>IF(hist!$D$2&gt;0,hist!B64/hist!$D$2,0)</f>
        <v>7.9739740743472967E-2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0.12594264085019652</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0.20644070118948729</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0.27095304565267658</v>
      </c>
      <c r="D67" s="50">
        <f>IF(hist!$D$2&gt;0,hist!B67/hist!$D$2,0)</f>
        <v>7.4462530181199929E-2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0.29744290204071144</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0.38022488075154359</v>
      </c>
      <c r="D69" s="50">
        <f>IF(hist!$D$2&gt;0,hist!B69/hist!$D$2,0)</f>
        <v>6.7688402659183827E-2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0.22802103225916948</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0.22950510820138217</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0.47545237340823643</v>
      </c>
      <c r="D72" s="50">
        <f>IF(hist!$D$2&gt;0,hist!B72/hist!$D$2,0)</f>
        <v>6.1512379708794022E-2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0.26649996146369453</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0.15631438774374212</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0.43834362395416743</v>
      </c>
      <c r="D75" s="50">
        <f>IF(hist!$D$2&gt;0,hist!B75/hist!$D$2,0)</f>
        <v>5.5554453263650591E-2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0.13587644404100263</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0.56622678187594733</v>
      </c>
      <c r="D77" s="50">
        <f>IF(hist!$D$2&gt;0,hist!B77/hist!$D$2,0)</f>
        <v>5.0779520795522656E-2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0.19410908343538316</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0.1660203985510349</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0.57947213825113686</v>
      </c>
      <c r="D80" s="50">
        <f>IF(hist!$D$2&gt;0,hist!B80/hist!$D$2,0)</f>
        <v>4.4415146699058265E-2</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0.26992541083983457</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0.52786174886317894</v>
      </c>
      <c r="D82" s="50">
        <f>IF(hist!$D$2&gt;0,hist!B82/hist!$D$2,0)</f>
        <v>3.8235819296218693E-2</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0.27769004821319992</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0.22402438919955811</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0.56360031856679194</v>
      </c>
      <c r="D85" s="50">
        <f>IF(hist!$D$2&gt;0,hist!B85/hist!$D$2,0)</f>
        <v>3.1349341712691596E-2</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0.32964212617642774</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0.26855523108937851</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1</v>
      </c>
      <c r="D88" s="50">
        <f>IF(hist!$D$2&gt;0,hist!B88/hist!$D$2,0)</f>
        <v>2.6220830188876963E-2</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0.23612735820780487</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0.64729603589870943</v>
      </c>
      <c r="D90" s="50">
        <f>IF(hist!$D$2&gt;0,hist!B90/hist!$D$2,0)</f>
        <v>1.9380613617865583E-2</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0.35339247942589463</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0.2760912197168866</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0.74377895575175768</v>
      </c>
      <c r="D93" s="50">
        <f>IF(hist!$D$2&gt;0,hist!B93/hist!$D$2,0)</f>
        <v>1.4414021585870362E-2</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0.36812191174329684</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0.86036155618165144</v>
      </c>
      <c r="D95" s="50">
        <f>IF(hist!$D$2&gt;0,hist!B95/hist!$D$2,0)</f>
        <v>1.0415634121655979E-2</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0.37497281049557685</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0.36652308324698346</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0.85647367113973261</v>
      </c>
      <c r="D98" s="50">
        <f>IF(hist!$D$2&gt;0,hist!B98/hist!$D$2,0)</f>
        <v>7.2631864845811682E-3</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0.33215469329382646</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0.96540296130098568</v>
      </c>
      <c r="D100" s="50">
        <f>IF(hist!$D$2&gt;0,hist!B100/hist!$D$2,0)</f>
        <v>4.9269386025980536E-3</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0.41858991376431193</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0.43994159608813682</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0.91619638101273415</v>
      </c>
      <c r="D103" s="50">
        <f>IF(hist!$D$2&gt;0,hist!B103/hist!$D$2,0)</f>
        <v>3.357323688960176E-3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0.2215126784445034</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0.39415532700196104</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0.85636234403500799</v>
      </c>
      <c r="D106" s="50">
        <f>IF(hist!$D$2&gt;0,hist!B106/hist!$D$2,0)</f>
        <v>2.1578074496958611E-3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0.36686562818459745</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0.6868025999160764</v>
      </c>
      <c r="D108" s="50">
        <f>IF(hist!$D$2&gt;0,hist!B108/hist!$D$2,0)</f>
        <v>1.3316943372548731E-3</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0.43366189101932806</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0.24777388608668099</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0.76307622481224247</v>
      </c>
      <c r="D111" s="50">
        <f>IF(hist!$D$2&gt;0,hist!B111/hist!$D$2,0)</f>
        <v>9.5498675798178238E-4</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0.27312221147011723</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0.81320168189564368</v>
      </c>
      <c r="D113" s="50">
        <f>IF(hist!$D$2&gt;0,hist!B113/hist!$D$2,0)</f>
        <v>5.5184355911058009E-4</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0.33649302492870781</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0.25279816395913435</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0.8710917763524102</v>
      </c>
      <c r="D116" s="50">
        <f>IF(hist!$D$2&gt;0,hist!B116/hist!$D$2,0)</f>
        <v>3.50271959674979E-4</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0.3878747655708083</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0.78203009257276934</v>
      </c>
      <c r="D118" s="50">
        <f>IF(hist!$D$2&gt;0,hist!B118/hist!$D$2,0)</f>
        <v>2.1809386168442088E-4</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0.4085422143817492</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0.38136641175614228</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0.71694655442610877</v>
      </c>
      <c r="D121" s="50">
        <f>IF(hist!$D$2&gt;0,hist!B121/hist!$D$2,0)</f>
        <v>1.2226474064126625E-4</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0.47396829746602381</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0.4858426177284132</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0.6725296087280449</v>
      </c>
      <c r="D124" s="50">
        <f>IF(hist!$D$2&gt;0,hist!B124/hist!$D$2,0)</f>
        <v>4.9566786746459287E-5</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0.29047810709667471</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0.98150257336884372</v>
      </c>
      <c r="D126" s="50">
        <f>IF(hist!$D$2&gt;0,hist!B126/hist!$D$2,0)</f>
        <v>2.9740072047875573E-5</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0.46060904489907761</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0.91962183038887402</v>
      </c>
      <c r="D129" s="50">
        <f>IF(hist!$D$2&gt;0,hist!B129/hist!$D$2,0)</f>
        <v>1.6522262248819766E-5</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0.42201536314045196</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0.77723446344617331</v>
      </c>
      <c r="D131" s="50">
        <f>IF(hist!$D$2&gt;0,hist!B131/hist!$D$2,0)</f>
        <v>9.9133573492918571E-6</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0.41059748400743318</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0.70552867529309005</v>
      </c>
      <c r="D134" s="50">
        <f>IF(hist!$D$2&gt;0,hist!B134/hist!$D$2,0)</f>
        <v>6.6089048995279053E-6</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0.17515435931251228</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0.44199686571382085</v>
      </c>
      <c r="D136" s="50">
        <f>IF(hist!$D$2&gt;0,hist!B136/hist!$D$2,0)</f>
        <v>3.3044524497639526E-6</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0.29287592165997273</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0.1543738706721588</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0.28842283747099068</v>
      </c>
      <c r="D139" s="50">
        <f>IF(hist!$D$2&gt;0,hist!B139/hist!$D$2,0)</f>
        <v>6.6089048995279053E-6</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0.19034108912162911</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0.14032952822998468</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0.23726974557474756</v>
      </c>
      <c r="D142" s="50">
        <f>IF(hist!$D$2&gt;0,hist!B142/hist!$D$2,0)</f>
        <v>3.3044524497639526E-6</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8.3580964777816777E-2</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0.16168121055380952</v>
      </c>
      <c r="D144" s="50">
        <f>IF(hist!$D$2&gt;0,hist!B144/hist!$D$2,0)</f>
        <v>3.3044524497639526E-6</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8.8947787587884172E-2</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5.5149734955854519E-2</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0.14946348899146206</v>
      </c>
      <c r="D147" s="50">
        <f>IF(hist!$D$2&gt;0,hist!B147/hist!$D$2,0)</f>
        <v>0</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5.663406780677039E-2</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0.11429611297132042</v>
      </c>
      <c r="D149" s="50">
        <f>IF(hist!$D$2&gt;0,hist!B149/hist!$D$2,0)</f>
        <v>0</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5.4807190018240519E-2</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5.9602819144836554E-2</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5.6976612744384397E-2</v>
      </c>
      <c r="D152" s="50">
        <f>IF(hist!$D$2&gt;0,hist!B152/hist!$D$2,0)</f>
        <v>0</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2.2607965882524214E-2</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5.6748306543464667E-2</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8.792015277504216E-3</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1.7013093780240296E-2</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5.5606432993928395E-2</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2.4206537470134362E-2</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1.5414522192630144E-2</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2.6261807095818383E-2</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5.1381740642100484E-3</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1.0504739965574232E-2</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5.2523528555402359E-3</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5.2523528555402359E-3</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43.794899999999998</v>
      </c>
      <c r="C5" s="49">
        <v>4.2610700000000001</v>
      </c>
      <c r="D5" s="49">
        <v>9.72959</v>
      </c>
      <c r="E5" s="49">
        <v>20</v>
      </c>
      <c r="F5" s="49">
        <v>35.1128</v>
      </c>
      <c r="G5" s="49">
        <v>50</v>
      </c>
      <c r="H5" s="49">
        <v>51.826599999999999</v>
      </c>
    </row>
    <row r="6" spans="1:10">
      <c r="A6" t="s">
        <v>1111</v>
      </c>
      <c r="B6" s="49">
        <v>25.314</v>
      </c>
      <c r="C6" s="49">
        <v>2.90252</v>
      </c>
      <c r="D6" s="49">
        <v>11.466100000000001</v>
      </c>
      <c r="E6" s="49">
        <v>20</v>
      </c>
      <c r="F6" s="49">
        <v>16.346</v>
      </c>
      <c r="G6" s="49">
        <v>40</v>
      </c>
      <c r="H6" s="49">
        <v>28.066700000000001</v>
      </c>
    </row>
    <row r="7" spans="1:10">
      <c r="A7" t="s">
        <v>1112</v>
      </c>
      <c r="B7" s="49">
        <v>34.7393</v>
      </c>
      <c r="C7" s="49">
        <v>1.4691099999999999</v>
      </c>
      <c r="D7" s="49">
        <v>4.2289599999999998</v>
      </c>
      <c r="E7" s="49">
        <v>15</v>
      </c>
      <c r="F7" s="49">
        <v>28.786100000000001</v>
      </c>
      <c r="G7" s="49">
        <v>40</v>
      </c>
      <c r="H7" s="49">
        <v>38.582900000000002</v>
      </c>
    </row>
    <row r="8" spans="1:10">
      <c r="A8" t="s">
        <v>1113</v>
      </c>
      <c r="B8" s="49">
        <v>35.0246</v>
      </c>
      <c r="C8" s="49">
        <v>1.2286900000000001</v>
      </c>
      <c r="D8" s="49">
        <v>3.5080900000000002</v>
      </c>
      <c r="E8" s="49">
        <v>20</v>
      </c>
      <c r="F8" s="49">
        <v>32.311100000000003</v>
      </c>
      <c r="G8" s="49">
        <v>50</v>
      </c>
      <c r="H8" s="49">
        <v>36.164999999999999</v>
      </c>
    </row>
    <row r="9" spans="1:10">
      <c r="A9" t="s">
        <v>1114</v>
      </c>
      <c r="B9" s="49">
        <v>62.959200000000003</v>
      </c>
      <c r="C9" s="49">
        <v>5.7119900000000001</v>
      </c>
      <c r="D9" s="49">
        <v>9.0725300000000004</v>
      </c>
      <c r="E9" s="49">
        <v>50</v>
      </c>
      <c r="F9" s="49">
        <v>46.7547</v>
      </c>
      <c r="G9" s="49">
        <v>100</v>
      </c>
      <c r="H9" s="49">
        <v>66.180700000000002</v>
      </c>
    </row>
    <row r="10" spans="1:10">
      <c r="A10" t="s">
        <v>1115</v>
      </c>
      <c r="B10" s="49">
        <v>85.476600000000005</v>
      </c>
      <c r="C10" s="49">
        <v>1.8045899999999999</v>
      </c>
      <c r="D10" s="49">
        <v>2.1112099999999998</v>
      </c>
      <c r="E10" s="49">
        <v>40</v>
      </c>
      <c r="F10" s="49">
        <v>80.834100000000007</v>
      </c>
      <c r="G10" s="49">
        <v>100</v>
      </c>
      <c r="H10" s="49">
        <v>88.010300000000001</v>
      </c>
    </row>
    <row r="11" spans="1:10">
      <c r="A11" t="s">
        <v>1116</v>
      </c>
      <c r="B11" s="49">
        <v>23.624099999999999</v>
      </c>
      <c r="C11" s="49">
        <v>1.8430800000000001</v>
      </c>
      <c r="D11" s="49">
        <v>7.8017000000000003</v>
      </c>
      <c r="E11" s="49">
        <v>10</v>
      </c>
      <c r="F11" s="49">
        <v>20.513200000000001</v>
      </c>
      <c r="G11" s="49">
        <v>50</v>
      </c>
      <c r="H11" s="49">
        <v>26.9419</v>
      </c>
    </row>
    <row r="12" spans="1:10">
      <c r="A12" t="s">
        <v>1117</v>
      </c>
      <c r="B12" s="49">
        <v>73.963899999999995</v>
      </c>
      <c r="C12" s="49">
        <v>3.58765</v>
      </c>
      <c r="D12" s="49">
        <v>4.8505399999999996</v>
      </c>
      <c r="E12" s="49">
        <v>50</v>
      </c>
      <c r="F12" s="49">
        <v>65.321600000000004</v>
      </c>
      <c r="G12" s="49">
        <v>100</v>
      </c>
      <c r="H12" s="49">
        <v>77.034499999999994</v>
      </c>
    </row>
    <row r="13" spans="1:10">
      <c r="A13" t="s">
        <v>1118</v>
      </c>
      <c r="B13" s="49">
        <v>19.9953</v>
      </c>
      <c r="C13" s="49">
        <v>0.91319099999999997</v>
      </c>
      <c r="D13" s="49">
        <v>4.5670200000000003</v>
      </c>
      <c r="E13" s="49">
        <v>10</v>
      </c>
      <c r="F13" s="49">
        <v>18.0745</v>
      </c>
      <c r="G13" s="49">
        <v>25</v>
      </c>
      <c r="H13" s="49">
        <v>21.6556</v>
      </c>
      <c r="J13" s="49"/>
    </row>
    <row r="14" spans="1:10">
      <c r="A14" t="s">
        <v>1119</v>
      </c>
      <c r="B14" s="49">
        <v>9.1319099999999995</v>
      </c>
      <c r="C14" s="49">
        <v>2.06291</v>
      </c>
      <c r="D14" s="49">
        <v>22.5901</v>
      </c>
      <c r="E14" s="49">
        <v>10</v>
      </c>
      <c r="F14" s="49">
        <v>0.34563199999999999</v>
      </c>
      <c r="G14" s="49">
        <v>50</v>
      </c>
      <c r="H14" s="49">
        <v>11.6997</v>
      </c>
    </row>
    <row r="15" spans="1:10">
      <c r="A15" t="s">
        <v>1120</v>
      </c>
      <c r="B15" s="49">
        <v>-7.9720299999999994E-2</v>
      </c>
      <c r="C15" s="49">
        <v>0</v>
      </c>
      <c r="D15" s="49">
        <v>0</v>
      </c>
      <c r="E15" s="49">
        <v>0</v>
      </c>
      <c r="F15" s="49">
        <v>0</v>
      </c>
      <c r="G15" s="49">
        <v>0</v>
      </c>
      <c r="H15" s="49">
        <v>0</v>
      </c>
    </row>
    <row r="16" spans="1:10">
      <c r="A16" t="s">
        <v>1121</v>
      </c>
      <c r="B16" s="49">
        <v>-0.143624</v>
      </c>
      <c r="C16" s="49">
        <v>0</v>
      </c>
      <c r="D16" s="49">
        <v>0</v>
      </c>
      <c r="E16" s="49">
        <v>0</v>
      </c>
      <c r="F16" s="49">
        <v>0</v>
      </c>
      <c r="G16" s="49">
        <v>0</v>
      </c>
      <c r="H16" s="49">
        <v>0</v>
      </c>
    </row>
    <row r="17" spans="1:8">
      <c r="A17" t="s">
        <v>1122</v>
      </c>
      <c r="B17" s="49">
        <v>7.9925800000000002</v>
      </c>
      <c r="C17" s="49">
        <v>0</v>
      </c>
      <c r="D17" s="49">
        <v>0</v>
      </c>
      <c r="E17" s="49">
        <v>0</v>
      </c>
      <c r="F17" s="49">
        <v>0</v>
      </c>
      <c r="G17" s="49">
        <v>0</v>
      </c>
      <c r="H17" s="49">
        <v>0</v>
      </c>
    </row>
    <row r="18" spans="1:8">
      <c r="A18" t="s">
        <v>1123</v>
      </c>
      <c r="B18" s="49">
        <v>0.56934300000000004</v>
      </c>
      <c r="C18" s="49">
        <v>0</v>
      </c>
      <c r="D18" s="49">
        <v>0</v>
      </c>
      <c r="E18" s="49">
        <v>0</v>
      </c>
      <c r="F18" s="49">
        <v>0</v>
      </c>
      <c r="G18" s="49">
        <v>0</v>
      </c>
      <c r="H18" s="49">
        <v>0</v>
      </c>
    </row>
    <row r="19" spans="1:8">
      <c r="A19" t="s">
        <v>1124</v>
      </c>
      <c r="B19" s="49">
        <v>0.56629099999999999</v>
      </c>
      <c r="C19" s="49">
        <v>0</v>
      </c>
      <c r="D19" s="49">
        <v>0</v>
      </c>
      <c r="E19" s="49">
        <v>0</v>
      </c>
      <c r="F19" s="49">
        <v>0</v>
      </c>
      <c r="G19" s="49">
        <v>0</v>
      </c>
      <c r="H19" s="49">
        <v>0</v>
      </c>
    </row>
    <row r="20" spans="1:8">
      <c r="A20" t="s">
        <v>1125</v>
      </c>
      <c r="B20" s="49">
        <v>8.3685800000000005E-3</v>
      </c>
      <c r="C20" s="49">
        <v>0.115689</v>
      </c>
      <c r="D20" s="49">
        <v>13.824199999999999</v>
      </c>
      <c r="E20" s="49">
        <v>0</v>
      </c>
      <c r="F20" s="49">
        <v>3.3225199999999998E-3</v>
      </c>
      <c r="G20" s="49">
        <v>0</v>
      </c>
      <c r="H20" s="49">
        <v>0.94210700000000003</v>
      </c>
    </row>
    <row r="21" spans="1:8">
      <c r="A21" t="s">
        <v>1126</v>
      </c>
      <c r="B21" s="49">
        <v>7.0397199999999993E-2</v>
      </c>
      <c r="C21" s="49">
        <v>0.72907299999999997</v>
      </c>
      <c r="D21" s="49">
        <v>10.3566</v>
      </c>
      <c r="E21" s="49">
        <v>0</v>
      </c>
      <c r="F21" s="49">
        <v>4.9063099999999997E-3</v>
      </c>
      <c r="G21" s="49">
        <v>0</v>
      </c>
      <c r="H21" s="49">
        <v>3.03775</v>
      </c>
    </row>
    <row r="22" spans="1:8">
      <c r="A22" t="s">
        <v>1127</v>
      </c>
      <c r="B22" s="49">
        <v>64.027000000000001</v>
      </c>
      <c r="C22" s="49">
        <v>25.132400000000001</v>
      </c>
      <c r="D22" s="49">
        <v>0.39252799999999999</v>
      </c>
      <c r="E22" s="49">
        <v>0</v>
      </c>
      <c r="F22" s="49">
        <v>20.694400000000002</v>
      </c>
      <c r="G22" s="49">
        <v>0</v>
      </c>
      <c r="H22" s="49">
        <v>101.539</v>
      </c>
    </row>
    <row r="23" spans="1:8">
      <c r="A23" t="s">
        <v>1128</v>
      </c>
      <c r="B23" s="49">
        <v>30.153600000000001</v>
      </c>
      <c r="C23" s="49">
        <v>2.31629</v>
      </c>
      <c r="D23" s="49">
        <v>7.6816099999999998E-2</v>
      </c>
      <c r="E23" s="49">
        <v>0</v>
      </c>
      <c r="F23" s="49">
        <v>24.844100000000001</v>
      </c>
      <c r="G23" s="49">
        <v>0</v>
      </c>
      <c r="H23" s="49">
        <v>33.0824</v>
      </c>
    </row>
    <row r="24" spans="1:8">
      <c r="A24" t="s">
        <v>1129</v>
      </c>
      <c r="B24" s="49">
        <v>1.22507E-2</v>
      </c>
      <c r="C24" s="49">
        <v>9.3581200000000003E-2</v>
      </c>
      <c r="D24" s="49">
        <v>7.6388199999999999</v>
      </c>
      <c r="E24" s="49">
        <v>0</v>
      </c>
      <c r="F24" s="49">
        <v>3.69952E-3</v>
      </c>
      <c r="G24" s="49">
        <v>0</v>
      </c>
      <c r="H24" s="49">
        <v>0.39628099999999999</v>
      </c>
    </row>
    <row r="25" spans="1:8">
      <c r="A25" t="s">
        <v>1130</v>
      </c>
      <c r="B25" s="49">
        <v>0.38308999999999999</v>
      </c>
      <c r="C25" s="49">
        <v>0.479097</v>
      </c>
      <c r="D25" s="49">
        <v>1.25061</v>
      </c>
      <c r="E25" s="49">
        <v>0</v>
      </c>
      <c r="F25" s="49">
        <v>8.5535300000000002E-3</v>
      </c>
      <c r="G25" s="49">
        <v>0</v>
      </c>
      <c r="H25" s="49">
        <v>1.56602</v>
      </c>
    </row>
    <row r="26" spans="1:8">
      <c r="A26" t="s">
        <v>1131</v>
      </c>
      <c r="B26" s="49">
        <v>1.39065E-3</v>
      </c>
      <c r="C26" s="49">
        <v>8.5841000000000008E-3</v>
      </c>
      <c r="D26" s="49">
        <v>6.1727400000000001</v>
      </c>
      <c r="E26" s="49">
        <v>0</v>
      </c>
      <c r="F26" s="173">
        <v>7.136E-4</v>
      </c>
      <c r="G26" s="49">
        <v>0</v>
      </c>
      <c r="H26" s="49">
        <v>6.2828400000000006E-2</v>
      </c>
    </row>
    <row r="27" spans="1:8">
      <c r="A27" t="s">
        <v>1132</v>
      </c>
      <c r="B27" s="173">
        <v>-5.4546399999999997E-7</v>
      </c>
      <c r="C27" s="49">
        <v>5.7598500000000004E-3</v>
      </c>
      <c r="D27" s="49">
        <v>-10559.5</v>
      </c>
      <c r="E27" s="49">
        <v>0</v>
      </c>
      <c r="F27" s="49">
        <v>-2.98894E-2</v>
      </c>
      <c r="G27" s="49">
        <v>0</v>
      </c>
      <c r="H27" s="49">
        <v>3.6608500000000002E-2</v>
      </c>
    </row>
    <row r="28" spans="1:8">
      <c r="A28" t="s">
        <v>1133</v>
      </c>
      <c r="B28" s="49">
        <v>7.12782E-3</v>
      </c>
      <c r="C28" s="49">
        <v>3.4309300000000001E-2</v>
      </c>
      <c r="D28" s="49">
        <v>4.8134399999999999</v>
      </c>
      <c r="E28" s="49">
        <v>0</v>
      </c>
      <c r="F28" s="49">
        <v>1.01997E-3</v>
      </c>
      <c r="G28" s="49">
        <v>0</v>
      </c>
      <c r="H28" s="49">
        <v>0.14139599999999999</v>
      </c>
    </row>
    <row r="29" spans="1:8">
      <c r="A29" t="s">
        <v>1134</v>
      </c>
      <c r="B29" s="49">
        <v>63.996899999999997</v>
      </c>
      <c r="C29" s="49">
        <v>11.908200000000001</v>
      </c>
      <c r="D29" s="49">
        <v>0.18607499999999999</v>
      </c>
      <c r="E29" s="49">
        <v>0</v>
      </c>
      <c r="F29" s="49">
        <v>39.824599999999997</v>
      </c>
      <c r="G29" s="49">
        <v>0</v>
      </c>
      <c r="H29" s="49">
        <v>88.231200000000001</v>
      </c>
    </row>
    <row r="30" spans="1:8">
      <c r="A30" t="s">
        <v>1135</v>
      </c>
      <c r="B30" s="49">
        <v>22.470600000000001</v>
      </c>
      <c r="C30" s="49">
        <v>3.3084699999999998</v>
      </c>
      <c r="D30" s="49">
        <v>0.14723600000000001</v>
      </c>
      <c r="E30" s="49">
        <v>0</v>
      </c>
      <c r="F30" s="49">
        <v>17.5242</v>
      </c>
      <c r="G30" s="49">
        <v>0</v>
      </c>
      <c r="H30" s="49">
        <v>27.628499999999999</v>
      </c>
    </row>
    <row r="31" spans="1:8">
      <c r="A31" t="s">
        <v>1136</v>
      </c>
      <c r="B31" s="49">
        <v>223.11</v>
      </c>
      <c r="C31" s="49">
        <v>11.028700000000001</v>
      </c>
      <c r="D31" s="49">
        <v>4.9431599999999999E-2</v>
      </c>
      <c r="E31" s="49">
        <v>0</v>
      </c>
      <c r="F31" s="49">
        <v>196.21</v>
      </c>
      <c r="G31" s="49">
        <v>0</v>
      </c>
      <c r="H31" s="49">
        <v>240.00299999999999</v>
      </c>
    </row>
    <row r="32" spans="1:8">
      <c r="A32" t="s">
        <v>1137</v>
      </c>
      <c r="B32" s="49">
        <v>0.34739300000000001</v>
      </c>
      <c r="C32" s="49">
        <v>1.46911E-2</v>
      </c>
      <c r="D32" s="49">
        <v>4.2289599999999997E-2</v>
      </c>
      <c r="E32" s="49">
        <v>0.15</v>
      </c>
      <c r="F32" s="49">
        <v>0.28786099999999998</v>
      </c>
      <c r="G32" s="49">
        <v>0.4</v>
      </c>
      <c r="H32" s="49">
        <v>0.38582899999999998</v>
      </c>
    </row>
    <row r="33" spans="1:8">
      <c r="A33" t="s">
        <v>1138</v>
      </c>
      <c r="B33" s="49">
        <v>0.31032599999999999</v>
      </c>
      <c r="C33" s="49">
        <v>3.6437600000000001E-2</v>
      </c>
      <c r="D33" s="49">
        <v>0.11741699999999999</v>
      </c>
      <c r="E33" s="49">
        <v>0</v>
      </c>
      <c r="F33" s="49">
        <v>0.15370700000000001</v>
      </c>
      <c r="G33" s="49">
        <v>0</v>
      </c>
      <c r="H33" s="49">
        <v>0.31892599999999999</v>
      </c>
    </row>
    <row r="34" spans="1:8">
      <c r="A34" t="s">
        <v>1139</v>
      </c>
      <c r="B34" s="49">
        <v>0.19995299999999999</v>
      </c>
      <c r="C34" s="49">
        <v>9.13191E-3</v>
      </c>
      <c r="D34" s="49">
        <v>4.5670200000000001E-2</v>
      </c>
      <c r="E34" s="49">
        <v>0.1</v>
      </c>
      <c r="F34" s="49">
        <v>0.18074499999999999</v>
      </c>
      <c r="G34" s="49">
        <v>0.25</v>
      </c>
      <c r="H34" s="49">
        <v>0.216556</v>
      </c>
    </row>
    <row r="35" spans="1:8">
      <c r="A35" t="s">
        <v>1140</v>
      </c>
      <c r="B35" s="49">
        <v>7.1473900000000007E-2</v>
      </c>
      <c r="C35" s="49">
        <v>9.0021400000000005E-3</v>
      </c>
      <c r="D35" s="49">
        <v>0.12595000000000001</v>
      </c>
      <c r="E35" s="49">
        <v>0</v>
      </c>
      <c r="F35" s="49">
        <v>5.3297700000000003E-2</v>
      </c>
      <c r="G35" s="49">
        <v>0</v>
      </c>
      <c r="H35" s="49">
        <v>8.9497599999999997E-2</v>
      </c>
    </row>
    <row r="36" spans="1:8">
      <c r="A36" t="s">
        <v>1141</v>
      </c>
      <c r="B36" s="49">
        <v>0.18137800000000001</v>
      </c>
      <c r="C36" s="49">
        <v>7.3990700000000006E-2</v>
      </c>
      <c r="D36" s="49">
        <v>0.40793600000000002</v>
      </c>
      <c r="E36" s="49">
        <v>0</v>
      </c>
      <c r="F36" s="49">
        <v>4.2798999999999997E-2</v>
      </c>
      <c r="G36" s="49">
        <v>0</v>
      </c>
      <c r="H36" s="49">
        <v>0.38146999999999998</v>
      </c>
    </row>
    <row r="37" spans="1:8">
      <c r="A37" t="s">
        <v>1142</v>
      </c>
      <c r="B37" s="49">
        <v>9.13191E-2</v>
      </c>
      <c r="C37" s="49">
        <v>2.0629100000000001E-2</v>
      </c>
      <c r="D37" s="49">
        <v>0.22590099999999999</v>
      </c>
      <c r="E37" s="49">
        <v>0.1</v>
      </c>
      <c r="F37" s="49">
        <v>3.4563200000000001E-3</v>
      </c>
      <c r="G37" s="49">
        <v>0.5</v>
      </c>
      <c r="H37" s="49">
        <v>0.116997</v>
      </c>
    </row>
    <row r="38" spans="1:8">
      <c r="A38" t="s">
        <v>1143</v>
      </c>
      <c r="B38" s="49">
        <v>-19.6555</v>
      </c>
      <c r="C38" s="49">
        <v>60.465600000000002</v>
      </c>
      <c r="D38" s="49">
        <v>-3.0762700000000001</v>
      </c>
      <c r="E38" s="49">
        <v>0</v>
      </c>
      <c r="F38" s="49">
        <v>-238.41300000000001</v>
      </c>
      <c r="G38" s="49">
        <v>0</v>
      </c>
      <c r="H38" s="49">
        <v>100.581</v>
      </c>
    </row>
    <row r="39" spans="1:8">
      <c r="A39" t="s">
        <v>1144</v>
      </c>
      <c r="B39" s="49">
        <v>-2.6952799999999999</v>
      </c>
      <c r="C39" s="49">
        <v>12.5747</v>
      </c>
      <c r="D39" s="49">
        <v>-4.6654499999999999</v>
      </c>
      <c r="E39" s="49">
        <v>0</v>
      </c>
      <c r="F39" s="49">
        <v>-33.374000000000002</v>
      </c>
      <c r="G39" s="49">
        <v>0</v>
      </c>
      <c r="H39" s="49">
        <v>14.212300000000001</v>
      </c>
    </row>
    <row r="40" spans="1:8">
      <c r="A40" t="s">
        <v>1145</v>
      </c>
      <c r="B40" s="49">
        <v>0.68232599999999999</v>
      </c>
      <c r="C40" s="49">
        <v>2.3666499999999999</v>
      </c>
      <c r="D40" s="49">
        <v>3.4685100000000002</v>
      </c>
      <c r="E40" s="49">
        <v>0</v>
      </c>
      <c r="F40" s="49">
        <v>-3.4363000000000001</v>
      </c>
      <c r="G40" s="49">
        <v>0</v>
      </c>
      <c r="H40" s="49">
        <v>3.8135599999999998</v>
      </c>
    </row>
    <row r="41" spans="1:8">
      <c r="A41" t="s">
        <v>1146</v>
      </c>
      <c r="B41" s="49">
        <v>-2.3706100000000001E-2</v>
      </c>
      <c r="C41" s="49">
        <v>0.31176700000000002</v>
      </c>
      <c r="D41" s="49">
        <v>-13.151300000000001</v>
      </c>
      <c r="E41" s="49">
        <v>0</v>
      </c>
      <c r="F41" s="49">
        <v>-0.80387399999999998</v>
      </c>
      <c r="G41" s="49">
        <v>0</v>
      </c>
      <c r="H41" s="49">
        <v>0.96774199999999999</v>
      </c>
    </row>
    <row r="42" spans="1:8">
      <c r="A42" t="s">
        <v>1147</v>
      </c>
      <c r="B42" s="49">
        <v>-6.0204400000000002E-3</v>
      </c>
      <c r="C42" s="49">
        <v>0.18379000000000001</v>
      </c>
      <c r="D42" s="49">
        <v>-30.527699999999999</v>
      </c>
      <c r="E42" s="49">
        <v>0</v>
      </c>
      <c r="F42" s="49">
        <v>-0.24447199999999999</v>
      </c>
      <c r="G42" s="49">
        <v>0</v>
      </c>
      <c r="H42" s="49">
        <v>0.40290500000000001</v>
      </c>
    </row>
    <row r="43" spans="1:8">
      <c r="A43" t="s">
        <v>1148</v>
      </c>
      <c r="B43" s="49">
        <v>3.47161E-2</v>
      </c>
      <c r="C43" s="49">
        <v>8.2642599999999997E-2</v>
      </c>
      <c r="D43" s="49">
        <v>2.3805299999999998</v>
      </c>
      <c r="E43" s="49">
        <v>0</v>
      </c>
      <c r="F43" s="49">
        <v>-0.132711</v>
      </c>
      <c r="G43" s="49">
        <v>0</v>
      </c>
      <c r="H43" s="49">
        <v>7.3562600000000006E-2</v>
      </c>
    </row>
    <row r="44" spans="1:8">
      <c r="A44" t="s">
        <v>1149</v>
      </c>
      <c r="B44" s="49">
        <v>31.4238</v>
      </c>
      <c r="C44" s="49">
        <v>19.0764</v>
      </c>
      <c r="D44" s="49">
        <v>0.60706700000000002</v>
      </c>
      <c r="E44" s="49">
        <v>0</v>
      </c>
      <c r="F44" s="49">
        <v>10.3726</v>
      </c>
      <c r="G44" s="49">
        <v>0</v>
      </c>
      <c r="H44" s="49">
        <v>80.016400000000004</v>
      </c>
    </row>
    <row r="45" spans="1:8">
      <c r="A45" t="s">
        <v>1150</v>
      </c>
      <c r="B45" s="49">
        <v>52.150700000000001</v>
      </c>
      <c r="C45" s="49">
        <v>7.5467399999999998</v>
      </c>
      <c r="D45" s="49">
        <v>0.14471000000000001</v>
      </c>
      <c r="E45" s="49">
        <v>0</v>
      </c>
      <c r="F45" s="49">
        <v>32.9634</v>
      </c>
      <c r="G45" s="49">
        <v>0</v>
      </c>
      <c r="H45" s="49">
        <v>64.997600000000006</v>
      </c>
    </row>
    <row r="46" spans="1:8">
      <c r="A46" t="s">
        <v>1151</v>
      </c>
      <c r="B46" s="49">
        <v>32.7592</v>
      </c>
      <c r="C46" s="49">
        <v>3.26512</v>
      </c>
      <c r="D46" s="49">
        <v>9.9670499999999995E-2</v>
      </c>
      <c r="E46" s="49">
        <v>0</v>
      </c>
      <c r="F46" s="49">
        <v>25.110600000000002</v>
      </c>
      <c r="G46" s="49">
        <v>0</v>
      </c>
      <c r="H46" s="49">
        <v>35.910800000000002</v>
      </c>
    </row>
    <row r="47" spans="1:8">
      <c r="A47" t="s">
        <v>1152</v>
      </c>
      <c r="B47" s="49">
        <v>0.98544699999999996</v>
      </c>
      <c r="C47" s="49">
        <v>0.453212</v>
      </c>
      <c r="D47" s="49">
        <v>0.45990500000000001</v>
      </c>
      <c r="E47" s="49">
        <v>0</v>
      </c>
      <c r="F47" s="49">
        <v>0.28745999999999999</v>
      </c>
      <c r="G47" s="49">
        <v>0</v>
      </c>
      <c r="H47" s="49">
        <v>2.01606</v>
      </c>
    </row>
    <row r="48" spans="1:8">
      <c r="A48" t="s">
        <v>1153</v>
      </c>
      <c r="B48" s="49">
        <v>1.0189299999999999</v>
      </c>
      <c r="C48" s="49">
        <v>0.105253</v>
      </c>
      <c r="D48" s="49">
        <v>0.103298</v>
      </c>
      <c r="E48" s="49">
        <v>0</v>
      </c>
      <c r="F48" s="49">
        <v>0.84019500000000003</v>
      </c>
      <c r="G48" s="49">
        <v>0</v>
      </c>
      <c r="H48" s="49">
        <v>1.2108099999999999</v>
      </c>
    </row>
    <row r="50" spans="1:4">
      <c r="A50" t="str">
        <f>lang!B7</f>
        <v>긍정감정</v>
      </c>
      <c r="B50" s="134">
        <f>SUM(B9:B12)</f>
        <v>246.02379999999999</v>
      </c>
      <c r="C50" s="134"/>
      <c r="D50" s="134">
        <f t="shared" ref="D50" si="0">SUM(D9:D12)</f>
        <v>23.835979999999999</v>
      </c>
    </row>
    <row r="51" spans="1:4">
      <c r="A51" t="str">
        <f>lang!B8</f>
        <v>부정감정</v>
      </c>
      <c r="B51" s="134">
        <f>SUM(B5:B8)</f>
        <v>138.87280000000001</v>
      </c>
      <c r="C51" s="134"/>
      <c r="D51" s="134">
        <f t="shared" ref="D51" si="1">SUM(D5:D8)</f>
        <v>28.932739999999999</v>
      </c>
    </row>
    <row r="52" spans="1:4">
      <c r="A52" t="str">
        <f>lang!B9</f>
        <v>생리감정</v>
      </c>
      <c r="B52" s="134">
        <f>SUM(B13:B14)</f>
        <v>29.127209999999998</v>
      </c>
      <c r="C52" s="134"/>
      <c r="D52" s="134">
        <f t="shared" ref="D52" si="2">SUM(D13:D14)</f>
        <v>27.157119999999999</v>
      </c>
    </row>
    <row r="53" spans="1:4">
      <c r="B53" s="50">
        <f>SUM(B50:B52)</f>
        <v>414.02381000000003</v>
      </c>
      <c r="D53" s="50">
        <f>SUM(D50:D52)</f>
        <v>79.925839999999994</v>
      </c>
    </row>
    <row r="54" spans="1:4">
      <c r="A54" t="str">
        <f>lang!B7</f>
        <v>긍정감정</v>
      </c>
      <c r="B54" s="135">
        <f>IF(B$53&lt;&gt;0,B50/B$53,0)</f>
        <v>0.59422621128963571</v>
      </c>
      <c r="C54" s="135"/>
      <c r="D54" s="135">
        <f>IF(D$53&lt;&gt;0,D50/D$53,0)</f>
        <v>0.2982262056926771</v>
      </c>
    </row>
    <row r="55" spans="1:4">
      <c r="A55" t="str">
        <f>lang!B8</f>
        <v>부정감정</v>
      </c>
      <c r="B55" s="135">
        <f>IF(B$53&lt;&gt;0,B51/B$53,0)</f>
        <v>0.33542225506306028</v>
      </c>
      <c r="C55" s="135"/>
      <c r="D55" s="135">
        <f>IF(D$53&lt;&gt;0,D51/D$53,0)</f>
        <v>0.36199481919739601</v>
      </c>
    </row>
    <row r="56" spans="1:4">
      <c r="A56" t="str">
        <f>lang!B9</f>
        <v>생리감정</v>
      </c>
      <c r="B56" s="135">
        <f>IF(B$53&lt;&gt;0,B52/B$53,0)</f>
        <v>7.0351533647303996E-2</v>
      </c>
      <c r="C56" s="135"/>
      <c r="D56" s="135">
        <f>IF(D$53&lt;&gt;0,D52/D$53,0)</f>
        <v>0.33977897510992694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11.677300000000001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1.6E-2</v>
      </c>
      <c r="B8" s="49">
        <v>1.6E-2</v>
      </c>
    </row>
    <row r="9" spans="1:3">
      <c r="A9" s="49">
        <v>0</v>
      </c>
      <c r="B9" s="49">
        <v>0</v>
      </c>
    </row>
    <row r="10" spans="1:3">
      <c r="A10" s="49">
        <v>0.278667</v>
      </c>
      <c r="B10" s="49">
        <v>0.278667</v>
      </c>
    </row>
    <row r="11" spans="1:3">
      <c r="A11" s="49">
        <v>0.14266699999999999</v>
      </c>
      <c r="B11" s="49">
        <v>0.14266699999999999</v>
      </c>
    </row>
    <row r="12" spans="1:3">
      <c r="A12" s="49">
        <v>0</v>
      </c>
      <c r="B12" s="49">
        <v>0</v>
      </c>
    </row>
    <row r="13" spans="1:3">
      <c r="A13" s="49">
        <v>2.8866700000000001</v>
      </c>
      <c r="B13" s="49">
        <v>2.8866700000000001</v>
      </c>
    </row>
    <row r="14" spans="1:3">
      <c r="A14" s="49">
        <v>1.2613300000000001</v>
      </c>
      <c r="B14" s="49">
        <v>1.2613300000000001</v>
      </c>
    </row>
    <row r="15" spans="1:3">
      <c r="A15" s="49">
        <v>1.1319999999999999</v>
      </c>
      <c r="B15" s="49">
        <v>1.1319999999999999</v>
      </c>
    </row>
    <row r="16" spans="1:3">
      <c r="A16" s="49">
        <v>1.42133</v>
      </c>
      <c r="B16" s="49">
        <v>1.42133</v>
      </c>
    </row>
    <row r="17" spans="1:2">
      <c r="A17" s="49">
        <v>0.63600000000000001</v>
      </c>
      <c r="B17" s="49">
        <v>0.63600000000000001</v>
      </c>
    </row>
    <row r="18" spans="1:2">
      <c r="A18" s="49">
        <v>3.0013299999999998</v>
      </c>
      <c r="B18" s="49">
        <v>3.0013299999999998</v>
      </c>
    </row>
    <row r="19" spans="1:2">
      <c r="A19" s="49">
        <v>2.4346700000000001</v>
      </c>
      <c r="B19" s="49">
        <v>2.4346700000000001</v>
      </c>
    </row>
    <row r="20" spans="1:2">
      <c r="A20" s="49">
        <v>0.99066699999999996</v>
      </c>
      <c r="B20" s="49">
        <v>0.99066699999999996</v>
      </c>
    </row>
    <row r="21" spans="1:2">
      <c r="A21" s="49">
        <v>0.52533300000000005</v>
      </c>
      <c r="B21" s="49">
        <v>0.52533300000000005</v>
      </c>
    </row>
    <row r="22" spans="1:2">
      <c r="A22" s="49">
        <v>0.18133299999999999</v>
      </c>
      <c r="B22" s="49">
        <v>0.18133299999999999</v>
      </c>
    </row>
    <row r="23" spans="1:2">
      <c r="A23" s="49">
        <v>0.67733299999999996</v>
      </c>
      <c r="B23" s="49">
        <v>0.67733299999999996</v>
      </c>
    </row>
    <row r="24" spans="1:2">
      <c r="A24" s="49">
        <v>0.63600000000000001</v>
      </c>
      <c r="B24" s="49">
        <v>0.63600000000000001</v>
      </c>
    </row>
    <row r="25" spans="1:2">
      <c r="A25" s="49">
        <v>0.530667</v>
      </c>
      <c r="B25" s="49">
        <v>0.530667</v>
      </c>
    </row>
    <row r="26" spans="1:2">
      <c r="A26" s="49">
        <v>0.87333300000000003</v>
      </c>
      <c r="B26" s="49">
        <v>0.87333300000000003</v>
      </c>
    </row>
    <row r="27" spans="1:2">
      <c r="A27" s="49">
        <v>0.49199999999999999</v>
      </c>
      <c r="B27" s="49">
        <v>0.49199999999999999</v>
      </c>
    </row>
    <row r="28" spans="1:2">
      <c r="A28" s="49">
        <v>1.7226699999999999</v>
      </c>
      <c r="B28" s="49">
        <v>1.7226699999999999</v>
      </c>
    </row>
    <row r="29" spans="1:2">
      <c r="A29" s="49">
        <v>1.2533300000000001</v>
      </c>
      <c r="B29" s="49">
        <v>1.2533300000000001</v>
      </c>
    </row>
    <row r="30" spans="1:2">
      <c r="A30" s="49">
        <v>0.98</v>
      </c>
      <c r="B30" s="49">
        <v>0.98</v>
      </c>
    </row>
    <row r="31" spans="1:2">
      <c r="A31" s="49">
        <v>3.35467</v>
      </c>
      <c r="B31" s="49">
        <v>3.35467</v>
      </c>
    </row>
    <row r="32" spans="1:2">
      <c r="A32" s="49">
        <v>1.2066699999999999</v>
      </c>
      <c r="B32" s="49">
        <v>1.2066699999999999</v>
      </c>
    </row>
    <row r="33" spans="1:2">
      <c r="A33" s="49">
        <v>3.2533300000000001</v>
      </c>
      <c r="B33" s="49">
        <v>3.2533300000000001</v>
      </c>
    </row>
    <row r="34" spans="1:2">
      <c r="A34" s="49">
        <v>2.016</v>
      </c>
      <c r="B34" s="49">
        <v>2.016</v>
      </c>
    </row>
    <row r="35" spans="1:2">
      <c r="A35" s="49">
        <v>1.32</v>
      </c>
      <c r="B35" s="49">
        <v>1.32</v>
      </c>
    </row>
    <row r="36" spans="1:2">
      <c r="A36" s="49">
        <v>2.5426700000000002</v>
      </c>
      <c r="B36" s="49">
        <v>2.5426700000000002</v>
      </c>
    </row>
    <row r="37" spans="1:2">
      <c r="A37" s="49">
        <v>1.6479999999999999</v>
      </c>
      <c r="B37" s="49">
        <v>1.6479999999999999</v>
      </c>
    </row>
    <row r="38" spans="1:2">
      <c r="A38" s="49">
        <v>0.57733299999999999</v>
      </c>
      <c r="B38" s="49">
        <v>0.57733299999999999</v>
      </c>
    </row>
    <row r="39" spans="1:2">
      <c r="A39" s="49">
        <v>2.6640000000000001</v>
      </c>
      <c r="B39" s="49">
        <v>2.6640000000000001</v>
      </c>
    </row>
    <row r="40" spans="1:2">
      <c r="A40" s="49">
        <v>1.0760000000000001</v>
      </c>
      <c r="B40" s="49">
        <v>1.0760000000000001</v>
      </c>
    </row>
    <row r="41" spans="1:2">
      <c r="A41" s="49">
        <v>2.7266699999999999</v>
      </c>
      <c r="B41" s="49">
        <v>2.7266699999999999</v>
      </c>
    </row>
    <row r="42" spans="1:2">
      <c r="A42" s="49">
        <v>1.83067</v>
      </c>
      <c r="B42" s="49">
        <v>1.83067</v>
      </c>
    </row>
    <row r="43" spans="1:2">
      <c r="A43" s="49">
        <v>1.056</v>
      </c>
      <c r="B43" s="49">
        <v>1.056</v>
      </c>
    </row>
    <row r="44" spans="1:2">
      <c r="A44" s="49">
        <v>3.1026699999999998</v>
      </c>
      <c r="B44" s="49">
        <v>3.1026699999999998</v>
      </c>
    </row>
    <row r="45" spans="1:2">
      <c r="A45" s="49">
        <v>2.5133299999999998</v>
      </c>
      <c r="B45" s="49">
        <v>2.5133299999999998</v>
      </c>
    </row>
    <row r="46" spans="1:2">
      <c r="A46" s="49">
        <v>3.02</v>
      </c>
      <c r="B46" s="49">
        <v>3.02</v>
      </c>
    </row>
    <row r="47" spans="1:2">
      <c r="A47" s="49">
        <v>1.93333</v>
      </c>
      <c r="B47" s="49">
        <v>1.93333</v>
      </c>
    </row>
    <row r="48" spans="1:2">
      <c r="A48" s="49">
        <v>1.9106700000000001</v>
      </c>
      <c r="B48" s="49">
        <v>1.9106700000000001</v>
      </c>
    </row>
    <row r="49" spans="1:2">
      <c r="A49" s="49">
        <v>4.82667</v>
      </c>
      <c r="B49" s="49">
        <v>4.82667</v>
      </c>
    </row>
    <row r="50" spans="1:2">
      <c r="A50" s="49">
        <v>2.3053300000000001</v>
      </c>
      <c r="B50" s="49">
        <v>2.3053300000000001</v>
      </c>
    </row>
    <row r="51" spans="1:2">
      <c r="A51" s="49">
        <v>5.25467</v>
      </c>
      <c r="B51" s="49">
        <v>5.25467</v>
      </c>
    </row>
    <row r="52" spans="1:2">
      <c r="A52" s="49">
        <v>2.5613299999999999</v>
      </c>
      <c r="B52" s="49">
        <v>2.5613299999999999</v>
      </c>
    </row>
    <row r="53" spans="1:2">
      <c r="A53" s="49">
        <v>1.2893300000000001</v>
      </c>
      <c r="B53" s="49">
        <v>1.2893300000000001</v>
      </c>
    </row>
    <row r="54" spans="1:2">
      <c r="A54" s="49">
        <v>5.1533300000000004</v>
      </c>
      <c r="B54" s="49">
        <v>5.1533300000000004</v>
      </c>
    </row>
    <row r="55" spans="1:2">
      <c r="A55" s="49">
        <v>2.24133</v>
      </c>
      <c r="B55" s="49">
        <v>2.24133</v>
      </c>
    </row>
    <row r="56" spans="1:2">
      <c r="A56" s="49">
        <v>2.3173300000000001</v>
      </c>
      <c r="B56" s="49">
        <v>2.3173300000000001</v>
      </c>
    </row>
    <row r="57" spans="1:2">
      <c r="A57" s="49">
        <v>4.17333</v>
      </c>
      <c r="B57" s="49">
        <v>4.17333</v>
      </c>
    </row>
    <row r="58" spans="1:2">
      <c r="A58" s="49">
        <v>1.284</v>
      </c>
      <c r="B58" s="49">
        <v>1.284</v>
      </c>
    </row>
    <row r="59" spans="1:2">
      <c r="A59" s="49">
        <v>3.2040000000000002</v>
      </c>
      <c r="B59" s="49">
        <v>3.2040000000000002</v>
      </c>
    </row>
    <row r="60" spans="1:2">
      <c r="A60" s="49">
        <v>1.7226699999999999</v>
      </c>
      <c r="B60" s="49">
        <v>1.7226699999999999</v>
      </c>
    </row>
    <row r="61" spans="1:2">
      <c r="A61" s="49">
        <v>1.42133</v>
      </c>
      <c r="B61" s="49">
        <v>1.42133</v>
      </c>
    </row>
    <row r="62" spans="1:2">
      <c r="A62" s="49">
        <v>3.448</v>
      </c>
      <c r="B62" s="49">
        <v>3.448</v>
      </c>
    </row>
    <row r="63" spans="1:2">
      <c r="A63" s="49">
        <v>1.53467</v>
      </c>
      <c r="B63" s="49">
        <v>1.53467</v>
      </c>
    </row>
    <row r="64" spans="1:2">
      <c r="A64" s="49">
        <v>3.0826699999999998</v>
      </c>
      <c r="B64" s="49">
        <v>3.0826699999999998</v>
      </c>
    </row>
    <row r="65" spans="1:2">
      <c r="A65" s="49">
        <v>1.4706699999999999</v>
      </c>
      <c r="B65" s="49">
        <v>1.4706699999999999</v>
      </c>
    </row>
    <row r="66" spans="1:2">
      <c r="A66" s="49">
        <v>2.4106700000000001</v>
      </c>
      <c r="B66" s="49">
        <v>2.4106700000000001</v>
      </c>
    </row>
    <row r="67" spans="1:2">
      <c r="A67" s="49">
        <v>3.1640000000000001</v>
      </c>
      <c r="B67" s="49">
        <v>3.1640000000000001</v>
      </c>
    </row>
    <row r="68" spans="1:2">
      <c r="A68" s="49">
        <v>3.4733299999999998</v>
      </c>
      <c r="B68" s="49">
        <v>3.4733299999999998</v>
      </c>
    </row>
    <row r="69" spans="1:2">
      <c r="A69" s="49">
        <v>4.4400000000000004</v>
      </c>
      <c r="B69" s="49">
        <v>4.4400000000000004</v>
      </c>
    </row>
    <row r="70" spans="1:2">
      <c r="A70" s="49">
        <v>2.6626699999999999</v>
      </c>
      <c r="B70" s="49">
        <v>2.6626699999999999</v>
      </c>
    </row>
    <row r="71" spans="1:2">
      <c r="A71" s="49">
        <v>2.68</v>
      </c>
      <c r="B71" s="49">
        <v>2.68</v>
      </c>
    </row>
    <row r="72" spans="1:2">
      <c r="A72" s="49">
        <v>5.5519999999999996</v>
      </c>
      <c r="B72" s="49">
        <v>5.5519999999999996</v>
      </c>
    </row>
    <row r="73" spans="1:2">
      <c r="A73" s="49">
        <v>3.1120000000000001</v>
      </c>
      <c r="B73" s="49">
        <v>3.1120000000000001</v>
      </c>
    </row>
    <row r="74" spans="1:2">
      <c r="A74" s="49">
        <v>1.8253299999999999</v>
      </c>
      <c r="B74" s="49">
        <v>1.8253299999999999</v>
      </c>
    </row>
    <row r="75" spans="1:2">
      <c r="A75" s="49">
        <v>5.1186699999999998</v>
      </c>
      <c r="B75" s="49">
        <v>5.1186699999999998</v>
      </c>
    </row>
    <row r="76" spans="1:2">
      <c r="A76" s="49">
        <v>1.58667</v>
      </c>
      <c r="B76" s="49">
        <v>1.58667</v>
      </c>
    </row>
    <row r="77" spans="1:2">
      <c r="A77" s="49">
        <v>6.6120000000000001</v>
      </c>
      <c r="B77" s="49">
        <v>6.6120000000000001</v>
      </c>
    </row>
    <row r="78" spans="1:2">
      <c r="A78" s="49">
        <v>2.26667</v>
      </c>
      <c r="B78" s="49">
        <v>2.26667</v>
      </c>
    </row>
    <row r="79" spans="1:2">
      <c r="A79" s="49">
        <v>1.9386699999999999</v>
      </c>
      <c r="B79" s="49">
        <v>1.9386699999999999</v>
      </c>
    </row>
    <row r="80" spans="1:2">
      <c r="A80" s="49">
        <v>6.7666700000000004</v>
      </c>
      <c r="B80" s="49">
        <v>6.7666700000000004</v>
      </c>
    </row>
    <row r="81" spans="1:2">
      <c r="A81" s="49">
        <v>3.1520000000000001</v>
      </c>
      <c r="B81" s="49">
        <v>3.1520000000000001</v>
      </c>
    </row>
    <row r="82" spans="1:2">
      <c r="A82" s="49">
        <v>6.1639999999999997</v>
      </c>
      <c r="B82" s="49">
        <v>6.1639999999999997</v>
      </c>
    </row>
    <row r="83" spans="1:2">
      <c r="A83" s="49">
        <v>3.2426699999999999</v>
      </c>
      <c r="B83" s="49">
        <v>3.2426699999999999</v>
      </c>
    </row>
    <row r="84" spans="1:2">
      <c r="A84" s="49">
        <v>2.6160000000000001</v>
      </c>
      <c r="B84" s="49">
        <v>2.6160000000000001</v>
      </c>
    </row>
    <row r="85" spans="1:2">
      <c r="A85" s="49">
        <v>6.5813300000000003</v>
      </c>
      <c r="B85" s="49">
        <v>6.5813300000000003</v>
      </c>
    </row>
    <row r="86" spans="1:2">
      <c r="A86" s="49">
        <v>3.8493300000000001</v>
      </c>
      <c r="B86" s="49">
        <v>3.8493300000000001</v>
      </c>
    </row>
    <row r="87" spans="1:2">
      <c r="A87" s="49">
        <v>3.1360000000000001</v>
      </c>
      <c r="B87" s="49">
        <v>3.1360000000000001</v>
      </c>
    </row>
    <row r="88" spans="1:2">
      <c r="A88" s="49">
        <v>11.677300000000001</v>
      </c>
      <c r="B88" s="49">
        <v>11.677300000000001</v>
      </c>
    </row>
    <row r="89" spans="1:2">
      <c r="A89" s="49">
        <v>2.7573300000000001</v>
      </c>
      <c r="B89" s="49">
        <v>2.7573300000000001</v>
      </c>
    </row>
    <row r="90" spans="1:2">
      <c r="A90" s="49">
        <v>7.5586700000000002</v>
      </c>
      <c r="B90" s="49">
        <v>7.5586700000000002</v>
      </c>
    </row>
    <row r="91" spans="1:2">
      <c r="A91" s="49">
        <v>4.1266699999999998</v>
      </c>
      <c r="B91" s="49">
        <v>4.1266699999999998</v>
      </c>
    </row>
    <row r="92" spans="1:2">
      <c r="A92" s="49">
        <v>3.2240000000000002</v>
      </c>
      <c r="B92" s="49">
        <v>3.2240000000000002</v>
      </c>
    </row>
    <row r="93" spans="1:2">
      <c r="A93" s="49">
        <v>8.6853300000000004</v>
      </c>
      <c r="B93" s="49">
        <v>8.6853300000000004</v>
      </c>
    </row>
    <row r="94" spans="1:2">
      <c r="A94" s="49">
        <v>4.2986700000000004</v>
      </c>
      <c r="B94" s="49">
        <v>4.2986700000000004</v>
      </c>
    </row>
    <row r="95" spans="1:2">
      <c r="A95" s="49">
        <v>10.0467</v>
      </c>
      <c r="B95" s="49">
        <v>10.0467</v>
      </c>
    </row>
    <row r="96" spans="1:2">
      <c r="A96" s="49">
        <v>4.3786699999999996</v>
      </c>
      <c r="B96" s="49">
        <v>4.3786699999999996</v>
      </c>
    </row>
    <row r="97" spans="1:2">
      <c r="A97" s="49">
        <v>4.28</v>
      </c>
      <c r="B97" s="49">
        <v>4.28</v>
      </c>
    </row>
    <row r="98" spans="1:2">
      <c r="A98" s="49">
        <v>10.001300000000001</v>
      </c>
      <c r="B98" s="49">
        <v>10.001300000000001</v>
      </c>
    </row>
    <row r="99" spans="1:2">
      <c r="A99" s="49">
        <v>3.8786700000000001</v>
      </c>
      <c r="B99" s="49">
        <v>3.8786700000000001</v>
      </c>
    </row>
    <row r="100" spans="1:2">
      <c r="A100" s="49">
        <v>11.273300000000001</v>
      </c>
      <c r="B100" s="49">
        <v>11.273300000000001</v>
      </c>
    </row>
    <row r="101" spans="1:2">
      <c r="A101" s="49">
        <v>4.8879999999999999</v>
      </c>
      <c r="B101" s="49">
        <v>4.8879999999999999</v>
      </c>
    </row>
    <row r="102" spans="1:2">
      <c r="A102" s="49">
        <v>5.1373300000000004</v>
      </c>
      <c r="B102" s="49">
        <v>5.1373300000000004</v>
      </c>
    </row>
    <row r="103" spans="1:2">
      <c r="A103" s="49">
        <v>10.698700000000001</v>
      </c>
      <c r="B103" s="49">
        <v>10.698700000000001</v>
      </c>
    </row>
    <row r="104" spans="1:2">
      <c r="A104" s="49">
        <v>2.5866699999999998</v>
      </c>
      <c r="B104" s="49">
        <v>2.5866699999999998</v>
      </c>
    </row>
    <row r="105" spans="1:2">
      <c r="A105" s="49">
        <v>4.6026699999999998</v>
      </c>
      <c r="B105" s="49">
        <v>4.6026699999999998</v>
      </c>
    </row>
    <row r="106" spans="1:2">
      <c r="A106" s="49">
        <v>10</v>
      </c>
      <c r="B106" s="49">
        <v>10</v>
      </c>
    </row>
    <row r="107" spans="1:2">
      <c r="A107" s="49">
        <v>4.2839999999999998</v>
      </c>
      <c r="B107" s="49">
        <v>4.2839999999999998</v>
      </c>
    </row>
    <row r="108" spans="1:2">
      <c r="A108" s="49">
        <v>8.02</v>
      </c>
      <c r="B108" s="49">
        <v>8.02</v>
      </c>
    </row>
    <row r="109" spans="1:2">
      <c r="A109" s="49">
        <v>5.0640000000000001</v>
      </c>
      <c r="B109" s="49">
        <v>5.0640000000000001</v>
      </c>
    </row>
    <row r="110" spans="1:2">
      <c r="A110" s="49">
        <v>2.8933300000000002</v>
      </c>
      <c r="B110" s="49">
        <v>2.8933300000000002</v>
      </c>
    </row>
    <row r="111" spans="1:2">
      <c r="A111" s="49">
        <v>8.9106699999999996</v>
      </c>
      <c r="B111" s="49">
        <v>8.9106699999999996</v>
      </c>
    </row>
    <row r="112" spans="1:2">
      <c r="A112" s="49">
        <v>3.18933</v>
      </c>
      <c r="B112" s="49">
        <v>3.18933</v>
      </c>
    </row>
    <row r="113" spans="1:2">
      <c r="A113" s="49">
        <v>9.4960000000000004</v>
      </c>
      <c r="B113" s="49">
        <v>9.4960000000000004</v>
      </c>
    </row>
    <row r="114" spans="1:2">
      <c r="A114" s="49">
        <v>3.9293300000000002</v>
      </c>
      <c r="B114" s="49">
        <v>3.9293300000000002</v>
      </c>
    </row>
    <row r="115" spans="1:2">
      <c r="A115" s="49">
        <v>2.952</v>
      </c>
      <c r="B115" s="49">
        <v>2.952</v>
      </c>
    </row>
    <row r="116" spans="1:2">
      <c r="A116" s="49">
        <v>10.172000000000001</v>
      </c>
      <c r="B116" s="49">
        <v>10.172000000000001</v>
      </c>
    </row>
    <row r="117" spans="1:2">
      <c r="A117" s="49">
        <v>4.5293299999999999</v>
      </c>
      <c r="B117" s="49">
        <v>4.5293299999999999</v>
      </c>
    </row>
    <row r="118" spans="1:2">
      <c r="A118" s="49">
        <v>9.1319999999999997</v>
      </c>
      <c r="B118" s="49">
        <v>9.1319999999999997</v>
      </c>
    </row>
    <row r="119" spans="1:2">
      <c r="A119" s="49">
        <v>4.77067</v>
      </c>
      <c r="B119" s="49">
        <v>4.77067</v>
      </c>
    </row>
    <row r="120" spans="1:2">
      <c r="A120" s="49">
        <v>4.4533300000000002</v>
      </c>
      <c r="B120" s="49">
        <v>4.4533300000000002</v>
      </c>
    </row>
    <row r="121" spans="1:2">
      <c r="A121" s="49">
        <v>8.3719999999999999</v>
      </c>
      <c r="B121" s="49">
        <v>8.3719999999999999</v>
      </c>
    </row>
    <row r="122" spans="1:2">
      <c r="A122" s="49">
        <v>5.5346700000000002</v>
      </c>
      <c r="B122" s="49">
        <v>5.5346700000000002</v>
      </c>
    </row>
    <row r="123" spans="1:2">
      <c r="A123" s="49">
        <v>5.67333</v>
      </c>
      <c r="B123" s="49">
        <v>5.67333</v>
      </c>
    </row>
    <row r="124" spans="1:2">
      <c r="A124" s="49">
        <v>7.8533299999999997</v>
      </c>
      <c r="B124" s="49">
        <v>7.8533299999999997</v>
      </c>
    </row>
    <row r="125" spans="1:2">
      <c r="A125" s="49">
        <v>3.3919999999999999</v>
      </c>
      <c r="B125" s="49">
        <v>3.3919999999999999</v>
      </c>
    </row>
    <row r="126" spans="1:2">
      <c r="A126" s="49">
        <v>11.4613</v>
      </c>
      <c r="B126" s="49">
        <v>11.4613</v>
      </c>
    </row>
    <row r="127" spans="1:2">
      <c r="A127" s="49">
        <v>5.3786699999999996</v>
      </c>
      <c r="B127" s="49">
        <v>5.3786699999999996</v>
      </c>
    </row>
    <row r="128" spans="1:2">
      <c r="A128" s="49">
        <v>0</v>
      </c>
      <c r="B128" s="49">
        <v>0</v>
      </c>
    </row>
    <row r="129" spans="1:2">
      <c r="A129" s="49">
        <v>10.7387</v>
      </c>
      <c r="B129" s="49">
        <v>10.7387</v>
      </c>
    </row>
    <row r="130" spans="1:2">
      <c r="A130" s="49">
        <v>4.9279999999999999</v>
      </c>
      <c r="B130" s="49">
        <v>4.9279999999999999</v>
      </c>
    </row>
    <row r="131" spans="1:2">
      <c r="A131" s="49">
        <v>9.0760000000000005</v>
      </c>
      <c r="B131" s="49">
        <v>9.0760000000000005</v>
      </c>
    </row>
    <row r="132" spans="1:2">
      <c r="A132" s="49">
        <v>0</v>
      </c>
      <c r="B132" s="49">
        <v>0</v>
      </c>
    </row>
    <row r="133" spans="1:2">
      <c r="A133" s="49">
        <v>4.79467</v>
      </c>
      <c r="B133" s="49">
        <v>4.79467</v>
      </c>
    </row>
    <row r="134" spans="1:2">
      <c r="A134" s="49">
        <v>8.2386700000000008</v>
      </c>
      <c r="B134" s="49">
        <v>8.2386700000000008</v>
      </c>
    </row>
    <row r="135" spans="1:2">
      <c r="A135" s="49">
        <v>2.0453299999999999</v>
      </c>
      <c r="B135" s="49">
        <v>2.0453299999999999</v>
      </c>
    </row>
    <row r="136" spans="1:2">
      <c r="A136" s="49">
        <v>5.1613300000000004</v>
      </c>
      <c r="B136" s="49">
        <v>5.1613300000000004</v>
      </c>
    </row>
    <row r="137" spans="1:2">
      <c r="A137" s="49">
        <v>3.42</v>
      </c>
      <c r="B137" s="49">
        <v>3.42</v>
      </c>
    </row>
    <row r="138" spans="1:2">
      <c r="A138" s="49">
        <v>1.80267</v>
      </c>
      <c r="B138" s="49">
        <v>1.80267</v>
      </c>
    </row>
    <row r="139" spans="1:2">
      <c r="A139" s="49">
        <v>3.3679999999999999</v>
      </c>
      <c r="B139" s="49">
        <v>3.3679999999999999</v>
      </c>
    </row>
    <row r="140" spans="1:2">
      <c r="A140" s="49">
        <v>2.2226699999999999</v>
      </c>
      <c r="B140" s="49">
        <v>2.2226699999999999</v>
      </c>
    </row>
    <row r="141" spans="1:2">
      <c r="A141" s="49">
        <v>1.6386700000000001</v>
      </c>
      <c r="B141" s="49">
        <v>1.6386700000000001</v>
      </c>
    </row>
    <row r="142" spans="1:2">
      <c r="A142" s="49">
        <v>2.77067</v>
      </c>
      <c r="B142" s="49">
        <v>2.77067</v>
      </c>
    </row>
    <row r="143" spans="1:2">
      <c r="A143" s="49">
        <v>0.97599999999999998</v>
      </c>
      <c r="B143" s="49">
        <v>0.97599999999999998</v>
      </c>
    </row>
    <row r="144" spans="1:2">
      <c r="A144" s="49">
        <v>1.8879999999999999</v>
      </c>
      <c r="B144" s="49">
        <v>1.8879999999999999</v>
      </c>
    </row>
    <row r="145" spans="1:2">
      <c r="A145" s="49">
        <v>1.03867</v>
      </c>
      <c r="B145" s="49">
        <v>1.03867</v>
      </c>
    </row>
    <row r="146" spans="1:2">
      <c r="A146" s="49">
        <v>0.64400000000000002</v>
      </c>
      <c r="B146" s="49">
        <v>0.64400000000000002</v>
      </c>
    </row>
    <row r="147" spans="1:2">
      <c r="A147" s="49">
        <v>1.74533</v>
      </c>
      <c r="B147" s="49">
        <v>1.74533</v>
      </c>
    </row>
    <row r="148" spans="1:2">
      <c r="A148" s="49">
        <v>0.66133299999999995</v>
      </c>
      <c r="B148" s="49">
        <v>0.66133299999999995</v>
      </c>
    </row>
    <row r="149" spans="1:2">
      <c r="A149" s="49">
        <v>1.33467</v>
      </c>
      <c r="B149" s="49">
        <v>1.33467</v>
      </c>
    </row>
    <row r="150" spans="1:2">
      <c r="A150" s="49">
        <v>0.64</v>
      </c>
      <c r="B150" s="49">
        <v>0.64</v>
      </c>
    </row>
    <row r="151" spans="1:2">
      <c r="A151" s="49">
        <v>0.69599999999999995</v>
      </c>
      <c r="B151" s="49">
        <v>0.69599999999999995</v>
      </c>
    </row>
    <row r="152" spans="1:2">
      <c r="A152" s="49">
        <v>0.66533299999999995</v>
      </c>
      <c r="B152" s="49">
        <v>0.66533299999999995</v>
      </c>
    </row>
    <row r="153" spans="1:2">
      <c r="A153" s="49">
        <v>0.26400000000000001</v>
      </c>
      <c r="B153" s="49">
        <v>0.26400000000000001</v>
      </c>
    </row>
    <row r="154" spans="1:2">
      <c r="A154" s="49">
        <v>0.66266700000000001</v>
      </c>
      <c r="B154" s="49">
        <v>0.66266700000000001</v>
      </c>
    </row>
    <row r="155" spans="1:2">
      <c r="A155" s="49">
        <v>0.10266699999999999</v>
      </c>
      <c r="B155" s="49">
        <v>0.10266699999999999</v>
      </c>
    </row>
    <row r="156" spans="1:2">
      <c r="A156" s="49">
        <v>0.19866700000000001</v>
      </c>
      <c r="B156" s="49">
        <v>0.19866700000000001</v>
      </c>
    </row>
    <row r="157" spans="1:2">
      <c r="A157" s="49">
        <v>0.64933300000000005</v>
      </c>
      <c r="B157" s="49">
        <v>0.64933300000000005</v>
      </c>
    </row>
    <row r="158" spans="1:2">
      <c r="A158" s="49">
        <v>0.282667</v>
      </c>
      <c r="B158" s="49">
        <v>0.282667</v>
      </c>
    </row>
    <row r="159" spans="1:2">
      <c r="A159" s="49">
        <v>0.18</v>
      </c>
      <c r="B159" s="49">
        <v>0.18</v>
      </c>
    </row>
    <row r="160" spans="1:2">
      <c r="A160" s="49">
        <v>0.30666700000000002</v>
      </c>
      <c r="B160" s="49">
        <v>0.30666700000000002</v>
      </c>
    </row>
    <row r="161" spans="1:2">
      <c r="A161" s="49">
        <v>0</v>
      </c>
      <c r="B161" s="49">
        <v>0</v>
      </c>
    </row>
    <row r="162" spans="1:2">
      <c r="A162" s="49">
        <v>0.06</v>
      </c>
      <c r="B162" s="49">
        <v>0.06</v>
      </c>
    </row>
    <row r="163" spans="1:2">
      <c r="A163" s="49">
        <v>0.122667</v>
      </c>
      <c r="B163" s="49">
        <v>0.122667</v>
      </c>
    </row>
    <row r="164" spans="1:2">
      <c r="A164" s="49">
        <v>6.13333E-2</v>
      </c>
      <c r="B164" s="49">
        <v>6.13333E-2</v>
      </c>
    </row>
    <row r="165" spans="1:2">
      <c r="A165" s="49">
        <v>6.13333E-2</v>
      </c>
      <c r="B165" s="49">
        <v>6.13333E-2</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0.36004000000000003</v>
      </c>
      <c r="B2" s="49">
        <v>0.35190700000000003</v>
      </c>
      <c r="C2">
        <v>0</v>
      </c>
      <c r="D2">
        <v>0</v>
      </c>
      <c r="E2" t="s">
        <v>1161</v>
      </c>
      <c r="F2" s="49">
        <f>IF(A2&lt;&gt;"",1,"")</f>
        <v>1</v>
      </c>
      <c r="G2">
        <f>IF($H8&gt;0,LOOKUP(COUNT(A2:A1000)*$H8,F2:F1000,A2:A1000),LOOKUP(1,F2:F1000,A2:A1000))</f>
        <v>0.35859200000000002</v>
      </c>
      <c r="H2">
        <f>IF($H8&gt;0,LOOKUP(COUNT(B2:B1000)*$H8,F2:F1000,B2:B1000),LOOKUP(1,F2:F1000,B2:B1000))</f>
        <v>0.35489700000000002</v>
      </c>
      <c r="J2" s="49">
        <f>IF(A2&lt;&gt;"",A2*10,"")</f>
        <v>3.6004000000000005</v>
      </c>
      <c r="K2" s="49">
        <f>IF(B2&lt;&gt;"",B2*100,"")</f>
        <v>35.1907</v>
      </c>
      <c r="L2" s="49">
        <f>IF(F2&lt;&gt;"",IF(K2&lt;&gt;0,K2/J2,0),"")</f>
        <v>9.7741084323963996</v>
      </c>
    </row>
    <row r="3" spans="1:12">
      <c r="A3" s="49">
        <v>0.35859200000000002</v>
      </c>
      <c r="B3" s="49">
        <v>0.35489700000000002</v>
      </c>
      <c r="C3">
        <v>0.39440999999999998</v>
      </c>
      <c r="D3">
        <v>0</v>
      </c>
      <c r="E3" t="s">
        <v>2560</v>
      </c>
      <c r="F3" s="49">
        <f>IF(A3&lt;&gt;"",F2+1,"")</f>
        <v>2</v>
      </c>
      <c r="G3">
        <f>IF($H9&gt;0,LOOKUP(COUNT(A2:A1000)*$H9,F2:F1000,A2:A1000),LOOKUP(1,F2:F1000,A2:A1000))</f>
        <v>0.30871100000000001</v>
      </c>
      <c r="H3">
        <f>IF($H9&gt;0,LOOKUP(COUNT(B2:B1000)*$H9,F2:F1000,B2:B1000),LOOKUP(1,F2:F1000,B2:B1000))</f>
        <v>0.53354299999999999</v>
      </c>
      <c r="J3" s="49">
        <f t="shared" ref="J3:J66" si="0">IF(A3&lt;&gt;"",A3*10,"")</f>
        <v>3.5859200000000002</v>
      </c>
      <c r="K3" s="49">
        <f t="shared" ref="K3:K66" si="1">IF(B3&lt;&gt;"",B3*100,"")</f>
        <v>35.489699999999999</v>
      </c>
      <c r="L3" s="49">
        <f t="shared" ref="L3:L66" si="2">IF(F3&lt;&gt;"",IF(K3&lt;&gt;0,K3/J3,0),"")</f>
        <v>9.8969581028020688</v>
      </c>
    </row>
    <row r="4" spans="1:12">
      <c r="A4" s="49">
        <v>0.35822799999999999</v>
      </c>
      <c r="B4" s="49">
        <v>0.360765</v>
      </c>
      <c r="C4">
        <v>0.80634700000000004</v>
      </c>
      <c r="D4">
        <v>0</v>
      </c>
      <c r="E4" t="s">
        <v>2561</v>
      </c>
      <c r="F4" s="49">
        <f t="shared" ref="F4:F67" si="3">IF(A4&lt;&gt;"",F3+1,"")</f>
        <v>3</v>
      </c>
      <c r="G4" s="71" t="s">
        <v>209</v>
      </c>
      <c r="H4" s="23">
        <f>IF(ISERROR(G3-G2)=FALSE,(G3-G2)*10,0)</f>
        <v>-0.49881000000000009</v>
      </c>
      <c r="J4" s="49">
        <f t="shared" si="0"/>
        <v>3.5822799999999999</v>
      </c>
      <c r="K4" s="49">
        <f t="shared" si="1"/>
        <v>36.076500000000003</v>
      </c>
      <c r="L4" s="49">
        <f t="shared" si="2"/>
        <v>10.07082081802651</v>
      </c>
    </row>
    <row r="5" spans="1:12">
      <c r="A5" s="49">
        <v>0.35988399999999998</v>
      </c>
      <c r="B5" s="49">
        <v>0.37020599999999998</v>
      </c>
      <c r="C5">
        <v>1.2169300000000001</v>
      </c>
      <c r="D5">
        <v>0</v>
      </c>
      <c r="E5" t="s">
        <v>2562</v>
      </c>
      <c r="F5" s="49">
        <f t="shared" si="3"/>
        <v>4</v>
      </c>
      <c r="G5" s="71" t="s">
        <v>210</v>
      </c>
      <c r="H5" s="23">
        <f>IF(ISERROR(H3-H2)=FALSE,H3-H2,0)</f>
        <v>0.17864599999999997</v>
      </c>
      <c r="J5" s="49">
        <f t="shared" si="0"/>
        <v>3.59884</v>
      </c>
      <c r="K5" s="49">
        <f t="shared" si="1"/>
        <v>37.020599999999995</v>
      </c>
      <c r="L5" s="49">
        <f t="shared" si="2"/>
        <v>10.286814640272976</v>
      </c>
    </row>
    <row r="6" spans="1:12">
      <c r="A6" s="49">
        <v>0.362485</v>
      </c>
      <c r="B6" s="49">
        <v>0.37895499999999999</v>
      </c>
      <c r="C6">
        <v>1.62923</v>
      </c>
      <c r="D6">
        <v>0</v>
      </c>
      <c r="E6" t="s">
        <v>2563</v>
      </c>
      <c r="F6" s="49">
        <f t="shared" si="3"/>
        <v>5</v>
      </c>
      <c r="G6" s="71" t="s">
        <v>211</v>
      </c>
      <c r="H6" s="23">
        <f>IF(H4&lt;&gt;0,H5/H4,0)</f>
        <v>-0.35814438363304651</v>
      </c>
      <c r="J6" s="49">
        <f t="shared" si="0"/>
        <v>3.6248499999999999</v>
      </c>
      <c r="K6" s="49">
        <f t="shared" si="1"/>
        <v>37.895499999999998</v>
      </c>
      <c r="L6" s="49">
        <f t="shared" si="2"/>
        <v>10.454363628839815</v>
      </c>
    </row>
    <row r="7" spans="1:12">
      <c r="A7" s="49">
        <v>0.36632399999999998</v>
      </c>
      <c r="B7" s="49">
        <v>0.38681500000000002</v>
      </c>
      <c r="C7">
        <v>2.0201600000000002</v>
      </c>
      <c r="D7">
        <v>0</v>
      </c>
      <c r="E7" t="s">
        <v>2564</v>
      </c>
      <c r="F7" s="49">
        <f t="shared" si="3"/>
        <v>6</v>
      </c>
      <c r="G7" s="71" t="s">
        <v>212</v>
      </c>
      <c r="H7" s="23">
        <f>DEGREES(ATAN(H6))</f>
        <v>-19.70469982968946</v>
      </c>
      <c r="J7" s="49">
        <f t="shared" si="0"/>
        <v>3.6632400000000001</v>
      </c>
      <c r="K7" s="49">
        <f t="shared" si="1"/>
        <v>38.6815</v>
      </c>
      <c r="L7" s="49">
        <f t="shared" si="2"/>
        <v>10.559368209563118</v>
      </c>
    </row>
    <row r="8" spans="1:12">
      <c r="A8" s="49">
        <v>0.37029299999999998</v>
      </c>
      <c r="B8" s="49">
        <v>0.39630799999999999</v>
      </c>
      <c r="C8">
        <v>2.4254199999999999</v>
      </c>
      <c r="D8">
        <v>0</v>
      </c>
      <c r="E8" t="s">
        <v>2565</v>
      </c>
      <c r="F8" s="49">
        <f t="shared" si="3"/>
        <v>7</v>
      </c>
      <c r="G8" s="71" t="s">
        <v>213</v>
      </c>
      <c r="H8" s="72">
        <v>0.1</v>
      </c>
      <c r="J8" s="49">
        <f t="shared" si="0"/>
        <v>3.7029299999999998</v>
      </c>
      <c r="K8" s="49">
        <f t="shared" si="1"/>
        <v>39.630800000000001</v>
      </c>
      <c r="L8" s="49">
        <f t="shared" si="2"/>
        <v>10.702551763063305</v>
      </c>
    </row>
    <row r="9" spans="1:12">
      <c r="A9" s="49">
        <v>0.37409700000000001</v>
      </c>
      <c r="B9" s="49">
        <v>0.40883199999999997</v>
      </c>
      <c r="C9">
        <v>2.8321700000000001</v>
      </c>
      <c r="D9">
        <v>0</v>
      </c>
      <c r="E9" t="s">
        <v>2566</v>
      </c>
      <c r="F9" s="49">
        <f t="shared" si="3"/>
        <v>8</v>
      </c>
      <c r="G9" s="71" t="s">
        <v>214</v>
      </c>
      <c r="H9" s="72">
        <v>0.9</v>
      </c>
      <c r="J9" s="49">
        <f t="shared" si="0"/>
        <v>3.7409699999999999</v>
      </c>
      <c r="K9" s="49">
        <f t="shared" si="1"/>
        <v>40.883199999999995</v>
      </c>
      <c r="L9" s="49">
        <f t="shared" si="2"/>
        <v>10.928502500688323</v>
      </c>
    </row>
    <row r="10" spans="1:12">
      <c r="A10" s="49">
        <v>0.376328</v>
      </c>
      <c r="B10" s="49">
        <v>0.42116500000000001</v>
      </c>
      <c r="C10">
        <v>3.2422399999999998</v>
      </c>
      <c r="D10">
        <v>0</v>
      </c>
      <c r="E10" t="s">
        <v>2567</v>
      </c>
      <c r="F10" s="49">
        <f t="shared" si="3"/>
        <v>9</v>
      </c>
      <c r="G10" t="s">
        <v>215</v>
      </c>
      <c r="J10" s="49">
        <f t="shared" si="0"/>
        <v>3.76328</v>
      </c>
      <c r="K10" s="49">
        <f t="shared" si="1"/>
        <v>42.116500000000002</v>
      </c>
      <c r="L10" s="49">
        <f t="shared" si="2"/>
        <v>11.191434068153313</v>
      </c>
    </row>
    <row r="11" spans="1:12">
      <c r="A11" s="49">
        <v>0.37683899999999998</v>
      </c>
      <c r="B11" s="49">
        <v>0.43420700000000001</v>
      </c>
      <c r="C11">
        <v>3.6509200000000002</v>
      </c>
      <c r="D11">
        <v>0</v>
      </c>
      <c r="E11" t="s">
        <v>2568</v>
      </c>
      <c r="F11" s="49">
        <f t="shared" si="3"/>
        <v>10</v>
      </c>
      <c r="G11" s="71" t="s">
        <v>216</v>
      </c>
      <c r="H11" s="73">
        <f>MIN(B2:B1000)</f>
        <v>0.35190700000000003</v>
      </c>
      <c r="J11" s="49">
        <f t="shared" si="0"/>
        <v>3.7683899999999997</v>
      </c>
      <c r="K11" s="49">
        <f t="shared" si="1"/>
        <v>43.420700000000004</v>
      </c>
      <c r="L11" s="49">
        <f t="shared" si="2"/>
        <v>11.522347740016295</v>
      </c>
    </row>
    <row r="12" spans="1:12">
      <c r="A12" s="49">
        <v>0.37473800000000002</v>
      </c>
      <c r="B12" s="49">
        <v>0.44236300000000001</v>
      </c>
      <c r="C12">
        <v>4.0698699999999999</v>
      </c>
      <c r="D12">
        <v>0</v>
      </c>
      <c r="E12" t="s">
        <v>2569</v>
      </c>
      <c r="F12" s="49">
        <f t="shared" si="3"/>
        <v>11</v>
      </c>
      <c r="G12" s="71" t="s">
        <v>218</v>
      </c>
      <c r="H12" s="73">
        <f>MAX(B2:B1000)</f>
        <v>0.54884200000000005</v>
      </c>
      <c r="J12" s="49">
        <f t="shared" si="0"/>
        <v>3.7473800000000002</v>
      </c>
      <c r="K12" s="49">
        <f t="shared" si="1"/>
        <v>44.2363</v>
      </c>
      <c r="L12" s="49">
        <f t="shared" si="2"/>
        <v>11.804594143107984</v>
      </c>
    </row>
    <row r="13" spans="1:12">
      <c r="A13" s="49">
        <v>0.37114399999999997</v>
      </c>
      <c r="B13" s="49">
        <v>0.45142199999999999</v>
      </c>
      <c r="C13">
        <v>4.4577900000000001</v>
      </c>
      <c r="D13">
        <v>0</v>
      </c>
      <c r="E13" t="s">
        <v>2570</v>
      </c>
      <c r="F13" s="49">
        <f t="shared" si="3"/>
        <v>12</v>
      </c>
      <c r="G13" s="71" t="s">
        <v>220</v>
      </c>
      <c r="H13">
        <f>MATCH($H$11,B2:B1000,0)</f>
        <v>1</v>
      </c>
      <c r="J13" s="49">
        <f t="shared" si="0"/>
        <v>3.7114399999999996</v>
      </c>
      <c r="K13" s="49">
        <f t="shared" si="1"/>
        <v>45.142200000000003</v>
      </c>
      <c r="L13" s="49">
        <f t="shared" si="2"/>
        <v>12.162987950768438</v>
      </c>
    </row>
    <row r="14" spans="1:12">
      <c r="A14" s="49">
        <v>0.36677700000000002</v>
      </c>
      <c r="B14" s="49">
        <v>0.46114699999999997</v>
      </c>
      <c r="C14">
        <v>4.8747199999999999</v>
      </c>
      <c r="D14">
        <v>0</v>
      </c>
      <c r="E14" t="s">
        <v>2571</v>
      </c>
      <c r="F14" s="49">
        <f t="shared" si="3"/>
        <v>13</v>
      </c>
      <c r="G14" s="71" t="s">
        <v>221</v>
      </c>
      <c r="H14">
        <f>MATCH($H$12,B2:B1000,0)</f>
        <v>25</v>
      </c>
      <c r="J14" s="49">
        <f t="shared" si="0"/>
        <v>3.66777</v>
      </c>
      <c r="K14" s="49">
        <f t="shared" si="1"/>
        <v>46.114699999999999</v>
      </c>
      <c r="L14" s="49">
        <f t="shared" si="2"/>
        <v>12.572953047764718</v>
      </c>
    </row>
    <row r="15" spans="1:12">
      <c r="A15" s="49">
        <v>0.36113499999999998</v>
      </c>
      <c r="B15" s="49">
        <v>0.47148600000000002</v>
      </c>
      <c r="C15">
        <v>5.2700800000000001</v>
      </c>
      <c r="D15">
        <v>0</v>
      </c>
      <c r="E15" t="s">
        <v>2572</v>
      </c>
      <c r="F15" s="49">
        <f t="shared" si="3"/>
        <v>14</v>
      </c>
      <c r="G15">
        <f>LOOKUP($H13,F2:F1000,A2:A1000)</f>
        <v>0.36004000000000003</v>
      </c>
      <c r="H15">
        <f>LOOKUP($H13,F2:F1000,B2:B1000)</f>
        <v>0.35190700000000003</v>
      </c>
      <c r="J15" s="49">
        <f t="shared" si="0"/>
        <v>3.6113499999999998</v>
      </c>
      <c r="K15" s="49">
        <f t="shared" si="1"/>
        <v>47.148600000000002</v>
      </c>
      <c r="L15" s="49">
        <f t="shared" si="2"/>
        <v>13.055671701718195</v>
      </c>
    </row>
    <row r="16" spans="1:12">
      <c r="A16" s="49">
        <v>0.35443999999999998</v>
      </c>
      <c r="B16" s="49">
        <v>0.48005999999999999</v>
      </c>
      <c r="C16">
        <v>5.6761200000000001</v>
      </c>
      <c r="D16">
        <v>0</v>
      </c>
      <c r="E16" t="s">
        <v>2573</v>
      </c>
      <c r="F16" s="49">
        <f t="shared" si="3"/>
        <v>15</v>
      </c>
      <c r="G16">
        <f>LOOKUP($H14,F2:F1000,A2:A1000)</f>
        <v>0.296877</v>
      </c>
      <c r="H16">
        <f>LOOKUP($H14,F2:F1000,B2:B1000)</f>
        <v>0.54884200000000005</v>
      </c>
      <c r="J16" s="49">
        <f t="shared" si="0"/>
        <v>3.5443999999999996</v>
      </c>
      <c r="K16" s="49">
        <f t="shared" si="1"/>
        <v>48.006</v>
      </c>
      <c r="L16" s="49">
        <f t="shared" si="2"/>
        <v>13.544182372192756</v>
      </c>
    </row>
    <row r="17" spans="1:12">
      <c r="A17" s="49">
        <v>0.34699799999999997</v>
      </c>
      <c r="B17" s="49">
        <v>0.48814299999999999</v>
      </c>
      <c r="C17">
        <v>6.0946600000000002</v>
      </c>
      <c r="D17">
        <v>0</v>
      </c>
      <c r="E17" t="s">
        <v>2574</v>
      </c>
      <c r="F17" s="49">
        <f t="shared" si="3"/>
        <v>16</v>
      </c>
      <c r="J17" s="49">
        <f t="shared" si="0"/>
        <v>3.4699799999999996</v>
      </c>
      <c r="K17" s="49">
        <f t="shared" si="1"/>
        <v>48.814300000000003</v>
      </c>
      <c r="L17" s="49">
        <f t="shared" si="2"/>
        <v>14.067602695116401</v>
      </c>
    </row>
    <row r="18" spans="1:12">
      <c r="A18" s="49">
        <v>0.33893200000000001</v>
      </c>
      <c r="B18" s="49">
        <v>0.49678099999999997</v>
      </c>
      <c r="C18">
        <v>6.4959600000000002</v>
      </c>
      <c r="D18">
        <v>0</v>
      </c>
      <c r="E18" t="s">
        <v>2575</v>
      </c>
      <c r="F18" s="49">
        <f t="shared" si="3"/>
        <v>17</v>
      </c>
      <c r="J18" s="49">
        <f t="shared" si="0"/>
        <v>3.3893200000000001</v>
      </c>
      <c r="K18" s="49">
        <f t="shared" si="1"/>
        <v>49.678100000000001</v>
      </c>
      <c r="L18" s="49">
        <f t="shared" si="2"/>
        <v>14.657246881380335</v>
      </c>
    </row>
    <row r="19" spans="1:12">
      <c r="A19" s="49">
        <v>0.33036199999999999</v>
      </c>
      <c r="B19" s="49">
        <v>0.505768</v>
      </c>
      <c r="C19">
        <v>6.8916500000000003</v>
      </c>
      <c r="D19">
        <v>0</v>
      </c>
      <c r="E19" t="s">
        <v>2576</v>
      </c>
      <c r="F19" s="49">
        <f t="shared" si="3"/>
        <v>18</v>
      </c>
      <c r="J19" s="49">
        <f t="shared" si="0"/>
        <v>3.30362</v>
      </c>
      <c r="K19" s="49">
        <f t="shared" si="1"/>
        <v>50.576799999999999</v>
      </c>
      <c r="L19" s="49">
        <f t="shared" si="2"/>
        <v>15.309508962895247</v>
      </c>
    </row>
    <row r="20" spans="1:12">
      <c r="A20" s="49">
        <v>0.32400600000000002</v>
      </c>
      <c r="B20" s="49">
        <v>0.513185</v>
      </c>
      <c r="C20">
        <v>7.29589</v>
      </c>
      <c r="D20">
        <v>0</v>
      </c>
      <c r="E20" t="s">
        <v>2577</v>
      </c>
      <c r="F20" s="49">
        <f t="shared" si="3"/>
        <v>19</v>
      </c>
      <c r="J20" s="49">
        <f t="shared" si="0"/>
        <v>3.2400600000000002</v>
      </c>
      <c r="K20" s="49">
        <f t="shared" si="1"/>
        <v>51.3185</v>
      </c>
      <c r="L20" s="49">
        <f t="shared" si="2"/>
        <v>15.838749899693214</v>
      </c>
    </row>
    <row r="21" spans="1:12">
      <c r="A21" s="49">
        <v>0.31917499999999999</v>
      </c>
      <c r="B21" s="49">
        <v>0.51987099999999997</v>
      </c>
      <c r="C21">
        <v>7.7078199999999999</v>
      </c>
      <c r="D21">
        <v>0</v>
      </c>
      <c r="E21" t="s">
        <v>2578</v>
      </c>
      <c r="F21" s="49">
        <f t="shared" si="3"/>
        <v>20</v>
      </c>
      <c r="J21" s="49">
        <f t="shared" si="0"/>
        <v>3.1917499999999999</v>
      </c>
      <c r="K21" s="49">
        <f t="shared" si="1"/>
        <v>51.987099999999998</v>
      </c>
      <c r="L21" s="49">
        <f t="shared" si="2"/>
        <v>16.287961149839429</v>
      </c>
    </row>
    <row r="22" spans="1:12">
      <c r="A22" s="49">
        <v>0.31392700000000001</v>
      </c>
      <c r="B22" s="49">
        <v>0.52656400000000003</v>
      </c>
      <c r="C22">
        <v>8.1166599999999995</v>
      </c>
      <c r="D22">
        <v>0</v>
      </c>
      <c r="E22" t="s">
        <v>2579</v>
      </c>
      <c r="F22" s="49">
        <f t="shared" si="3"/>
        <v>21</v>
      </c>
      <c r="J22" s="49">
        <f t="shared" si="0"/>
        <v>3.1392700000000002</v>
      </c>
      <c r="K22" s="49">
        <f t="shared" si="1"/>
        <v>52.656400000000005</v>
      </c>
      <c r="L22" s="49">
        <f t="shared" si="2"/>
        <v>16.773453701019665</v>
      </c>
    </row>
    <row r="23" spans="1:12">
      <c r="A23" s="49">
        <v>0.30871100000000001</v>
      </c>
      <c r="B23" s="49">
        <v>0.53354299999999999</v>
      </c>
      <c r="C23">
        <v>8.5197000000000003</v>
      </c>
      <c r="D23">
        <v>0</v>
      </c>
      <c r="E23" t="s">
        <v>2580</v>
      </c>
      <c r="F23" s="49">
        <f t="shared" si="3"/>
        <v>22</v>
      </c>
      <c r="J23" s="49">
        <f t="shared" si="0"/>
        <v>3.08711</v>
      </c>
      <c r="K23" s="49">
        <f t="shared" si="1"/>
        <v>53.354300000000002</v>
      </c>
      <c r="L23" s="49">
        <f t="shared" si="2"/>
        <v>17.282928045971801</v>
      </c>
    </row>
    <row r="24" spans="1:12">
      <c r="A24" s="49">
        <v>0.30420199999999997</v>
      </c>
      <c r="B24" s="49">
        <v>0.53875200000000001</v>
      </c>
      <c r="C24">
        <v>8.9321900000000003</v>
      </c>
      <c r="D24">
        <v>0</v>
      </c>
      <c r="E24" t="s">
        <v>2581</v>
      </c>
      <c r="F24" s="49">
        <f t="shared" si="3"/>
        <v>23</v>
      </c>
      <c r="G24" t="s">
        <v>245</v>
      </c>
      <c r="H24">
        <f>COUNT(A2:A2000)</f>
        <v>25</v>
      </c>
      <c r="J24" s="49">
        <f t="shared" si="0"/>
        <v>3.0420199999999999</v>
      </c>
      <c r="K24" s="49">
        <f t="shared" si="1"/>
        <v>53.8752</v>
      </c>
      <c r="L24" s="49">
        <f t="shared" si="2"/>
        <v>17.710337210143262</v>
      </c>
    </row>
    <row r="25" spans="1:12">
      <c r="A25" s="49">
        <v>0.29964200000000002</v>
      </c>
      <c r="B25" s="49">
        <v>0.54487099999999999</v>
      </c>
      <c r="C25">
        <v>9.3329799999999992</v>
      </c>
      <c r="D25">
        <v>0</v>
      </c>
      <c r="E25" t="s">
        <v>2582</v>
      </c>
      <c r="F25" s="49">
        <f t="shared" si="3"/>
        <v>24</v>
      </c>
      <c r="J25" s="49">
        <f t="shared" si="0"/>
        <v>2.9964200000000001</v>
      </c>
      <c r="K25" s="49">
        <f t="shared" si="1"/>
        <v>54.487099999999998</v>
      </c>
      <c r="L25" s="49">
        <f t="shared" si="2"/>
        <v>18.18406631914084</v>
      </c>
    </row>
    <row r="26" spans="1:12">
      <c r="A26" s="49">
        <v>0.296877</v>
      </c>
      <c r="B26" s="49">
        <v>0.54884200000000005</v>
      </c>
      <c r="C26">
        <v>9.7345000000000006</v>
      </c>
      <c r="D26">
        <v>0</v>
      </c>
      <c r="E26" t="s">
        <v>2583</v>
      </c>
      <c r="F26" s="49">
        <f t="shared" si="3"/>
        <v>25</v>
      </c>
      <c r="J26" s="49">
        <f t="shared" si="0"/>
        <v>2.9687700000000001</v>
      </c>
      <c r="K26" s="49">
        <f t="shared" si="1"/>
        <v>54.884200000000007</v>
      </c>
      <c r="L26" s="49">
        <f t="shared" si="2"/>
        <v>18.487184928438378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45819.87128472222</v>
      </c>
      <c r="B2" t="s">
        <v>2584</v>
      </c>
      <c r="C2" s="49"/>
      <c r="D2" s="49"/>
      <c r="E2" s="49">
        <v>4.9207200000000002</v>
      </c>
      <c r="F2" s="49">
        <v>1.76274</v>
      </c>
      <c r="G2" s="49">
        <v>0.62909899999999996</v>
      </c>
      <c r="H2" s="49">
        <v>0</v>
      </c>
      <c r="I2" s="49">
        <v>11.677300000000001</v>
      </c>
      <c r="J2" s="49">
        <v>86</v>
      </c>
      <c r="K2" s="49">
        <v>86</v>
      </c>
      <c r="L2" s="49">
        <v>100</v>
      </c>
      <c r="M2" s="521" t="s">
        <v>1549</v>
      </c>
      <c r="O2" s="565" t="str">
        <f>IF(FH_info!B2="","",TRIM(MID(SUBSTITUTE(FH_info!B2,"^",REPT(" ",LEN(FH_info!B2))),LEN(FH_info!B2)*2-LEN(FH_info!B2)+1,LEN(FH_info!B2))))</f>
        <v>Xb7e</v>
      </c>
      <c r="P2" s="565" t="str">
        <f>IF(FH_info!O2="","",TRIM(MID(SUBSTITUTE(FH_info!O2," ",REPT(" ",LEN(FH_info!O2))),LEN(FH_info!O2)*1-LEN(FH_info!O2)+1,LEN(FH_info!O2))))</f>
        <v>Xb7e</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11.677333000000001</v>
      </c>
      <c r="D2">
        <f>MAX(B2:B257)</f>
        <v>756.55499299999997</v>
      </c>
      <c r="G2" t="s">
        <v>1590</v>
      </c>
      <c r="H2">
        <v>4.9207219999999996</v>
      </c>
      <c r="I2">
        <v>11.677333000000001</v>
      </c>
      <c r="J2">
        <v>0</v>
      </c>
      <c r="K2">
        <v>86</v>
      </c>
      <c r="L2">
        <v>86</v>
      </c>
      <c r="M2">
        <v>1.7627390000000001</v>
      </c>
      <c r="N2">
        <v>0.62909899999999996</v>
      </c>
      <c r="O2">
        <v>0.39576499999999998</v>
      </c>
    </row>
    <row r="3" spans="1:15">
      <c r="A3">
        <v>0</v>
      </c>
      <c r="B3">
        <v>0</v>
      </c>
      <c r="G3" t="s">
        <v>1591</v>
      </c>
      <c r="H3">
        <v>4.9207219999999996</v>
      </c>
      <c r="I3">
        <v>756.55499299999997</v>
      </c>
      <c r="J3">
        <v>0</v>
      </c>
      <c r="K3">
        <v>6</v>
      </c>
      <c r="L3">
        <v>6</v>
      </c>
      <c r="M3">
        <v>0.443359</v>
      </c>
      <c r="N3">
        <v>0.42379699999999998</v>
      </c>
      <c r="O3">
        <v>0.17960400000000001</v>
      </c>
    </row>
    <row r="4" spans="1:15">
      <c r="A4">
        <v>0</v>
      </c>
      <c r="B4">
        <v>0</v>
      </c>
    </row>
    <row r="5" spans="1:15">
      <c r="A5">
        <v>0</v>
      </c>
      <c r="B5">
        <v>533.99499500000002</v>
      </c>
    </row>
    <row r="6" spans="1:15">
      <c r="A6">
        <v>0</v>
      </c>
      <c r="B6">
        <v>0</v>
      </c>
    </row>
    <row r="7" spans="1:15">
      <c r="A7">
        <v>0</v>
      </c>
      <c r="B7">
        <v>0</v>
      </c>
    </row>
    <row r="8" spans="1:15">
      <c r="A8">
        <v>1.6E-2</v>
      </c>
      <c r="B8">
        <v>756.55499299999997</v>
      </c>
    </row>
    <row r="9" spans="1:15">
      <c r="A9">
        <v>0</v>
      </c>
      <c r="B9">
        <v>0</v>
      </c>
    </row>
    <row r="10" spans="1:15">
      <c r="A10">
        <v>0.278667</v>
      </c>
      <c r="B10">
        <v>584.65252699999996</v>
      </c>
    </row>
    <row r="11" spans="1:15">
      <c r="A11">
        <v>0.14266699999999999</v>
      </c>
      <c r="B11">
        <v>0</v>
      </c>
    </row>
    <row r="12" spans="1:15">
      <c r="A12">
        <v>0</v>
      </c>
      <c r="B12">
        <v>0</v>
      </c>
    </row>
    <row r="13" spans="1:15">
      <c r="A13">
        <v>2.8866670000000001</v>
      </c>
      <c r="B13">
        <v>423.90249599999999</v>
      </c>
    </row>
    <row r="14" spans="1:15">
      <c r="A14">
        <v>1.261333</v>
      </c>
      <c r="B14">
        <v>0</v>
      </c>
    </row>
    <row r="15" spans="1:15">
      <c r="A15">
        <v>1.1319999999999999</v>
      </c>
      <c r="B15">
        <v>322.77749599999999</v>
      </c>
    </row>
    <row r="16" spans="1:15">
      <c r="A16">
        <v>1.421333</v>
      </c>
      <c r="B16">
        <v>0</v>
      </c>
    </row>
    <row r="17" spans="1:2">
      <c r="A17">
        <v>0.63600000000000001</v>
      </c>
      <c r="B17">
        <v>0</v>
      </c>
    </row>
    <row r="18" spans="1:2">
      <c r="A18">
        <v>3.0013329999999998</v>
      </c>
      <c r="B18">
        <v>242.800003</v>
      </c>
    </row>
    <row r="19" spans="1:2">
      <c r="A19">
        <v>2.4346670000000001</v>
      </c>
      <c r="B19">
        <v>0</v>
      </c>
    </row>
    <row r="20" spans="1:2">
      <c r="A20">
        <v>0.99066699999999996</v>
      </c>
      <c r="B20">
        <v>0</v>
      </c>
    </row>
    <row r="21" spans="1:2">
      <c r="A21">
        <v>0.52533300000000005</v>
      </c>
      <c r="B21">
        <v>189.09750399999999</v>
      </c>
    </row>
    <row r="22" spans="1:2">
      <c r="A22">
        <v>0.18133299999999999</v>
      </c>
      <c r="B22">
        <v>0</v>
      </c>
    </row>
    <row r="23" spans="1:2">
      <c r="A23">
        <v>0.67733299999999996</v>
      </c>
      <c r="B23">
        <v>154.082504</v>
      </c>
    </row>
    <row r="24" spans="1:2">
      <c r="A24">
        <v>0.63600000000000001</v>
      </c>
      <c r="B24">
        <v>0</v>
      </c>
    </row>
    <row r="25" spans="1:2">
      <c r="A25">
        <v>0.530667</v>
      </c>
      <c r="B25">
        <v>0</v>
      </c>
    </row>
    <row r="26" spans="1:2">
      <c r="A26">
        <v>0.87333300000000003</v>
      </c>
      <c r="B26">
        <v>133.74499499999999</v>
      </c>
    </row>
    <row r="27" spans="1:2">
      <c r="A27">
        <v>0.49199999999999999</v>
      </c>
      <c r="B27">
        <v>0</v>
      </c>
    </row>
    <row r="28" spans="1:2">
      <c r="A28">
        <v>1.7226669999999999</v>
      </c>
      <c r="B28">
        <v>116.477501</v>
      </c>
    </row>
    <row r="29" spans="1:2">
      <c r="A29">
        <v>1.253333</v>
      </c>
      <c r="B29">
        <v>0</v>
      </c>
    </row>
    <row r="30" spans="1:2">
      <c r="A30">
        <v>0.98</v>
      </c>
      <c r="B30">
        <v>0</v>
      </c>
    </row>
    <row r="31" spans="1:2">
      <c r="A31">
        <v>3.3546670000000001</v>
      </c>
      <c r="B31">
        <v>109.95500199999999</v>
      </c>
    </row>
    <row r="32" spans="1:2">
      <c r="A32">
        <v>1.2066669999999999</v>
      </c>
      <c r="B32">
        <v>0</v>
      </c>
    </row>
    <row r="33" spans="1:2">
      <c r="A33">
        <v>3.253333</v>
      </c>
      <c r="B33">
        <v>99.3125</v>
      </c>
    </row>
    <row r="34" spans="1:2">
      <c r="A34">
        <v>2.016</v>
      </c>
      <c r="B34">
        <v>0</v>
      </c>
    </row>
    <row r="35" spans="1:2">
      <c r="A35">
        <v>1.32</v>
      </c>
      <c r="B35">
        <v>0</v>
      </c>
    </row>
    <row r="36" spans="1:2">
      <c r="A36">
        <v>2.5426669999999998</v>
      </c>
      <c r="B36">
        <v>91.572502</v>
      </c>
    </row>
    <row r="37" spans="1:2">
      <c r="A37">
        <v>1.6479999999999999</v>
      </c>
      <c r="B37">
        <v>0</v>
      </c>
    </row>
    <row r="38" spans="1:2">
      <c r="A38">
        <v>0.57733299999999999</v>
      </c>
      <c r="B38">
        <v>0</v>
      </c>
    </row>
    <row r="39" spans="1:2">
      <c r="A39">
        <v>2.6640000000000001</v>
      </c>
      <c r="B39">
        <v>84.607498000000007</v>
      </c>
    </row>
    <row r="40" spans="1:2">
      <c r="A40">
        <v>1.0760000000000001</v>
      </c>
      <c r="B40">
        <v>0</v>
      </c>
    </row>
    <row r="41" spans="1:2">
      <c r="A41">
        <v>2.7266659999999998</v>
      </c>
      <c r="B41">
        <v>78.922500999999997</v>
      </c>
    </row>
    <row r="42" spans="1:2">
      <c r="A42">
        <v>1.830667</v>
      </c>
      <c r="B42">
        <v>0</v>
      </c>
    </row>
    <row r="43" spans="1:2">
      <c r="A43">
        <v>1.056</v>
      </c>
      <c r="B43">
        <v>0</v>
      </c>
    </row>
    <row r="44" spans="1:2">
      <c r="A44">
        <v>3.1026669999999998</v>
      </c>
      <c r="B44">
        <v>74.067497000000003</v>
      </c>
    </row>
    <row r="45" spans="1:2">
      <c r="A45">
        <v>2.5133329999999998</v>
      </c>
      <c r="B45">
        <v>0</v>
      </c>
    </row>
    <row r="46" spans="1:2">
      <c r="A46">
        <v>3.02</v>
      </c>
      <c r="B46">
        <v>72.392501999999993</v>
      </c>
    </row>
    <row r="47" spans="1:2">
      <c r="A47">
        <v>1.933333</v>
      </c>
      <c r="B47">
        <v>0</v>
      </c>
    </row>
    <row r="48" spans="1:2">
      <c r="A48">
        <v>1.9106669999999999</v>
      </c>
      <c r="B48">
        <v>0</v>
      </c>
    </row>
    <row r="49" spans="1:2">
      <c r="A49">
        <v>4.8266660000000003</v>
      </c>
      <c r="B49">
        <v>69.487503000000004</v>
      </c>
    </row>
    <row r="50" spans="1:2">
      <c r="A50">
        <v>2.3053330000000001</v>
      </c>
      <c r="B50">
        <v>0</v>
      </c>
    </row>
    <row r="51" spans="1:2">
      <c r="A51">
        <v>5.2546670000000004</v>
      </c>
      <c r="B51">
        <v>67.434997999999993</v>
      </c>
    </row>
    <row r="52" spans="1:2">
      <c r="A52">
        <v>2.5613329999999999</v>
      </c>
      <c r="B52">
        <v>0</v>
      </c>
    </row>
    <row r="53" spans="1:2">
      <c r="A53">
        <v>1.2893330000000001</v>
      </c>
      <c r="B53">
        <v>0</v>
      </c>
    </row>
    <row r="54" spans="1:2">
      <c r="A54">
        <v>5.1533329999999999</v>
      </c>
      <c r="B54">
        <v>67.267501999999993</v>
      </c>
    </row>
    <row r="55" spans="1:2">
      <c r="A55">
        <v>2.241333</v>
      </c>
      <c r="B55">
        <v>0</v>
      </c>
    </row>
    <row r="56" spans="1:2">
      <c r="A56">
        <v>2.3173330000000001</v>
      </c>
      <c r="B56">
        <v>0</v>
      </c>
    </row>
    <row r="57" spans="1:2">
      <c r="A57">
        <v>4.1733339999999997</v>
      </c>
      <c r="B57">
        <v>66.055000000000007</v>
      </c>
    </row>
    <row r="58" spans="1:2">
      <c r="A58">
        <v>1.284</v>
      </c>
      <c r="B58">
        <v>0</v>
      </c>
    </row>
    <row r="59" spans="1:2">
      <c r="A59">
        <v>3.2040000000000002</v>
      </c>
      <c r="B59">
        <v>65.717499000000004</v>
      </c>
    </row>
    <row r="60" spans="1:2">
      <c r="A60">
        <v>1.7226669999999999</v>
      </c>
      <c r="B60">
        <v>0</v>
      </c>
    </row>
    <row r="61" spans="1:2">
      <c r="A61">
        <v>1.421333</v>
      </c>
      <c r="B61">
        <v>0</v>
      </c>
    </row>
    <row r="62" spans="1:2">
      <c r="A62">
        <v>3.448</v>
      </c>
      <c r="B62">
        <v>62.267502</v>
      </c>
    </row>
    <row r="63" spans="1:2">
      <c r="A63">
        <v>1.534667</v>
      </c>
      <c r="B63">
        <v>0</v>
      </c>
    </row>
    <row r="64" spans="1:2">
      <c r="A64">
        <v>3.0826669999999998</v>
      </c>
      <c r="B64">
        <v>60.327499000000003</v>
      </c>
    </row>
    <row r="65" spans="1:2">
      <c r="A65">
        <v>1.4706669999999999</v>
      </c>
      <c r="B65">
        <v>0</v>
      </c>
    </row>
    <row r="66" spans="1:2">
      <c r="A66">
        <v>2.4106670000000001</v>
      </c>
      <c r="B66">
        <v>0</v>
      </c>
    </row>
    <row r="67" spans="1:2">
      <c r="A67">
        <v>3.1640000000000001</v>
      </c>
      <c r="B67">
        <v>56.334999000000003</v>
      </c>
    </row>
    <row r="68" spans="1:2">
      <c r="A68">
        <v>3.4733329999999998</v>
      </c>
      <c r="B68">
        <v>0</v>
      </c>
    </row>
    <row r="69" spans="1:2">
      <c r="A69">
        <v>4.4400000000000004</v>
      </c>
      <c r="B69">
        <v>51.209999000000003</v>
      </c>
    </row>
    <row r="70" spans="1:2">
      <c r="A70">
        <v>2.6626669999999999</v>
      </c>
      <c r="B70">
        <v>0</v>
      </c>
    </row>
    <row r="71" spans="1:2">
      <c r="A71">
        <v>2.68</v>
      </c>
      <c r="B71">
        <v>0</v>
      </c>
    </row>
    <row r="72" spans="1:2">
      <c r="A72">
        <v>5.5519999999999996</v>
      </c>
      <c r="B72">
        <v>46.537497999999999</v>
      </c>
    </row>
    <row r="73" spans="1:2">
      <c r="A73">
        <v>3.1120000000000001</v>
      </c>
      <c r="B73">
        <v>0</v>
      </c>
    </row>
    <row r="74" spans="1:2">
      <c r="A74">
        <v>1.8253330000000001</v>
      </c>
      <c r="B74">
        <v>0</v>
      </c>
    </row>
    <row r="75" spans="1:2">
      <c r="A75">
        <v>5.1186670000000003</v>
      </c>
      <c r="B75">
        <v>42.029998999999997</v>
      </c>
    </row>
    <row r="76" spans="1:2">
      <c r="A76">
        <v>1.586667</v>
      </c>
      <c r="B76">
        <v>0</v>
      </c>
    </row>
    <row r="77" spans="1:2">
      <c r="A77">
        <v>6.6120000000000001</v>
      </c>
      <c r="B77">
        <v>38.417499999999997</v>
      </c>
    </row>
    <row r="78" spans="1:2">
      <c r="A78">
        <v>2.266667</v>
      </c>
      <c r="B78">
        <v>0</v>
      </c>
    </row>
    <row r="79" spans="1:2">
      <c r="A79">
        <v>1.9386669999999999</v>
      </c>
      <c r="B79">
        <v>0</v>
      </c>
    </row>
    <row r="80" spans="1:2">
      <c r="A80">
        <v>6.766667</v>
      </c>
      <c r="B80">
        <v>33.602500999999997</v>
      </c>
    </row>
    <row r="81" spans="1:2">
      <c r="A81">
        <v>3.1520000000000001</v>
      </c>
      <c r="B81">
        <v>0</v>
      </c>
    </row>
    <row r="82" spans="1:2">
      <c r="A82">
        <v>6.1639999999999997</v>
      </c>
      <c r="B82">
        <v>28.927499999999998</v>
      </c>
    </row>
    <row r="83" spans="1:2">
      <c r="A83">
        <v>3.242667</v>
      </c>
      <c r="B83">
        <v>0</v>
      </c>
    </row>
    <row r="84" spans="1:2">
      <c r="A84">
        <v>2.6160000000000001</v>
      </c>
      <c r="B84">
        <v>0</v>
      </c>
    </row>
    <row r="85" spans="1:2">
      <c r="A85">
        <v>6.581334</v>
      </c>
      <c r="B85">
        <v>23.717500999999999</v>
      </c>
    </row>
    <row r="86" spans="1:2">
      <c r="A86">
        <v>3.8493330000000001</v>
      </c>
      <c r="B86">
        <v>0</v>
      </c>
    </row>
    <row r="87" spans="1:2">
      <c r="A87">
        <v>3.1360000000000001</v>
      </c>
      <c r="B87">
        <v>0</v>
      </c>
    </row>
    <row r="88" spans="1:2">
      <c r="A88">
        <v>11.677333000000001</v>
      </c>
      <c r="B88">
        <v>19.837499999999999</v>
      </c>
    </row>
    <row r="89" spans="1:2">
      <c r="A89">
        <v>2.757333</v>
      </c>
      <c r="B89">
        <v>0</v>
      </c>
    </row>
    <row r="90" spans="1:2">
      <c r="A90">
        <v>7.5586659999999997</v>
      </c>
      <c r="B90">
        <v>14.6625</v>
      </c>
    </row>
    <row r="91" spans="1:2">
      <c r="A91">
        <v>4.1266670000000003</v>
      </c>
      <c r="B91">
        <v>0</v>
      </c>
    </row>
    <row r="92" spans="1:2">
      <c r="A92">
        <v>3.2240000000000002</v>
      </c>
      <c r="B92">
        <v>0</v>
      </c>
    </row>
    <row r="93" spans="1:2">
      <c r="A93">
        <v>8.685333</v>
      </c>
      <c r="B93">
        <v>10.904999999999999</v>
      </c>
    </row>
    <row r="94" spans="1:2">
      <c r="A94">
        <v>4.2986659999999999</v>
      </c>
      <c r="B94">
        <v>0</v>
      </c>
    </row>
    <row r="95" spans="1:2">
      <c r="A95">
        <v>10.046666999999999</v>
      </c>
      <c r="B95">
        <v>7.88</v>
      </c>
    </row>
    <row r="96" spans="1:2">
      <c r="A96">
        <v>4.3786670000000001</v>
      </c>
      <c r="B96">
        <v>0</v>
      </c>
    </row>
    <row r="97" spans="1:2">
      <c r="A97">
        <v>4.28</v>
      </c>
      <c r="B97">
        <v>0</v>
      </c>
    </row>
    <row r="98" spans="1:2">
      <c r="A98">
        <v>10.001333000000001</v>
      </c>
      <c r="B98">
        <v>5.4950000000000001</v>
      </c>
    </row>
    <row r="99" spans="1:2">
      <c r="A99">
        <v>3.8786670000000001</v>
      </c>
      <c r="B99">
        <v>0</v>
      </c>
    </row>
    <row r="100" spans="1:2">
      <c r="A100">
        <v>11.273334</v>
      </c>
      <c r="B100">
        <v>3.7275</v>
      </c>
    </row>
    <row r="101" spans="1:2">
      <c r="A101">
        <v>4.8879999999999999</v>
      </c>
      <c r="B101">
        <v>0</v>
      </c>
    </row>
    <row r="102" spans="1:2">
      <c r="A102">
        <v>5.1373329999999999</v>
      </c>
      <c r="B102">
        <v>0</v>
      </c>
    </row>
    <row r="103" spans="1:2">
      <c r="A103">
        <v>10.698667</v>
      </c>
      <c r="B103">
        <v>2.54</v>
      </c>
    </row>
    <row r="104" spans="1:2">
      <c r="A104">
        <v>2.5866669999999998</v>
      </c>
      <c r="B104">
        <v>0</v>
      </c>
    </row>
    <row r="105" spans="1:2">
      <c r="A105">
        <v>4.6026670000000003</v>
      </c>
      <c r="B105">
        <v>0</v>
      </c>
    </row>
    <row r="106" spans="1:2">
      <c r="A106">
        <v>10</v>
      </c>
      <c r="B106">
        <v>1.6325000000000001</v>
      </c>
    </row>
    <row r="107" spans="1:2">
      <c r="A107">
        <v>4.2839999999999998</v>
      </c>
      <c r="B107">
        <v>0</v>
      </c>
    </row>
    <row r="108" spans="1:2">
      <c r="A108">
        <v>8.02</v>
      </c>
      <c r="B108">
        <v>1.0075000000000001</v>
      </c>
    </row>
    <row r="109" spans="1:2">
      <c r="A109">
        <v>5.0640000000000001</v>
      </c>
      <c r="B109">
        <v>0</v>
      </c>
    </row>
    <row r="110" spans="1:2">
      <c r="A110">
        <v>2.8933330000000002</v>
      </c>
      <c r="B110">
        <v>0</v>
      </c>
    </row>
    <row r="111" spans="1:2">
      <c r="A111">
        <v>8.9106660000000009</v>
      </c>
      <c r="B111">
        <v>0.72250000000000003</v>
      </c>
    </row>
    <row r="112" spans="1:2">
      <c r="A112">
        <v>3.189333</v>
      </c>
      <c r="B112">
        <v>0</v>
      </c>
    </row>
    <row r="113" spans="1:2">
      <c r="A113">
        <v>9.4959989999999994</v>
      </c>
      <c r="B113">
        <v>0.41749999999999998</v>
      </c>
    </row>
    <row r="114" spans="1:2">
      <c r="A114">
        <v>3.9293330000000002</v>
      </c>
      <c r="B114">
        <v>0</v>
      </c>
    </row>
    <row r="115" spans="1:2">
      <c r="A115">
        <v>2.952</v>
      </c>
      <c r="B115">
        <v>0</v>
      </c>
    </row>
    <row r="116" spans="1:2">
      <c r="A116">
        <v>10.172000000000001</v>
      </c>
      <c r="B116">
        <v>0.26500000000000001</v>
      </c>
    </row>
    <row r="117" spans="1:2">
      <c r="A117">
        <v>4.5293330000000003</v>
      </c>
      <c r="B117">
        <v>0</v>
      </c>
    </row>
    <row r="118" spans="1:2">
      <c r="A118">
        <v>9.1319999999999997</v>
      </c>
      <c r="B118">
        <v>0.16500000000000001</v>
      </c>
    </row>
    <row r="119" spans="1:2">
      <c r="A119">
        <v>4.7706670000000004</v>
      </c>
      <c r="B119">
        <v>0</v>
      </c>
    </row>
    <row r="120" spans="1:2">
      <c r="A120">
        <v>4.4533329999999998</v>
      </c>
      <c r="B120">
        <v>0</v>
      </c>
    </row>
    <row r="121" spans="1:2">
      <c r="A121">
        <v>8.3719999999999999</v>
      </c>
      <c r="B121">
        <v>9.2499999999999999E-2</v>
      </c>
    </row>
    <row r="122" spans="1:2">
      <c r="A122">
        <v>5.5346669999999998</v>
      </c>
      <c r="B122">
        <v>0</v>
      </c>
    </row>
    <row r="123" spans="1:2">
      <c r="A123">
        <v>5.6733330000000004</v>
      </c>
      <c r="B123">
        <v>0</v>
      </c>
    </row>
    <row r="124" spans="1:2">
      <c r="A124">
        <v>7.8533330000000001</v>
      </c>
      <c r="B124">
        <v>3.7499999999999999E-2</v>
      </c>
    </row>
    <row r="125" spans="1:2">
      <c r="A125">
        <v>3.3919999999999999</v>
      </c>
      <c r="B125">
        <v>0</v>
      </c>
    </row>
    <row r="126" spans="1:2">
      <c r="A126">
        <v>11.461333</v>
      </c>
      <c r="B126">
        <v>2.2499999999999999E-2</v>
      </c>
    </row>
    <row r="127" spans="1:2">
      <c r="A127">
        <v>5.3786659999999999</v>
      </c>
      <c r="B127">
        <v>0</v>
      </c>
    </row>
    <row r="128" spans="1:2">
      <c r="A128">
        <v>0</v>
      </c>
      <c r="B128">
        <v>0</v>
      </c>
    </row>
    <row r="129" spans="1:2">
      <c r="A129">
        <v>10.738667</v>
      </c>
      <c r="B129">
        <v>1.2500000000000001E-2</v>
      </c>
    </row>
    <row r="130" spans="1:2">
      <c r="A130">
        <v>4.9279999999999999</v>
      </c>
      <c r="B130">
        <v>0</v>
      </c>
    </row>
    <row r="131" spans="1:2">
      <c r="A131">
        <v>9.0760000000000005</v>
      </c>
      <c r="B131">
        <v>7.4999999999999997E-3</v>
      </c>
    </row>
    <row r="132" spans="1:2">
      <c r="A132">
        <v>0</v>
      </c>
      <c r="B132">
        <v>0</v>
      </c>
    </row>
    <row r="133" spans="1:2">
      <c r="A133">
        <v>4.7946669999999996</v>
      </c>
      <c r="B133">
        <v>0</v>
      </c>
    </row>
    <row r="134" spans="1:2">
      <c r="A134">
        <v>8.2386669999999995</v>
      </c>
      <c r="B134">
        <v>5.0000000000000001E-3</v>
      </c>
    </row>
    <row r="135" spans="1:2">
      <c r="A135">
        <v>2.0453329999999998</v>
      </c>
      <c r="B135">
        <v>0</v>
      </c>
    </row>
    <row r="136" spans="1:2">
      <c r="A136">
        <v>5.1613340000000001</v>
      </c>
      <c r="B136">
        <v>2.5000000000000001E-3</v>
      </c>
    </row>
    <row r="137" spans="1:2">
      <c r="A137">
        <v>3.42</v>
      </c>
      <c r="B137">
        <v>0</v>
      </c>
    </row>
    <row r="138" spans="1:2">
      <c r="A138">
        <v>1.802667</v>
      </c>
      <c r="B138">
        <v>0</v>
      </c>
    </row>
    <row r="139" spans="1:2">
      <c r="A139">
        <v>3.3679999999999999</v>
      </c>
      <c r="B139">
        <v>5.0000000000000001E-3</v>
      </c>
    </row>
    <row r="140" spans="1:2">
      <c r="A140">
        <v>2.2226669999999999</v>
      </c>
      <c r="B140">
        <v>0</v>
      </c>
    </row>
    <row r="141" spans="1:2">
      <c r="A141">
        <v>1.6386670000000001</v>
      </c>
      <c r="B141">
        <v>0</v>
      </c>
    </row>
    <row r="142" spans="1:2">
      <c r="A142">
        <v>2.770667</v>
      </c>
      <c r="B142">
        <v>2.5000000000000001E-3</v>
      </c>
    </row>
    <row r="143" spans="1:2">
      <c r="A143">
        <v>0.97599999999999998</v>
      </c>
      <c r="B143">
        <v>0</v>
      </c>
    </row>
    <row r="144" spans="1:2">
      <c r="A144">
        <v>1.8879999999999999</v>
      </c>
      <c r="B144">
        <v>2.5000000000000001E-3</v>
      </c>
    </row>
    <row r="145" spans="1:2">
      <c r="A145">
        <v>1.038667</v>
      </c>
      <c r="B145">
        <v>0</v>
      </c>
    </row>
    <row r="146" spans="1:2">
      <c r="A146">
        <v>0.64400000000000002</v>
      </c>
      <c r="B146">
        <v>0</v>
      </c>
    </row>
    <row r="147" spans="1:2">
      <c r="A147">
        <v>1.745333</v>
      </c>
      <c r="B147">
        <v>0</v>
      </c>
    </row>
    <row r="148" spans="1:2">
      <c r="A148">
        <v>0.66133299999999995</v>
      </c>
      <c r="B148">
        <v>0</v>
      </c>
    </row>
    <row r="149" spans="1:2">
      <c r="A149">
        <v>1.334667</v>
      </c>
      <c r="B149">
        <v>0</v>
      </c>
    </row>
    <row r="150" spans="1:2">
      <c r="A150">
        <v>0.64</v>
      </c>
      <c r="B150">
        <v>0</v>
      </c>
    </row>
    <row r="151" spans="1:2">
      <c r="A151">
        <v>0.69599999999999995</v>
      </c>
      <c r="B151">
        <v>0</v>
      </c>
    </row>
    <row r="152" spans="1:2">
      <c r="A152">
        <v>0.66533299999999995</v>
      </c>
      <c r="B152">
        <v>0</v>
      </c>
    </row>
    <row r="153" spans="1:2">
      <c r="A153">
        <v>0.26400000000000001</v>
      </c>
      <c r="B153">
        <v>0</v>
      </c>
    </row>
    <row r="154" spans="1:2">
      <c r="A154">
        <v>0.66266700000000001</v>
      </c>
      <c r="B154">
        <v>0</v>
      </c>
    </row>
    <row r="155" spans="1:2">
      <c r="A155">
        <v>0.10266699999999999</v>
      </c>
      <c r="B155">
        <v>0</v>
      </c>
    </row>
    <row r="156" spans="1:2">
      <c r="A156">
        <v>0.19866700000000001</v>
      </c>
      <c r="B156">
        <v>0</v>
      </c>
    </row>
    <row r="157" spans="1:2">
      <c r="A157">
        <v>0.64933300000000005</v>
      </c>
      <c r="B157">
        <v>0</v>
      </c>
    </row>
    <row r="158" spans="1:2">
      <c r="A158">
        <v>0.282667</v>
      </c>
      <c r="B158">
        <v>0</v>
      </c>
    </row>
    <row r="159" spans="1:2">
      <c r="A159">
        <v>0.18</v>
      </c>
      <c r="B159">
        <v>0</v>
      </c>
    </row>
    <row r="160" spans="1:2">
      <c r="A160">
        <v>0.30666700000000002</v>
      </c>
      <c r="B160">
        <v>0</v>
      </c>
    </row>
    <row r="161" spans="1:2">
      <c r="A161">
        <v>0</v>
      </c>
      <c r="B161">
        <v>0</v>
      </c>
    </row>
    <row r="162" spans="1:2">
      <c r="A162">
        <v>0.06</v>
      </c>
      <c r="B162">
        <v>0</v>
      </c>
    </row>
    <row r="163" spans="1:2">
      <c r="A163">
        <v>0.122667</v>
      </c>
      <c r="B163">
        <v>0</v>
      </c>
    </row>
    <row r="164" spans="1:2">
      <c r="A164">
        <v>6.1332999999999999E-2</v>
      </c>
      <c r="B164">
        <v>0</v>
      </c>
    </row>
    <row r="165" spans="1:2">
      <c r="A165">
        <v>6.1332999999999999E-2</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0.665974328889956
0.67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0.66597432888995622</v>
      </c>
      <c r="I4" s="322">
        <f>IF(Measurement!AQ7&lt;&gt;"",NORMSDIST((H6-$B$2)/$B$3)*100,"")</f>
        <v>73.781694514155433</v>
      </c>
      <c r="J4" t="str">
        <f>Measurement!AR7</f>
        <v>건강</v>
      </c>
    </row>
    <row r="5" spans="1:11">
      <c r="B5" s="171">
        <v>-10</v>
      </c>
      <c r="C5" s="171">
        <f>NORMSDIST(($B5-$B$2)/$B$3)*100</f>
        <v>7.1097265868555281E-5</v>
      </c>
      <c r="G5" t="s">
        <v>1539</v>
      </c>
      <c r="H5" s="320">
        <f>IF(Measurement!AQ7&lt;-7,-7,Measurement!AQ7)</f>
        <v>0.66597432888995622</v>
      </c>
      <c r="I5" s="321">
        <f>IF(Measurement!AQ7&lt;&gt;"",0,"")</f>
        <v>0</v>
      </c>
    </row>
    <row r="6" spans="1:11">
      <c r="B6" s="171">
        <f>B5+0.1</f>
        <v>-9.9</v>
      </c>
      <c r="C6" s="171">
        <f t="shared" ref="C6:C57" si="0">NORMSDIST(($B6-$B$2)/$B$3)*100</f>
        <v>9.1781224195367343E-5</v>
      </c>
      <c r="H6" s="320">
        <f>IF(Measurement!AQ7&lt;-7,-7,Measurement!AQ7)</f>
        <v>0.66597432888995622</v>
      </c>
      <c r="I6" s="321">
        <f>IF(Measurement!AQ7&lt;&gt;"",NORMSDIST((H6-$B$2)/$B$3)*100,"")</f>
        <v>73.781694514155433</v>
      </c>
    </row>
    <row r="7" spans="1:11">
      <c r="B7" s="171">
        <f t="shared" ref="B7:B70" si="1">B6+0.1</f>
        <v>-9.8000000000000007</v>
      </c>
      <c r="C7" s="171">
        <f t="shared" si="0"/>
        <v>1.1818368021892541E-4</v>
      </c>
      <c r="D7" s="171"/>
      <c r="H7" s="320">
        <f>IF(Measurement!AQ7&lt;&gt;"",-7,"")</f>
        <v>-7</v>
      </c>
      <c r="I7" s="321">
        <f>IF(Measurement!AQ7&lt;&gt;"",NORMSDIST((H6-$B$2)/$B$3)*100,"")</f>
        <v>73.781694514155433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37.93</v>
      </c>
      <c r="V4" t="s">
        <v>1218</v>
      </c>
    </row>
    <row r="5" spans="1:29">
      <c r="B5" s="171">
        <v>0</v>
      </c>
      <c r="C5" s="171">
        <f>NORMSDIST(($B5-$B$2)/$B$3)*100</f>
        <v>1.2153167836658598</v>
      </c>
      <c r="H5">
        <f>info!W36</f>
        <v>37.926140000000011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37.926140000000011</v>
      </c>
      <c r="I6" s="171">
        <f>NORMSDIST((H6-$B$2)/$B$3)*100</f>
        <v>29.326630425714473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29.326630425714473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1.76274</v>
      </c>
    </row>
    <row r="3" spans="1:11" ht="18">
      <c r="A3" s="71" t="s">
        <v>1065</v>
      </c>
      <c r="B3" s="557">
        <v>0.71290976993199895</v>
      </c>
      <c r="C3" s="523"/>
      <c r="H3" s="561" t="s">
        <v>2223</v>
      </c>
      <c r="I3" s="562">
        <f>IF(I2=0,0,NORMSDIST((I2-$B$2)/$B$3)*100)</f>
        <v>42.366162269596295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1.76</v>
      </c>
    </row>
    <row r="6" spans="1:11">
      <c r="B6" s="23">
        <v>0</v>
      </c>
      <c r="C6" s="23">
        <f>NORMSDIST(($B6-$B$2)/$B$3)*100</f>
        <v>0.38478836223957635</v>
      </c>
      <c r="H6" s="205">
        <f>IF(info!V36&gt;I1,I1,info!V36)</f>
        <v>1.76274</v>
      </c>
      <c r="I6" s="560">
        <v>0</v>
      </c>
    </row>
    <row r="7" spans="1:11">
      <c r="B7" s="23">
        <f>B5+0.05</f>
        <v>0</v>
      </c>
      <c r="C7" s="23">
        <f t="shared" ref="C7:E58" si="0">NORMSDIST(($B7-$B$2)/$B$3)*100</f>
        <v>0.38478836223957635</v>
      </c>
      <c r="H7" s="205">
        <f>IF(info!V36&gt;I1,I1,info!V36)</f>
        <v>1.76274</v>
      </c>
      <c r="I7" s="560">
        <f>NORMSDIST((H7-$B$2)/$B$3)*100</f>
        <v>42.366162269596295</v>
      </c>
    </row>
    <row r="8" spans="1:11">
      <c r="B8" s="23">
        <f t="shared" ref="B8:B71" si="1">B7+0.05</f>
        <v>0.05</v>
      </c>
      <c r="C8" s="23">
        <f t="shared" si="0"/>
        <v>0.47295624138584591</v>
      </c>
      <c r="D8" s="171"/>
      <c r="H8" s="205">
        <v>0</v>
      </c>
      <c r="I8" s="560">
        <f>NORMSDIST((H7-$B$2)/$B$3)*100</f>
        <v>42.366162269596295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1.76274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1.76274</v>
      </c>
      <c r="I6" s="171">
        <f>NORMSDIST((H6-$B$2)/$B$3)*100</f>
        <v>5.8221651686797951E-2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5.8221651686797951E-2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45819.87128472222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Xb7e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1</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45819.87128472222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Xb7e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1</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