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IB4i^1^5^\"/>
    </mc:Choice>
  </mc:AlternateContent>
  <xr:revisionPtr revIDLastSave="0" documentId="13_ncr:1_{BF1E10E3-2CF9-47D9-B323-C0E0F02897C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8" l="1"/>
  <c r="N7" i="18"/>
  <c r="CL4" i="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P2" i="14"/>
  <c r="L8" i="37"/>
  <c r="L8" i="40"/>
  <c r="L8" i="44"/>
  <c r="L7" i="30"/>
  <c r="H8" i="33"/>
  <c r="Q8" i="36"/>
  <c r="H8" i="39"/>
  <c r="Q8" i="40"/>
  <c r="L7" i="42"/>
  <c r="Q8" i="44"/>
  <c r="L7" i="46"/>
  <c r="L8" i="36"/>
  <c r="L7" i="38"/>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AF4" i="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39" i="11"/>
  <c r="Y40" i="11"/>
  <c r="Y43" i="11"/>
  <c r="Y48" i="11"/>
  <c r="Y4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6" i="1" l="1"/>
  <c r="Y10" i="1"/>
  <c r="C213" i="17"/>
  <c r="B213" i="17" s="1"/>
  <c r="A214" i="17"/>
  <c r="F211" i="11"/>
  <c r="A212" i="11"/>
  <c r="B211" i="11"/>
  <c r="E211" i="11" s="1"/>
  <c r="Y11" i="1" l="1"/>
  <c r="Y7" i="1"/>
  <c r="Y14" i="1"/>
  <c r="L35" i="48"/>
  <c r="L35" i="18"/>
  <c r="L41" i="48"/>
  <c r="L41" i="18"/>
  <c r="C214" i="17"/>
  <c r="B214" i="17" s="1"/>
  <c r="A215" i="17"/>
  <c r="F212" i="11"/>
  <c r="A213" i="11"/>
  <c r="B212" i="11"/>
  <c r="E212" i="11" s="1"/>
  <c r="Y12" i="1" l="1"/>
  <c r="Y13" i="1"/>
  <c r="L39" i="48"/>
  <c r="L39" i="18"/>
  <c r="L32" i="48"/>
  <c r="L32" i="18"/>
  <c r="L36" i="48"/>
  <c r="L36" i="18"/>
  <c r="C215" i="17"/>
  <c r="B215" i="17" s="1"/>
  <c r="A216" i="17"/>
  <c r="F213" i="11"/>
  <c r="B213" i="11"/>
  <c r="E213" i="11" s="1"/>
  <c r="A214" i="11"/>
  <c r="L38" i="48" l="1"/>
  <c r="L38"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18" l="1"/>
  <c r="J28" i="4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AZ16" i="11" s="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<sst xmlns="http://schemas.openxmlformats.org/spreadsheetml/2006/main" count="7432" uniqueCount="2706">
  <si>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</si>
  <si>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</si>
  <si>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</si>
  <si>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</si>
  <si>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</si>
  <si>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</si>
  <si>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</si>
  <si>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</si>
  <si>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</si>
  <si>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</si>
  <si>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</si>
  <si>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</si>
  <si>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</si>
  <si>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</si>
  <si>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</si>
  <si>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</si>
  <si>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</si>
  <si>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</si>
  <si>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</si>
  <si>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</si>
  <si>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</si>
  <si>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</si>
  <si>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</si>
  <si>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</si>
  <si>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</si>
  <si>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</si>
  <si>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</si>
  <si>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</si>
  <si>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</si>
  <si>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</si>
  <si>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</si>
  <si>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</si>
  <si>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</si>
  <si>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</si>
  <si>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</si>
  <si>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</si>
  <si>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</si>
  <si>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</si>
  <si>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</si>
  <si>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</si>
  <si>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</si>
  <si>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</si>
  <si>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</si>
  <si>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</si>
  <si>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</si>
  <si>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</si>
  <si>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</si>
  <si>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</si>
  <si>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</si>
  <si>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</si>
  <si>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</si>
  <si>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</si>
  <si>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</si>
  <si>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</si>
  <si>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</si>
  <si>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</si>
  <si>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</si>
  <si>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</si>
  <si>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</si>
  <si>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</si>
  <si>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</si>
  <si>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</si>
  <si>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</si>
  <si>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</si>
  <si>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</si>
  <si>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</si>
  <si>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</si>
  <si>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</si>
  <si>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</si>
  <si>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</si>
  <si>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</si>
  <si>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</si>
  <si>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</si>
  <si>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</si>
  <si>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</si>
  <si>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</si>
  <si>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</si>
  <si>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</si>
  <si>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</si>
  <si>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</si>
  <si>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</si>
  <si>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</si>
  <si>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</si>
  <si>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</si>
  <si>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</si>
  <si>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</si>
  <si>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</si>
  <si>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</si>
  <si>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</si>
  <si>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</si>
  <si>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</si>
  <si>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</si>
  <si>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</si>
  <si>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</si>
  <si>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</si>
  <si>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</si>
  <si>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</si>
  <si>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</si>
  <si>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</si>
  <si>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</si>
  <si>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</si>
  <si>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</si>
  <si>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</si>
  <si>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</si>
  <si>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</si>
  <si>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</si>
  <si>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</si>
  <si>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</si>
  <si>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</si>
  <si>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</si>
  <si>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</si>
  <si>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</si>
  <si>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</si>
  <si>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</si>
  <si>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</si>
  <si>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</si>
  <si>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</si>
  <si>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</si>
  <si>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</si>
  <si>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</si>
  <si>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</si>
  <si>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</si>
  <si>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</si>
  <si>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</si>
  <si>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</si>
  <si>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</si>
  <si>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</si>
  <si>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</si>
  <si>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</si>
  <si>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</si>
  <si>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</si>
  <si>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</si>
  <si>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</si>
  <si>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</si>
  <si>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</si>
  <si>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</si>
  <si>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</si>
  <si>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</si>
  <si>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</si>
  <si>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</si>
  <si>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</si>
  <si>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</si>
  <si>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</si>
  <si>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</si>
  <si>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</si>
  <si>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</si>
  <si>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</si>
  <si>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</si>
  <si>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</si>
  <si>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</si>
  <si>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</si>
  <si>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</si>
  <si>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</si>
  <si>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</si>
  <si>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</si>
  <si>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</si>
  <si>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</si>
  <si>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</si>
  <si>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</si>
  <si>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</si>
  <si>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</si>
  <si>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</si>
  <si>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</si>
  <si>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</si>
  <si>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</si>
  <si>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</si>
  <si>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</si>
  <si>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</si>
  <si>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</si>
  <si>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</si>
  <si>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</si>
  <si>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</si>
  <si>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</si>
  <si>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</si>
  <si>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</si>
  <si>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</si>
  <si>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</si>
  <si>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</si>
  <si>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</si>
  <si>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</si>
  <si>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</si>
  <si>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</si>
  <si>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</si>
  <si>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</si>
  <si>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</si>
  <si>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</si>
  <si>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</si>
  <si>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</si>
  <si>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</si>
  <si>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</si>
  <si>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</si>
  <si>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</si>
  <si>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</si>
  <si>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</si>
  <si>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</si>
  <si>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</si>
  <si>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</si>
  <si>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</si>
  <si>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</si>
  <si>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</si>
  <si>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</si>
  <si>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</si>
  <si>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</si>
  <si>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</si>
  <si>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</si>
  <si>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</si>
  <si>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</si>
  <si>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</si>
  <si>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</si>
  <si>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</si>
  <si>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</si>
  <si>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</si>
  <si>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</si>
  <si>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</si>
  <si>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</si>
  <si>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</si>
  <si>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</si>
  <si>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</si>
  <si>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</si>
  <si>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</si>
  <si>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</si>
  <si>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</si>
  <si>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</si>
  <si>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</si>
  <si>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</si>
  <si>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</si>
  <si>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</si>
  <si>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</si>
  <si>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</si>
  <si>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</si>
  <si>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</si>
  <si>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</si>
  <si>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</si>
  <si>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</si>
  <si>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</si>
  <si>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</si>
  <si>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</si>
  <si>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</si>
  <si>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</si>
  <si>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</si>
  <si>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</si>
  <si>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</si>
  <si>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</si>
  <si>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</si>
  <si>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</si>
  <si>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</si>
  <si>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</si>
  <si>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</si>
  <si>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</si>
  <si>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</si>
  <si>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</si>
  <si>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</si>
  <si>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</si>
  <si>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</si>
  <si>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</si>
  <si>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</si>
  <si>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</si>
  <si>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</si>
  <si>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</si>
  <si>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</si>
  <si>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</si>
  <si>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</si>
  <si>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</si>
  <si>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</si>
  <si>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</si>
  <si>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</si>
  <si>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</si>
  <si>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</si>
  <si>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</si>
  <si>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</si>
  <si>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</si>
  <si>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</si>
  <si>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</si>
  <si>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</si>
  <si>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</si>
  <si>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</si>
  <si>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</si>
  <si>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</si>
  <si>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</si>
  <si>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</si>
  <si>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</si>
  <si>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</si>
  <si>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</si>
  <si>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</si>
  <si>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</si>
  <si>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</si>
  <si>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</si>
  <si>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</si>
  <si>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</si>
  <si>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</si>
  <si>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</si>
  <si>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</si>
  <si>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</si>
  <si>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</si>
  <si>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</si>
  <si>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</si>
  <si>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</si>
  <si>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</si>
  <si>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</si>
  <si>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</si>
  <si>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</si>
  <si>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</si>
  <si>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</si>
  <si>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</si>
  <si>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</si>
  <si>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</si>
  <si>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</si>
  <si>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</si>
  <si>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</si>
  <si>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</si>
  <si>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</si>
  <si>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</si>
  <si>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</si>
  <si>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</si>
  <si>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</si>
  <si>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</si>
  <si>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</si>
  <si>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</si>
  <si>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</si>
  <si>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</si>
  <si>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</si>
  <si>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</si>
  <si>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</si>
  <si>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</si>
  <si>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</si>
  <si>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</si>
  <si>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</si>
  <si>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</si>
  <si>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</si>
  <si>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</si>
  <si>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</si>
  <si>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</si>
  <si>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</si>
  <si>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</si>
  <si>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</si>
  <si>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</si>
  <si>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</si>
  <si>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</si>
  <si>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</si>
  <si>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</si>
  <si>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</si>
  <si>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</si>
  <si>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</si>
  <si>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</si>
  <si>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</si>
  <si>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</si>
  <si>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</si>
  <si>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</si>
  <si>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</si>
  <si>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</si>
  <si>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</si>
  <si>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</si>
  <si>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</si>
  <si>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</si>
  <si>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</si>
  <si>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</si>
  <si>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</si>
  <si>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</si>
  <si>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</si>
  <si>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</si>
  <si>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</si>
  <si>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</si>
  <si>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</si>
  <si>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</si>
  <si>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</si>
  <si>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</si>
  <si>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</si>
  <si>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</si>
  <si>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</si>
  <si>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</si>
  <si>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</si>
  <si>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</si>
  <si>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</si>
  <si>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</si>
  <si>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</si>
  <si>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</si>
  <si>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</si>
  <si>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</si>
  <si>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</si>
  <si>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</si>
  <si>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</si>
  <si>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</si>
  <si>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</si>
  <si>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</si>
  <si>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</si>
  <si>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</si>
  <si>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</si>
  <si>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</si>
  <si>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</si>
  <si>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</si>
  <si>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</si>
  <si>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</si>
  <si>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</si>
  <si>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</si>
  <si>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</si>
  <si>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</si>
  <si>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</si>
  <si>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</si>
  <si>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</si>
  <si>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</si>
  <si>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</si>
  <si>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</si>
  <si>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</si>
  <si>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</si>
  <si>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</si>
  <si>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</si>
  <si>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</si>
  <si>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</si>
  <si>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</si>
  <si>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</si>
  <si>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</si>
  <si>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</si>
  <si>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</si>
  <si>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</si>
  <si>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</si>
  <si>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</si>
  <si>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</si>
  <si>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</si>
  <si>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</si>
  <si>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</si>
  <si>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</si>
  <si>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</si>
  <si>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</si>
  <si>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</si>
  <si>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</si>
  <si>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</si>
  <si>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</si>
  <si>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</si>
  <si>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</si>
  <si>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</si>
  <si>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</si>
  <si>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</si>
  <si>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</si>
  <si>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</si>
  <si>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</si>
  <si>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</si>
  <si>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</si>
  <si>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</si>
  <si>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</si>
  <si>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</si>
  <si>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</si>
  <si>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</si>
  <si>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</si>
  <si>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</si>
  <si>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</si>
  <si>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</si>
  <si>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</si>
  <si>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</si>
  <si>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</si>
  <si>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</si>
  <si>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</si>
  <si>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</si>
  <si>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</si>
  <si>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</si>
  <si>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</si>
  <si>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</si>
  <si>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</si>
  <si>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</si>
  <si>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</si>
  <si>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</si>
  <si>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</si>
  <si>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</si>
  <si>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</si>
  <si>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</si>
  <si>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</si>
  <si>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</si>
  <si>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</si>
  <si>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</si>
  <si>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</si>
  <si>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</si>
  <si>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</si>
  <si>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</si>
  <si>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</si>
  <si>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</si>
  <si>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</si>
  <si>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</si>
  <si>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</si>
  <si>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</si>
  <si>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</si>
  <si>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</si>
  <si>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</si>
  <si>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</si>
  <si>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</si>
  <si>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</si>
  <si>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</si>
  <si>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</si>
  <si>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</si>
  <si>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</si>
  <si>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</si>
  <si>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</si>
  <si>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</si>
  <si>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</si>
  <si>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</si>
  <si>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</si>
  <si>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</si>
  <si>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</si>
  <si>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</si>
  <si>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</si>
  <si>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</si>
  <si>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</si>
  <si>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</si>
  <si>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</si>
  <si>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</si>
  <si>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</si>
  <si>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</si>
  <si>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</si>
  <si>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</si>
  <si>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</si>
  <si>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</si>
  <si>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</si>
  <si>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</si>
  <si>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</si>
  <si>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</si>
  <si>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</si>
  <si>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</si>
  <si>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</si>
  <si>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</si>
  <si>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</si>
  <si>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</si>
  <si>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</si>
  <si>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</si>
  <si>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</si>
  <si>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</si>
  <si>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</si>
  <si>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</si>
  <si>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</si>
  <si>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</si>
  <si>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</si>
  <si>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</si>
  <si>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</si>
  <si>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</si>
  <si>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</si>
  <si>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</si>
  <si>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</si>
  <si>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</si>
  <si>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</si>
  <si>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</si>
  <si>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</si>
  <si>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</si>
  <si>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</si>
  <si>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</si>
  <si>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</si>
  <si>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</si>
  <si>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</si>
  <si>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</si>
  <si>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</si>
  <si>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</si>
  <si>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</si>
  <si>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</si>
  <si>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</si>
  <si>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</si>
  <si>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</si>
  <si>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</si>
  <si>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</si>
  <si>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</si>
  <si>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</si>
  <si>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</si>
  <si>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</si>
  <si>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</si>
  <si>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</si>
  <si>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</si>
  <si>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</si>
  <si>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</si>
  <si>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</si>
  <si>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</si>
  <si>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</si>
  <si>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</si>
  <si>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</si>
  <si>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</si>
  <si>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</si>
  <si>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</si>
  <si>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</si>
  <si>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</si>
  <si>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</si>
  <si>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</si>
  <si>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</si>
  <si>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</si>
  <si>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</si>
  <si>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</si>
  <si>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</si>
  <si>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</si>
  <si>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</si>
  <si>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</si>
  <si>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</si>
  <si>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</si>
  <si>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</si>
  <si>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</si>
  <si>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</si>
  <si>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</si>
  <si>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</si>
  <si>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</si>
  <si>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</si>
  <si>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</si>
  <si>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</si>
  <si>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</si>
  <si>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</si>
  <si>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</si>
  <si>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</si>
  <si>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</si>
  <si>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</si>
  <si>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</si>
  <si>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</si>
  <si>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</si>
  <si>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</si>
  <si>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</si>
  <si>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</si>
  <si>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</si>
  <si>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</si>
  <si>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</si>
  <si>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</si>
  <si>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</si>
  <si>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</si>
  <si>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</si>
  <si>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</si>
  <si>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</si>
  <si>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</si>
  <si>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</si>
  <si>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</si>
  <si>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</si>
  <si>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</si>
  <si>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</si>
  <si>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</si>
  <si>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</si>
  <si>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</si>
  <si>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</si>
  <si>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</si>
  <si>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</si>
  <si>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</si>
  <si>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</si>
  <si>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</si>
  <si>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</si>
  <si>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</si>
  <si>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</si>
  <si>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</si>
  <si>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</si>
  <si>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</si>
  <si>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</si>
  <si>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</si>
  <si>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</si>
  <si>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</si>
  <si>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</si>
  <si>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</si>
  <si>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</si>
  <si>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</si>
  <si>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</si>
  <si>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</si>
  <si>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</si>
  <si>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</si>
  <si>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</si>
  <si>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</si>
  <si>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</si>
  <si>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</si>
  <si>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</si>
  <si>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</si>
  <si>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</si>
  <si>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</si>
  <si>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</si>
  <si>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</si>
  <si>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</si>
  <si>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</si>
  <si>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</si>
  <si>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</si>
  <si>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</si>
  <si>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</si>
  <si>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</si>
  <si>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</si>
  <si>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</si>
  <si>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</si>
  <si>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</si>
  <si>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</si>
  <si>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</si>
  <si>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</si>
  <si>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</si>
  <si>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</si>
  <si>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</si>
  <si>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</si>
  <si>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</si>
  <si>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</si>
  <si>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</si>
  <si>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</si>
  <si>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</si>
  <si>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</si>
  <si>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</si>
  <si>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</si>
  <si>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</si>
  <si>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</si>
  <si>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</si>
  <si>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</si>
  <si>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</si>
  <si>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</si>
  <si>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</si>
  <si>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</si>
  <si>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</si>
  <si>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</si>
  <si>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</si>
  <si>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</si>
  <si>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</si>
  <si>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</si>
  <si>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</si>
  <si>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</si>
  <si>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</si>
  <si>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</si>
  <si>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</si>
  <si>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</si>
  <si>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</si>
  <si>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</si>
  <si>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</si>
  <si>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</si>
  <si>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</si>
  <si>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</si>
  <si>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</si>
  <si>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</si>
  <si>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</si>
  <si>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</si>
  <si>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</si>
  <si>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</si>
  <si>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</si>
  <si>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</si>
  <si>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</si>
  <si>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</si>
  <si>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</si>
  <si>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</si>
  <si>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</si>
  <si>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</si>
  <si>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</si>
  <si>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</si>
  <si>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</si>
  <si>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</si>
  <si>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</si>
  <si>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</si>
  <si>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</si>
  <si>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</si>
  <si>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</si>
  <si>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</si>
  <si>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</si>
  <si>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</si>
  <si>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</si>
  <si>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</si>
  <si>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</si>
  <si>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</si>
  <si>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</si>
  <si>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</si>
  <si>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</si>
  <si>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</si>
  <si>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</si>
  <si>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</si>
  <si>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</si>
  <si>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</si>
  <si>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</si>
  <si>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</si>
  <si>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</si>
  <si>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</si>
  <si>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</si>
  <si>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</si>
  <si>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</si>
  <si>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</si>
  <si>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</si>
  <si>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</si>
  <si>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</si>
  <si>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</si>
  <si>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</si>
  <si>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</si>
  <si>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</si>
  <si>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</si>
  <si>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</si>
  <si>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</si>
  <si>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</si>
  <si>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</si>
  <si>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</si>
  <si>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</si>
  <si>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</si>
  <si>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</si>
  <si>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</si>
  <si>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</si>
  <si>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</si>
  <si>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</si>
  <si>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</si>
  <si>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</si>
  <si>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</si>
  <si>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</si>
  <si>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</si>
  <si>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</si>
  <si>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</si>
  <si>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</si>
  <si>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</si>
  <si>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</si>
  <si>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</si>
  <si>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</si>
  <si>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</si>
  <si>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</si>
  <si>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</si>
  <si>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</si>
  <si>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</si>
  <si>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</si>
  <si>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</si>
  <si>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</si>
  <si>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</si>
  <si>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</si>
  <si>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</si>
  <si>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</si>
  <si>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</si>
  <si>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</si>
  <si>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</si>
  <si>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</si>
  <si>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</si>
  <si>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</si>
  <si>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</si>
  <si>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</si>
  <si>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</si>
  <si>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</si>
  <si>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</si>
  <si>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</si>
  <si>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</si>
  <si>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</si>
  <si>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</si>
  <si>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</si>
  <si>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</si>
  <si>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</si>
  <si>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</si>
  <si>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</si>
  <si>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</si>
  <si>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</si>
  <si>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</si>
  <si>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</si>
  <si>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</si>
  <si>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</si>
  <si>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</si>
  <si>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</si>
  <si>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</si>
  <si>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</si>
  <si>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</si>
  <si>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</si>
  <si>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</si>
  <si>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</si>
  <si>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</si>
  <si>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</si>
  <si>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</si>
  <si>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</si>
  <si>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</si>
  <si>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</si>
  <si>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</si>
  <si>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</si>
  <si>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</si>
  <si>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</si>
  <si>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</si>
  <si>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</si>
  <si>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</si>
  <si>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</si>
  <si>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</si>
  <si>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</si>
  <si>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</si>
  <si>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</si>
  <si>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</si>
  <si>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</si>
  <si>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</si>
  <si>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</si>
  <si>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</si>
  <si>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</si>
  <si>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</si>
  <si>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</si>
  <si>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</si>
  <si>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</si>
  <si>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</si>
  <si>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</si>
  <si>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</si>
  <si>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</si>
  <si>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</si>
  <si>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</si>
  <si>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</si>
  <si>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</si>
  <si>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</si>
  <si>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</si>
  <si>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</si>
  <si>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</si>
  <si>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</si>
  <si>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</si>
  <si>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</si>
  <si>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</si>
  <si>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</si>
  <si>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</si>
  <si>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</si>
  <si>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</si>
  <si>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</si>
  <si>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</si>
  <si>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</si>
  <si>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</si>
  <si>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</si>
  <si>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</si>
  <si>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</si>
  <si>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</si>
  <si>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</si>
  <si>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</si>
  <si>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</si>
  <si>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</si>
  <si>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</si>
  <si>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</si>
  <si>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</si>
  <si>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</si>
  <si>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</si>
  <si>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</si>
  <si>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</si>
  <si>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</si>
  <si>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</si>
  <si>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</si>
  <si>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</si>
  <si>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</si>
  <si>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</si>
  <si>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</si>
  <si>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</si>
  <si>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</si>
  <si>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</si>
  <si>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</si>
  <si>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</si>
  <si>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</si>
  <si>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</si>
  <si>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</si>
  <si>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</si>
  <si>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</si>
  <si>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</si>
  <si>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</si>
  <si>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</si>
  <si>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</si>
  <si>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</si>
  <si>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</si>
  <si>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</si>
  <si>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</si>
  <si>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</si>
  <si>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</si>
  <si>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</si>
  <si>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</si>
  <si>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</si>
  <si>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</si>
  <si>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</si>
  <si>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</si>
  <si>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</si>
  <si>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</si>
  <si>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</si>
  <si>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</si>
  <si>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</si>
  <si>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</si>
  <si>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</si>
  <si>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</si>
  <si>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</si>
  <si>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</si>
  <si>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</si>
  <si>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</si>
  <si>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</si>
  <si>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</si>
  <si>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</si>
  <si>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</si>
  <si>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</si>
  <si>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</si>
  <si>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</si>
  <si>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</si>
  <si>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</si>
  <si>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</si>
  <si>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</si>
  <si>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</si>
  <si>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</si>
  <si>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</si>
  <si>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</si>
  <si>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</si>
  <si>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</si>
  <si>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</si>
  <si>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</si>
  <si>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</si>
  <si>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</si>
  <si>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</si>
  <si>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</si>
  <si>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</si>
  <si>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</si>
  <si>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</si>
  <si>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</si>
  <si>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</si>
  <si>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</si>
  <si>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</si>
  <si>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</si>
  <si>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</si>
  <si>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</si>
  <si>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</si>
  <si>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</si>
  <si>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</si>
  <si>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</si>
  <si>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</si>
  <si>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</si>
  <si>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</si>
  <si>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</si>
  <si>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</si>
  <si>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</si>
  <si>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</si>
  <si>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</si>
  <si>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</si>
  <si>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</si>
  <si>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</si>
  <si>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</si>
  <si>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</si>
  <si>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</si>
  <si>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</si>
  <si>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</si>
  <si>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</si>
  <si>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</si>
  <si>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</si>
  <si>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</si>
  <si>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</si>
  <si>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</si>
  <si>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</si>
  <si>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</si>
  <si>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</si>
  <si>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</si>
  <si>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</si>
  <si>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</si>
  <si>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</si>
  <si>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</si>
  <si>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</si>
  <si>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</si>
  <si>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</si>
  <si>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</si>
  <si>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</si>
  <si>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</si>
  <si>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</si>
  <si>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</si>
  <si>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</si>
  <si>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</si>
  <si>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</si>
  <si>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</si>
  <si>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</si>
  <si>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</si>
  <si>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</si>
  <si>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</si>
  <si>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</si>
  <si>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</si>
  <si>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</si>
  <si>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</si>
  <si>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</si>
  <si>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</si>
  <si>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</si>
  <si>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</si>
  <si>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</si>
  <si>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</si>
  <si>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</si>
  <si>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</si>
  <si>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</si>
  <si>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</si>
  <si>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</si>
  <si>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</si>
  <si>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</si>
  <si>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</si>
  <si>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</si>
  <si>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</si>
  <si>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</si>
  <si>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</si>
  <si>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</si>
  <si>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</si>
  <si>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</si>
  <si>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</si>
  <si>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</si>
  <si>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</si>
  <si>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</si>
  <si>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</si>
  <si>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</si>
  <si>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</si>
  <si>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</si>
  <si>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</si>
  <si>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</si>
  <si>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</si>
  <si>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</si>
  <si>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</si>
  <si>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</si>
  <si>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</si>
  <si>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</si>
  <si>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</si>
  <si>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</si>
  <si>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</si>
  <si>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</si>
  <si>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</si>
  <si>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</si>
  <si>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</si>
  <si>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</si>
  <si>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</si>
  <si>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</si>
  <si>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</si>
  <si>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</si>
  <si>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</si>
  <si>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</si>
  <si>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</si>
  <si>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</si>
  <si>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</si>
  <si>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</si>
  <si>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</si>
  <si>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</si>
  <si>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</si>
  <si>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</si>
  <si>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</si>
  <si>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</si>
  <si>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</si>
  <si>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</si>
  <si>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</si>
  <si>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</si>
  <si>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</si>
  <si>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</si>
  <si>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</si>
  <si>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</si>
  <si>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</si>
  <si>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</si>
  <si>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</si>
  <si>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</si>
  <si>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</si>
  <si>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</si>
  <si>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</si>
  <si>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</si>
  <si>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</si>
  <si>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</si>
  <si>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</si>
  <si>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</si>
  <si>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</si>
  <si>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</si>
  <si>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</si>
  <si>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</si>
  <si>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</si>
  <si>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</si>
  <si>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</si>
  <si>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</si>
  <si>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</si>
  <si>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</si>
  <si>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</si>
  <si>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</si>
  <si>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</si>
  <si>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</si>
  <si>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</si>
  <si>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</si>
  <si>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</si>
  <si>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</si>
  <si>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</si>
  <si>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</si>
  <si>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</si>
  <si>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</si>
  <si>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</si>
  <si>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</si>
  <si>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</si>
  <si>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</si>
  <si>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</si>
  <si>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</si>
  <si>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</si>
  <si>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</si>
  <si>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</si>
  <si>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</si>
  <si>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</si>
  <si>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</si>
  <si>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</si>
  <si>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</si>
  <si>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</si>
  <si>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</si>
  <si>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</si>
  <si>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</si>
  <si>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</si>
  <si>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</si>
  <si>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</si>
  <si>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</si>
  <si>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</si>
  <si>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</si>
  <si>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</si>
  <si>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</si>
  <si>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</si>
  <si>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</si>
  <si>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</si>
  <si>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</si>
  <si>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</si>
  <si>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</si>
  <si>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</si>
  <si>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</si>
  <si>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</si>
  <si>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</si>
  <si>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</si>
  <si>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</si>
  <si>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</si>
  <si>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</si>
  <si>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</si>
  <si>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</si>
  <si>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</si>
  <si>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</si>
  <si>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</si>
  <si>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</si>
  <si>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</si>
  <si>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</si>
  <si>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</si>
  <si>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</si>
  <si>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</si>
  <si>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</si>
  <si>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</si>
  <si>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</si>
  <si>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</si>
  <si>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</si>
  <si>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</si>
  <si>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</si>
  <si>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</si>
  <si>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</si>
  <si>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</si>
  <si>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</si>
  <si>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</si>
  <si>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</si>
  <si>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</si>
  <si>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</si>
  <si>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</si>
  <si>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</si>
  <si>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</si>
  <si>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</si>
  <si>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</si>
  <si>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</si>
  <si>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</si>
  <si>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</si>
  <si>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</si>
  <si>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</si>
  <si>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</si>
  <si>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</si>
  <si>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</si>
  <si>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</si>
  <si>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</si>
  <si>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</si>
  <si>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</si>
  <si>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</si>
  <si>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</si>
  <si>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</si>
  <si>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</si>
  <si>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</si>
  <si>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</si>
  <si>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</si>
  <si>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</si>
  <si>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</si>
  <si>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</si>
  <si>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</si>
  <si>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</si>
  <si>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</si>
  <si>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</si>
  <si>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</si>
  <si>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</si>
  <si>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</si>
  <si>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</si>
  <si>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</si>
  <si>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</si>
  <si>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</si>
  <si>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</si>
  <si>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</si>
  <si>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</si>
  <si>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</si>
  <si>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</si>
  <si>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</si>
  <si>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</si>
  <si>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</si>
  <si>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</si>
  <si>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</si>
  <si>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</si>
  <si>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</si>
  <si>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</si>
  <si>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</si>
  <si>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</si>
  <si>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</si>
  <si>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</si>
  <si>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</si>
  <si>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</si>
  <si>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</si>
  <si>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</si>
  <si>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</si>
  <si>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</si>
  <si>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</si>
  <si>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</si>
  <si>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</si>
  <si>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</si>
  <si>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</si>
  <si>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</si>
  <si>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</si>
  <si>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</si>
  <si>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</si>
  <si>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</si>
  <si>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</si>
  <si>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</si>
  <si>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</si>
  <si>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</si>
  <si>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</si>
  <si>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</si>
  <si>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</si>
  <si>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</si>
  <si>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</si>
  <si>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</si>
  <si>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</si>
  <si>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</si>
  <si>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</si>
  <si>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</si>
  <si>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</si>
  <si>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</si>
  <si>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</si>
  <si>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</si>
  <si>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</si>
  <si>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</si>
  <si>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</si>
  <si>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</si>
  <si>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</si>
  <si>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</si>
  <si>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</si>
  <si>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</si>
  <si>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</si>
  <si>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</si>
  <si>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</si>
  <si>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</si>
  <si>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</si>
  <si>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</si>
  <si>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</si>
  <si>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</si>
  <si>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</si>
  <si>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</si>
  <si>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</si>
  <si>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</si>
  <si>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</si>
  <si>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</si>
  <si>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</si>
  <si>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</si>
  <si>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</si>
  <si>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</si>
  <si>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</si>
  <si>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</si>
  <si>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</si>
  <si>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</si>
  <si>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</si>
  <si>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</si>
  <si>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</si>
  <si>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</si>
  <si>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</si>
  <si>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</si>
  <si>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</si>
  <si>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</si>
  <si>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</si>
  <si>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</si>
  <si>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</si>
  <si>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</si>
  <si>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</si>
  <si>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</si>
  <si>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</si>
  <si>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</si>
  <si>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</si>
  <si>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</si>
  <si>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</si>
  <si>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</si>
  <si>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</si>
  <si>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</si>
  <si>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</si>
  <si>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</si>
  <si>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</si>
  <si>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</si>
  <si>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</si>
  <si>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</si>
  <si>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</si>
  <si>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</si>
  <si>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</si>
  <si>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</si>
  <si>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</si>
  <si>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</si>
  <si>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</si>
  <si>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</si>
  <si>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</si>
  <si>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</si>
  <si>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</si>
  <si>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</si>
  <si>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</si>
  <si>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</si>
  <si>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</si>
  <si>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</si>
  <si>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</si>
  <si>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</si>
  <si>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</si>
  <si>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</si>
  <si>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</si>
  <si>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</si>
  <si>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</si>
  <si>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</si>
  <si>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</si>
  <si>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</si>
  <si>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</si>
  <si>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</si>
  <si>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</si>
  <si>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</si>
  <si>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</si>
  <si>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</si>
  <si>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</si>
  <si>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</si>
  <si>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</si>
  <si>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</si>
  <si>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</si>
  <si>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</si>
  <si>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</si>
  <si>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</si>
  <si>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</si>
  <si>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</si>
  <si>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</si>
  <si>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</si>
  <si>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</si>
  <si>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</si>
  <si>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</si>
  <si>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</si>
  <si>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</si>
  <si>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</si>
  <si>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</si>
  <si>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</si>
  <si>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</si>
  <si>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</si>
  <si>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</si>
  <si>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</si>
  <si>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</si>
  <si>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</si>
  <si>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</si>
  <si>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</si>
  <si>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</si>
  <si>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</si>
  <si>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</si>
  <si>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</si>
  <si>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</si>
  <si>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</si>
  <si>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</si>
  <si>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</si>
  <si>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</si>
  <si>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</si>
  <si>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</si>
  <si>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</si>
  <si>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</si>
  <si>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</si>
  <si>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</si>
  <si>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</si>
  <si>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</si>
  <si>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</si>
  <si>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</si>
  <si>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</si>
  <si>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</si>
  <si>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</si>
  <si>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</si>
  <si>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</si>
  <si>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</si>
  <si>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</si>
  <si>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</si>
  <si>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</si>
  <si>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</si>
  <si>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</si>
  <si>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</si>
  <si>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</si>
  <si>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</si>
  <si>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</si>
  <si>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</si>
  <si>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</si>
  <si>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</si>
  <si>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</si>
  <si>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</si>
  <si>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</si>
  <si>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</si>
  <si>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</si>
  <si>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</si>
  <si>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</si>
  <si>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</si>
  <si>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</si>
  <si>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</si>
  <si>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</si>
  <si>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</si>
  <si>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</si>
  <si>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</si>
  <si>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</si>
  <si>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</si>
  <si>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</si>
  <si>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</si>
  <si>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</si>
  <si>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</si>
  <si>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</si>
  <si>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</si>
  <si>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</si>
  <si>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</si>
  <si>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</si>
  <si>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</si>
  <si>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</si>
  <si>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</si>
  <si>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</si>
  <si>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</si>
  <si>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</si>
  <si>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</si>
  <si>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</si>
  <si>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</si>
  <si>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</si>
  <si>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</si>
  <si>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</si>
  <si>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</si>
  <si>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</si>
  <si>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</si>
  <si>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</si>
  <si>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</si>
  <si>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</si>
  <si>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</si>
  <si>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</si>
  <si>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</si>
  <si>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</si>
  <si>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</si>
  <si>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</si>
  <si>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</si>
  <si>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</si>
  <si>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</si>
  <si>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</si>
  <si>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</si>
  <si>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</si>
  <si>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</si>
  <si>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</si>
  <si>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</si>
  <si>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</si>
  <si>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</si>
  <si>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</si>
  <si>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</si>
  <si>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</si>
  <si>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</si>
  <si>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</si>
  <si>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</si>
  <si>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</si>
  <si>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</si>
  <si>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</si>
  <si>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</si>
  <si>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</si>
  <si>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</si>
  <si>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</si>
  <si>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</si>
  <si>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</si>
  <si>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</si>
  <si>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</si>
  <si>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</si>
  <si>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</si>
  <si>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</si>
  <si>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</si>
  <si>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</si>
  <si>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</si>
  <si>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</si>
  <si>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</si>
  <si>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</si>
  <si>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</si>
  <si>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</si>
  <si>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</si>
  <si>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</si>
  <si>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</si>
  <si>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</si>
  <si>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</si>
  <si>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</si>
  <si>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</si>
  <si>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</si>
  <si>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</si>
  <si>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</si>
  <si>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</si>
  <si>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</si>
  <si>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</si>
  <si>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</si>
  <si>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</si>
  <si>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</si>
  <si>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</si>
  <si>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</si>
  <si>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</si>
  <si>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</si>
  <si>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</si>
  <si>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</si>
  <si>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</si>
  <si>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</si>
  <si>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</si>
  <si>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</si>
  <si>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</si>
  <si>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</si>
  <si>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</si>
  <si>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</si>
  <si>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</si>
  <si>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</si>
  <si>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</si>
  <si>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</si>
  <si>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</si>
  <si>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</si>
  <si>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</si>
  <si>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</si>
  <si>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</si>
  <si>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</si>
  <si>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</si>
  <si>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</si>
  <si>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</si>
  <si>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</si>
  <si>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</si>
  <si>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</si>
  <si>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</si>
  <si>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</si>
  <si>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</si>
  <si>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</si>
  <si>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</si>
  <si>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</si>
  <si>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</si>
  <si>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</si>
  <si>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</si>
  <si>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</si>
  <si>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</si>
  <si>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</si>
  <si>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</si>
  <si>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</si>
  <si>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</si>
  <si>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</si>
  <si>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</si>
  <si>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</si>
  <si>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</si>
  <si>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</si>
  <si>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</si>
  <si>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</si>
  <si>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</si>
  <si>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</si>
  <si>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</si>
  <si>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</si>
  <si>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</si>
  <si>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</si>
  <si>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</si>
  <si>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</si>
  <si>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</si>
  <si>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</si>
  <si>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</si>
  <si>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</si>
  <si>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</si>
  <si>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</si>
  <si>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</si>
  <si>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</si>
  <si>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</si>
  <si>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</si>
  <si>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</si>
  <si>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</si>
  <si>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</si>
  <si>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</si>
  <si>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</si>
  <si>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</si>
  <si>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</si>
  <si>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</si>
  <si>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</si>
  <si>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</si>
  <si>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</si>
  <si>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</si>
  <si>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</si>
  <si>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</si>
  <si>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</si>
  <si>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</si>
  <si>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</si>
  <si>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</si>
  <si>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</si>
  <si>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</si>
  <si>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</si>
  <si>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</si>
  <si>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</si>
  <si>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</si>
  <si>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</si>
  <si>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</si>
  <si>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</si>
  <si>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</si>
  <si>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</si>
  <si>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</si>
  <si>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</si>
  <si>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</si>
  <si>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</si>
  <si>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</si>
  <si>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</si>
  <si>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</si>
  <si>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</si>
  <si>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</si>
  <si>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</si>
  <si>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</si>
  <si>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</si>
  <si>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</si>
  <si>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</si>
  <si>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</si>
  <si>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</si>
  <si>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</si>
  <si>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</si>
  <si>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</si>
  <si>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</si>
  <si>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</si>
  <si>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</si>
  <si>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</si>
  <si>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</si>
  <si>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</si>
  <si>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</si>
  <si>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</si>
  <si>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</si>
  <si>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</si>
  <si>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</si>
  <si>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</si>
  <si>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</si>
  <si>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</si>
  <si>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</si>
  <si>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</si>
  <si>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</si>
  <si>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</si>
  <si>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</si>
  <si>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</si>
  <si>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</si>
  <si>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</si>
  <si>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</si>
  <si>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</si>
  <si>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</si>
  <si>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</si>
  <si>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</si>
  <si>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</si>
  <si>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</si>
  <si>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</si>
  <si>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</si>
  <si>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</si>
  <si>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</si>
  <si>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</si>
  <si>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</si>
  <si>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</si>
  <si>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</si>
  <si>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</si>
  <si>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</si>
  <si>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</si>
  <si>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</si>
  <si>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</si>
  <si>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</si>
  <si>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</si>
  <si>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</si>
  <si>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</si>
  <si>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</si>
  <si>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</si>
  <si>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</si>
  <si>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</si>
  <si>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</si>
  <si>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</si>
  <si>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</si>
  <si>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</si>
  <si>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</si>
  <si>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</si>
  <si>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</si>
  <si>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</si>
  <si>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</si>
  <si>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</si>
  <si>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</si>
  <si>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</si>
  <si>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</si>
  <si>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</si>
  <si>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</si>
  <si>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</si>
  <si>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</si>
  <si>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</si>
  <si>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</si>
  <si>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</si>
  <si>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</si>
  <si>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</si>
  <si>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</si>
  <si>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</si>
  <si>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</si>
  <si>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</si>
  <si>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</si>
  <si>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</si>
  <si>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</si>
  <si>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</si>
  <si>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</si>
  <si>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</si>
  <si>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</si>
  <si>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</si>
  <si>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</si>
  <si>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</si>
  <si>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</si>
  <si>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</si>
  <si>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</si>
  <si>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</si>
  <si>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</si>
  <si>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</si>
  <si>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</si>
  <si>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</si>
  <si>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</si>
  <si>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</si>
  <si>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</si>
  <si>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</si>
  <si>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</si>
  <si>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</si>
  <si>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</si>
  <si>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</si>
  <si>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</si>
  <si>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</si>
  <si>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</si>
  <si>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</si>
  <si>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</si>
  <si>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</si>
  <si>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</si>
  <si>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</si>
  <si>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</si>
  <si>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</si>
  <si>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</si>
  <si>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</si>
  <si>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</si>
  <si>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</si>
  <si>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</si>
  <si>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</si>
  <si>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</si>
  <si>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</si>
  <si>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</si>
  <si>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</si>
  <si>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</si>
  <si>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</si>
  <si>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</si>
  <si>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</si>
  <si>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</si>
  <si>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</si>
  <si>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</si>
  <si>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</si>
  <si>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</si>
  <si>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</si>
  <si>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</si>
  <si>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</si>
  <si>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</si>
  <si>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</si>
  <si>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</si>
  <si>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</si>
  <si>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</si>
  <si>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</si>
  <si>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</si>
  <si>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</si>
  <si>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</si>
  <si>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</si>
  <si>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</si>
  <si>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</si>
  <si>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</si>
  <si>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</si>
  <si>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</si>
  <si>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</si>
  <si>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</si>
  <si>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</si>
  <si>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</si>
  <si>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</si>
  <si>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</si>
  <si>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</si>
  <si>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</si>
  <si>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</si>
  <si>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</si>
  <si>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</si>
  <si>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</si>
  <si>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</si>
  <si>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</si>
  <si>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</si>
  <si>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</si>
  <si>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</si>
  <si>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</si>
  <si>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</si>
  <si>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</si>
  <si>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</si>
  <si>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</si>
  <si>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</si>
  <si>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</si>
  <si>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</si>
  <si>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</si>
  <si>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</si>
  <si>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</si>
  <si>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</si>
  <si>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</si>
  <si>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</si>
  <si>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</si>
  <si>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</si>
  <si>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</si>
  <si>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</si>
  <si>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</si>
  <si>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</si>
  <si>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</si>
  <si>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</si>
  <si>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</si>
  <si>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</si>
  <si>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</si>
  <si>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</si>
  <si>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</si>
  <si>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</si>
  <si>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</si>
  <si>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</si>
  <si>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</si>
  <si>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</si>
  <si>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</si>
  <si>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</si>
  <si>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</si>
  <si>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</si>
  <si>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</si>
  <si>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</si>
  <si>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</si>
  <si>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</si>
  <si>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</si>
  <si>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</si>
  <si>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</si>
  <si>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</si>
  <si>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</si>
  <si>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</si>
  <si>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</si>
  <si>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</si>
  <si>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</si>
  <si>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</si>
  <si>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</si>
  <si>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</si>
  <si>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</si>
  <si>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</si>
  <si>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</si>
  <si>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</si>
  <si>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</si>
  <si>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</si>
  <si>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</si>
  <si>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</si>
  <si>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</si>
  <si>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</si>
  <si>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</si>
  <si>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</si>
  <si>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</si>
  <si>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</si>
  <si>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</si>
  <si>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</si>
  <si>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</si>
  <si>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</si>
  <si>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</si>
  <si>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</si>
  <si>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</si>
  <si>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</si>
  <si>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</si>
  <si>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</si>
  <si>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</si>
  <si>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</si>
  <si>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</si>
  <si>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</si>
  <si>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</si>
  <si>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</si>
  <si>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</si>
  <si>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</si>
  <si>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</si>
  <si>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</si>
  <si>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</si>
  <si>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</si>
  <si>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</si>
  <si>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</si>
  <si>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</si>
  <si>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</si>
  <si>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</si>
  <si>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</si>
  <si>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</si>
  <si>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</si>
  <si>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</si>
  <si>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</si>
  <si>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</si>
  <si>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</si>
  <si>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</si>
  <si>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</si>
  <si>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</si>
  <si>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</si>
  <si>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</si>
  <si>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</si>
  <si>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</si>
  <si>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</si>
  <si>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</si>
  <si>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</si>
  <si>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</si>
  <si>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</si>
  <si>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</si>
  <si>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</si>
  <si>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</si>
  <si>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</si>
  <si>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</si>
  <si>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</si>
  <si>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</si>
  <si>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</si>
  <si>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</si>
  <si>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</si>
  <si>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</si>
  <si>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</si>
  <si>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</si>
  <si>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</si>
  <si>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</si>
  <si>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</si>
  <si>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</si>
  <si>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</si>
  <si>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</si>
  <si>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</si>
  <si>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</si>
  <si>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</si>
  <si>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</si>
  <si>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</si>
  <si>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</si>
  <si>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</si>
  <si>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</si>
  <si>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</si>
  <si>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</si>
  <si>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</si>
  <si>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</si>
  <si>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</si>
  <si>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</si>
  <si>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</si>
  <si>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</si>
  <si>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</si>
  <si>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</si>
  <si>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</si>
  <si>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</si>
  <si>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</si>
  <si>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</si>
  <si>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</si>
  <si>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</si>
  <si>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</si>
  <si>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</si>
  <si>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</si>
  <si>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</si>
  <si>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</si>
  <si>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</si>
  <si>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</si>
  <si>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</si>
  <si>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</si>
  <si>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</si>
  <si>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</si>
  <si>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</si>
  <si>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</si>
  <si>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</si>
  <si>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</si>
  <si>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</si>
  <si>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</si>
  <si>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</si>
  <si>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</si>
  <si>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</si>
  <si>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</si>
  <si>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</si>
  <si>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</si>
  <si>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</si>
  <si>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</si>
  <si>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</si>
  <si>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</si>
  <si>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</si>
  <si>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</si>
  <si>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</si>
  <si>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</si>
  <si>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</si>
  <si>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</si>
  <si>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</si>
  <si>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</si>
  <si>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</si>
  <si>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</si>
  <si>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</si>
  <si>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</si>
  <si>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</si>
  <si>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</si>
  <si>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</si>
  <si>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</si>
  <si>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</si>
  <si>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</si>
  <si>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</si>
  <si>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</si>
  <si>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</si>
  <si>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</si>
  <si>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</si>
  <si>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</si>
  <si>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</si>
  <si>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</si>
  <si>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</si>
  <si>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</si>
  <si>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</si>
  <si>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</si>
  <si>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</si>
  <si>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</si>
  <si>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</si>
  <si>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</si>
  <si>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</si>
  <si>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</si>
  <si>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</si>
  <si>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</si>
  <si>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</si>
  <si>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</si>
  <si>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</si>
  <si>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</si>
  <si>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</si>
  <si>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</si>
  <si>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</si>
  <si>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</si>
  <si>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</si>
  <si>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</si>
  <si>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</si>
  <si>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</si>
  <si>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</si>
  <si>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</si>
  <si>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</si>
  <si>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</si>
  <si>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</si>
  <si>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</si>
  <si>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</si>
  <si>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</si>
  <si>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</si>
  <si>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</si>
  <si>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</si>
  <si>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</si>
  <si>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</si>
  <si>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</si>
  <si>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</si>
  <si>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</si>
  <si>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</si>
  <si>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</si>
  <si>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</si>
  <si>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</si>
  <si>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</si>
  <si>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</si>
  <si>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</si>
  <si>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</si>
  <si>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</si>
  <si>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</si>
  <si>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</si>
  <si>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</si>
  <si>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</si>
  <si>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</si>
  <si>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</si>
  <si>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</si>
  <si>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</si>
  <si>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</si>
  <si>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</si>
  <si>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</si>
  <si>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</si>
  <si>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</si>
  <si>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</si>
  <si>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</si>
  <si>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</si>
  <si>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</si>
  <si>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</si>
  <si>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</si>
  <si>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</si>
  <si>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</si>
  <si>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</si>
  <si>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</si>
  <si>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</si>
  <si>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</si>
  <si>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</si>
  <si>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</si>
  <si>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</si>
  <si>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</si>
  <si>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</si>
  <si>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</si>
  <si>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</si>
  <si>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</si>
  <si>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</si>
  <si>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</si>
  <si>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</si>
  <si>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</si>
  <si>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</si>
  <si>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</si>
  <si>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</si>
  <si>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</si>
  <si>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</si>
  <si>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</si>
  <si>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</si>
  <si>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</si>
  <si>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</si>
  <si>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</si>
  <si>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</si>
  <si>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</si>
  <si>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</si>
  <si>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</si>
  <si>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</si>
  <si>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</si>
  <si>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</si>
  <si>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</si>
  <si>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</si>
  <si>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</si>
  <si>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</si>
  <si>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</si>
  <si>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</si>
  <si>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</si>
  <si>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</si>
  <si>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</si>
  <si>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</si>
  <si>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</si>
  <si>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</si>
  <si>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</si>
  <si>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</si>
  <si>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</si>
  <si>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</si>
  <si>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</si>
  <si>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</si>
  <si>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</si>
  <si>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</si>
  <si>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</si>
  <si>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</si>
  <si>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</si>
  <si>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</si>
  <si>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</si>
  <si>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</si>
  <si>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</si>
  <si>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</si>
  <si>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</si>
  <si>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</si>
  <si>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</si>
  <si>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</si>
  <si>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</si>
  <si>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</si>
  <si>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</si>
  <si>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</si>
  <si>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</si>
  <si>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</si>
  <si>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</si>
  <si>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</si>
  <si>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</si>
  <si>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</si>
  <si>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</si>
  <si>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</si>
  <si>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</si>
  <si>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</si>
  <si>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</si>
  <si>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</si>
  <si>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</si>
  <si>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</si>
  <si>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</si>
  <si>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</si>
  <si>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</si>
  <si>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</si>
  <si>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</si>
  <si>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</si>
  <si>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</si>
  <si>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</si>
  <si>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</si>
  <si>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</si>
  <si>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</si>
  <si>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</si>
  <si>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</si>
  <si>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</si>
  <si>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</si>
  <si>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</si>
  <si>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</si>
  <si>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</si>
  <si>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</si>
  <si>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</si>
  <si>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</si>
  <si>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</si>
  <si>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</si>
  <si>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</si>
  <si>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</si>
  <si>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</si>
  <si>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</si>
  <si>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</si>
  <si>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</si>
  <si>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</si>
  <si>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</si>
  <si>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</si>
  <si>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</si>
  <si>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</si>
  <si>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</si>
  <si>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</si>
  <si>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</si>
  <si>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</si>
  <si>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</si>
  <si>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</si>
  <si>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</si>
  <si>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</si>
  <si>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</si>
  <si>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</si>
  <si>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</si>
  <si>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</si>
  <si>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</si>
  <si>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</si>
  <si>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</si>
  <si>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</si>
  <si>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</si>
  <si>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</si>
  <si>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</si>
  <si>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</si>
  <si>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</si>
  <si>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</si>
  <si>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</si>
  <si>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</si>
  <si>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</si>
  <si>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</si>
  <si>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</si>
  <si>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</si>
  <si>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</si>
  <si>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</si>
  <si>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</si>
  <si>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</si>
  <si>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</si>
  <si>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</si>
  <si>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</si>
  <si>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</si>
  <si>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</si>
  <si>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</si>
  <si>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</si>
  <si>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</si>
  <si>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</si>
  <si>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</si>
  <si>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</si>
  <si>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</si>
  <si>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</si>
  <si>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</si>
  <si>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</si>
  <si>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</si>
  <si>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</si>
  <si>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</si>
  <si>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</si>
  <si>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</si>
  <si>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</si>
  <si>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</si>
  <si>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</si>
  <si>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</si>
  <si>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</si>
  <si>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</si>
  <si>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</si>
  <si>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</si>
  <si>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</si>
  <si>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</si>
  <si>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</si>
  <si>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</si>
  <si>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</si>
  <si>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</si>
  <si>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</si>
  <si>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</si>
  <si>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</si>
  <si>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</si>
  <si>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</si>
  <si>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</si>
  <si>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</si>
  <si>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</si>
  <si>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</si>
  <si>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</si>
  <si>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</si>
  <si>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</si>
  <si>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</si>
  <si>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</si>
  <si>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</si>
  <si>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</si>
  <si>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</si>
  <si>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</si>
  <si>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</si>
  <si>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</si>
  <si>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</si>
  <si>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</si>
  <si>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</si>
  <si>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</si>
  <si>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</si>
  <si>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</si>
  <si>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</si>
  <si>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</si>
  <si>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</si>
  <si>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</si>
  <si>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</si>
  <si>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</si>
  <si>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</si>
  <si>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</si>
  <si>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</si>
  <si>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</si>
  <si>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</si>
  <si>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</si>
  <si>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</si>
  <si>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</si>
  <si>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</si>
  <si>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</si>
  <si>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</si>
  <si>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</si>
  <si>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</si>
  <si>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</si>
  <si>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</si>
  <si>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</si>
  <si>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</si>
  <si>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</si>
  <si>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</si>
  <si>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</si>
  <si>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</si>
  <si>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</si>
  <si>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</si>
  <si>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</si>
  <si>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</si>
  <si>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</si>
  <si>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</si>
  <si>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</si>
  <si>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</si>
  <si>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</si>
  <si>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</si>
  <si>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</si>
  <si>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</si>
  <si>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</si>
  <si>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</si>
  <si>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</si>
  <si>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</si>
  <si>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</si>
  <si>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</si>
  <si>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</si>
  <si>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</si>
  <si>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</si>
  <si>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</si>
  <si>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</si>
  <si>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</si>
  <si>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</si>
  <si>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</si>
  <si>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</si>
  <si>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</si>
  <si>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</si>
  <si>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</si>
  <si>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</si>
  <si>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</si>
  <si>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</si>
  <si>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</si>
  <si>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</si>
  <si>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</si>
  <si>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</si>
  <si>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</si>
  <si>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</si>
  <si>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</si>
  <si>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</si>
  <si>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</si>
  <si>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</si>
  <si>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</si>
  <si>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</si>
  <si>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</si>
  <si>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</si>
  <si>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</si>
  <si>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</si>
  <si>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</si>
  <si>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</si>
  <si>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</si>
  <si>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</si>
  <si>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</si>
  <si>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</si>
  <si>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</si>
  <si>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</si>
  <si>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</si>
  <si>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</si>
  <si>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</si>
  <si>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</si>
  <si>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</si>
  <si>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</si>
  <si>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</si>
  <si>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</si>
  <si>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</si>
  <si>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</si>
  <si>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</si>
  <si>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</si>
  <si>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</si>
  <si>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</si>
  <si>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</si>
  <si>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</si>
  <si>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</si>
  <si>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</si>
  <si>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</si>
  <si>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</si>
  <si>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</si>
  <si>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</si>
  <si>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</si>
  <si>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</si>
  <si>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</si>
  <si>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</si>
  <si>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</si>
  <si>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</si>
  <si>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</si>
  <si>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</si>
  <si>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</si>
  <si>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</si>
  <si>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</si>
  <si>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</si>
  <si>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</si>
  <si>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</si>
  <si>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</si>
  <si>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</si>
  <si>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</si>
  <si>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</si>
  <si>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</si>
  <si>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</si>
  <si>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</si>
  <si>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</si>
  <si>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</si>
  <si>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</si>
  <si>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</si>
  <si>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</si>
  <si>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</si>
  <si>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</si>
  <si>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</si>
  <si>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</si>
  <si>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</si>
  <si>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</si>
  <si>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</si>
  <si>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</si>
  <si>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</si>
  <si>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</si>
  <si>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</si>
  <si>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</si>
  <si>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</si>
  <si>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</si>
  <si>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</si>
  <si>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</si>
  <si>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</si>
  <si>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</si>
  <si>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</si>
  <si>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</si>
  <si>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</si>
  <si>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</si>
  <si>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</si>
  <si>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</si>
  <si>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</si>
  <si>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</si>
  <si>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</si>
  <si>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</si>
  <si>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</si>
  <si>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</si>
  <si>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</si>
  <si>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</si>
  <si>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</si>
  <si>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</si>
  <si>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</si>
  <si>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</si>
  <si>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</si>
  <si>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</si>
  <si>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</si>
  <si>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</si>
  <si>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</si>
  <si>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</si>
  <si>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</si>
  <si>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</si>
  <si>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</si>
  <si>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</si>
  <si>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</si>
  <si>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</si>
  <si>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</si>
  <si>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</si>
  <si>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</si>
  <si>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</si>
  <si>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</si>
  <si>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</si>
  <si>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</si>
  <si>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</si>
  <si>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</si>
  <si>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</si>
  <si>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</si>
  <si>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</si>
  <si>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</si>
  <si>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</si>
  <si>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</si>
  <si>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</si>
  <si>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</si>
  <si>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</si>
  <si>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</si>
  <si>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</si>
  <si>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</si>
  <si>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</si>
  <si>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</si>
  <si>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</si>
  <si>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</si>
  <si>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</si>
  <si>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</si>
  <si>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</si>
  <si>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</si>
  <si>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</si>
  <si>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</si>
  <si>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</si>
  <si>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</si>
  <si>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</si>
  <si>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</si>
  <si>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</si>
  <si>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</si>
  <si>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</si>
  <si>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</si>
  <si>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</si>
  <si>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</si>
  <si>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</si>
  <si>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</si>
  <si>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</si>
  <si>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</si>
  <si>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</si>
  <si>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</si>
  <si>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</si>
  <si>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</si>
  <si>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</si>
  <si>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</si>
  <si>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</si>
  <si>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</si>
  <si>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</si>
  <si>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</si>
  <si>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</si>
  <si>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</si>
  <si>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</si>
  <si>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</si>
  <si>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[0.358031]</t>
  </si>
  <si>
    <t>0 [0.766893]</t>
  </si>
  <si>
    <t>0 [1.173464]</t>
  </si>
  <si>
    <t>0 [1.571126]</t>
  </si>
  <si>
    <t>0 [1.983445]</t>
  </si>
  <si>
    <t>0 [2.390283]</t>
  </si>
  <si>
    <t>0 [2.799286]</t>
  </si>
  <si>
    <t>0 [3.200539]</t>
  </si>
  <si>
    <t>0 [3.616346]</t>
  </si>
  <si>
    <t>0 [4.012355]</t>
  </si>
  <si>
    <t>0 [4.417979]</t>
  </si>
  <si>
    <t>0 [4.825884]</t>
  </si>
  <si>
    <t>0 [5.237091]</t>
  </si>
  <si>
    <t>0 [5.637910]</t>
  </si>
  <si>
    <t>0 [6.047918]</t>
  </si>
  <si>
    <t>0 [6.443855]</t>
  </si>
  <si>
    <t>0 [6.855040]</t>
  </si>
  <si>
    <t>0 [7.262633]</t>
  </si>
  <si>
    <t>0 [7.669972]</t>
  </si>
  <si>
    <t>0 [8.076329]</t>
  </si>
  <si>
    <t>0 [8.488023]</t>
  </si>
  <si>
    <t>0 [8.899364]</t>
  </si>
  <si>
    <t>0 [9.302836]</t>
  </si>
  <si>
    <t>0 [9.706322]</t>
  </si>
  <si>
    <t>0 [10.115936]</t>
  </si>
  <si>
    <t>0 [10.522652]</t>
  </si>
  <si>
    <t>0 [10.935407]</t>
  </si>
  <si>
    <t>0 [11.331078]</t>
  </si>
  <si>
    <t>0 [11.745123]</t>
  </si>
  <si>
    <t>0 [12.160122]</t>
  </si>
  <si>
    <t>0 [12.557689]</t>
  </si>
  <si>
    <t>0 [12.963613]</t>
  </si>
  <si>
    <t>0 [13.374739]</t>
  </si>
  <si>
    <t>0 [13.773511]</t>
  </si>
  <si>
    <t>0 [14.187333]</t>
  </si>
  <si>
    <t>0 [14.586852]</t>
  </si>
  <si>
    <t>0 [14.987002]</t>
  </si>
  <si>
    <t>0 [15.396279]</t>
  </si>
  <si>
    <t>0 [15.807264]</t>
  </si>
  <si>
    <t>0 [16.217847]</t>
  </si>
  <si>
    <t>0 [16.619863]</t>
  </si>
  <si>
    <t>0 [17.028048]</t>
  </si>
  <si>
    <t>0 [17.427373]</t>
  </si>
  <si>
    <t>0 [17.839225]</t>
  </si>
  <si>
    <t>0 [18.246295]</t>
  </si>
  <si>
    <t>0 [18.649437]</t>
  </si>
  <si>
    <t>0 [19.058820]</t>
  </si>
  <si>
    <t>0 [19.469855]</t>
  </si>
  <si>
    <t>0 [19.870727]</t>
  </si>
  <si>
    <t>0 [20.276135]</t>
  </si>
  <si>
    <t>0 [20.676743]</t>
  </si>
  <si>
    <t>0 [21.083367]</t>
  </si>
  <si>
    <t>0 [21.499554]</t>
  </si>
  <si>
    <t>0 [21.891381]</t>
  </si>
  <si>
    <t>0 [22.316175]</t>
  </si>
  <si>
    <t>0 [22.712374]</t>
  </si>
  <si>
    <t>0 [23.110490]</t>
  </si>
  <si>
    <t>0 [23.511147]</t>
  </si>
  <si>
    <t>0 [23.918728]</t>
  </si>
  <si>
    <t>0 [24.326494]</t>
  </si>
  <si>
    <t>0 [24.743374]</t>
  </si>
  <si>
    <t>0 [25.139937]</t>
  </si>
  <si>
    <t>0 [25.552573]</t>
  </si>
  <si>
    <t>0 [25.956954]</t>
  </si>
  <si>
    <t>0 [26.353927]</t>
  </si>
  <si>
    <t>0 [26.769584]</t>
  </si>
  <si>
    <t>0 [27.177117]</t>
  </si>
  <si>
    <t>0 [27.585228]</t>
  </si>
  <si>
    <t>0 [27.993631]</t>
  </si>
  <si>
    <t>0 [28.384829]</t>
  </si>
  <si>
    <t>0 [28.793279]</t>
  </si>
  <si>
    <t>0 [29.196013]</t>
  </si>
  <si>
    <t>0 [29.612666]</t>
  </si>
  <si>
    <t>0 [30.009538]</t>
  </si>
  <si>
    <t>0 [30.427506]</t>
  </si>
  <si>
    <t>0 [30.837218]</t>
  </si>
  <si>
    <t>0 [31.230580]</t>
  </si>
  <si>
    <t>0 [31.640887]</t>
  </si>
  <si>
    <t>0 [32.049522]</t>
  </si>
  <si>
    <t>0 [32.460121]</t>
  </si>
  <si>
    <t>0 [32.870106]</t>
  </si>
  <si>
    <t>0 [33.267656]</t>
  </si>
  <si>
    <t>0 [33.676194]</t>
  </si>
  <si>
    <t>0 [34.076767]</t>
  </si>
  <si>
    <t>0 [34.476303]</t>
  </si>
  <si>
    <t>0 [34.895053]</t>
  </si>
  <si>
    <t>0 [35.307601]</t>
  </si>
  <si>
    <t>0 [35.706862]</t>
  </si>
  <si>
    <t>0 [36.110236]</t>
  </si>
  <si>
    <t>0 [36.515305]</t>
  </si>
  <si>
    <t>0 [36.919170]</t>
  </si>
  <si>
    <t>0 [37.325942]</t>
  </si>
  <si>
    <t>0 [37.732316]</t>
  </si>
  <si>
    <t>0 [38.144631]</t>
  </si>
  <si>
    <t>0 [38.546549]</t>
  </si>
  <si>
    <t>0 [38.950014]</t>
  </si>
  <si>
    <t>0 [39.355104]</t>
  </si>
  <si>
    <t>0 [39.764767]</t>
  </si>
  <si>
    <t>0 [40.170094]</t>
  </si>
  <si>
    <t>0 [40.594447]</t>
  </si>
  <si>
    <t>0 [41.000654]</t>
  </si>
  <si>
    <t>0 [41.397700]</t>
  </si>
  <si>
    <t>0 [41.799452]</t>
  </si>
  <si>
    <t>0 [42.202157]</t>
  </si>
  <si>
    <t>0 [42.610260]</t>
  </si>
  <si>
    <t>0 [43.017654]</t>
  </si>
  <si>
    <t>0 [43.431408]</t>
  </si>
  <si>
    <t>0 [43.819883]</t>
  </si>
  <si>
    <t>0 [44.234782]</t>
  </si>
  <si>
    <t>0 [44.652790]</t>
  </si>
  <si>
    <t>0 [45.047110]</t>
  </si>
  <si>
    <t>0 [45.456044]</t>
  </si>
  <si>
    <t>0 [45.863142]</t>
  </si>
  <si>
    <t>0 [46.276351]</t>
  </si>
  <si>
    <t>0 [46.682088]</t>
  </si>
  <si>
    <t>0 [47.078321]</t>
  </si>
  <si>
    <t>0 [47.481065]</t>
  </si>
  <si>
    <t>0 [47.888538]</t>
  </si>
  <si>
    <t>0 [48.303005]</t>
  </si>
  <si>
    <t>0 [48.705773]</t>
  </si>
  <si>
    <t>0 [49.110134]</t>
  </si>
  <si>
    <t>0 [49.517355]</t>
  </si>
  <si>
    <t>0 [49.915072]</t>
  </si>
  <si>
    <t>0 [50.321171]</t>
  </si>
  <si>
    <t>0 [50.734239]</t>
  </si>
  <si>
    <t>0 [51.138467]</t>
  </si>
  <si>
    <t>0 [51.550697]</t>
  </si>
  <si>
    <t>0 [51.948526]</t>
  </si>
  <si>
    <t>0 [52.356441]</t>
  </si>
  <si>
    <t>0 [52.762683]</t>
  </si>
  <si>
    <t>0 [53.169105]</t>
  </si>
  <si>
    <t>0 [53.574130]</t>
  </si>
  <si>
    <t>0 [53.981307]</t>
  </si>
  <si>
    <t>0 [54.391662]</t>
  </si>
  <si>
    <t>0 [54.801067]</t>
  </si>
  <si>
    <t>0 [55.201229]</t>
  </si>
  <si>
    <t>0 [55.607804]</t>
  </si>
  <si>
    <t>0 [56.011082]</t>
  </si>
  <si>
    <t>0 [56.433289]</t>
  </si>
  <si>
    <t>0 [56.841988]</t>
  </si>
  <si>
    <t>0 [57.245034]</t>
  </si>
  <si>
    <t>0 [57.658695]</t>
  </si>
  <si>
    <t>0 [58.059956]</t>
  </si>
  <si>
    <t>0 [58.465404]</t>
  </si>
  <si>
    <t>0 [58.881594]</t>
  </si>
  <si>
    <t>vision^IB4i^1^5^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</si>
</sst>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0" xfId="0" applyFont="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10"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27" fillId="0" borderId="51" xfId="0" applyNumberFormat="1"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46" fillId="0" borderId="7" xfId="0" applyFont="1" applyBorder="1" applyAlignment="1">
      <alignment horizontal="left" vertical="top"/>
    </xf>
    <xf numFmtId="0" fontId="46" fillId="0" borderId="0" xfId="0" applyFont="1" applyAlignment="1">
      <alignment horizontal="left" vertical="top"/>
    </xf>
    <xf numFmtId="0" fontId="94" fillId="0" borderId="9" xfId="0" applyFont="1" applyBorder="1" applyAlignment="1">
      <alignment horizontal="center" vertical="center"/>
    </xf>
    <xf numFmtId="0" fontId="67" fillId="0" borderId="0" xfId="0" applyFont="1">
      <alignment vertical="center"/>
    </xf>
    <xf numFmtId="0" fontId="67" fillId="0" borderId="0" xfId="0" applyFont="1" applyAlignment="1">
      <alignment horizontal="center" vertical="center" textRotation="180" wrapText="1"/>
    </xf>
    <xf numFmtId="0" fontId="95" fillId="34" borderId="78" xfId="0" applyFont="1" applyFill="1" applyBorder="1" applyAlignment="1">
      <alignment horizontal="center" vertical="center" shrinkToFi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67" fillId="0" borderId="0" xfId="0" applyFont="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0" fontId="92" fillId="0" borderId="3" xfId="5" applyFont="1" applyBorder="1" applyAlignment="1">
      <alignment horizontal="left" wrapText="1"/>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29" fillId="0" borderId="37" xfId="0" applyFont="1" applyBorder="1" applyAlignment="1">
      <alignment horizontal="center" vertical="center"/>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29" borderId="0" xfId="0" applyFont="1" applyFill="1" applyAlignment="1">
      <alignment horizontal="center" vertical="center" wrapText="1"/>
    </xf>
    <xf numFmtId="0" fontId="73" fillId="28" borderId="0" xfId="0" applyFont="1" applyFill="1" applyAlignment="1">
      <alignment horizontal="center" vertical="center" wrapText="1"/>
    </xf>
    <xf numFmtId="0" fontId="73" fillId="31" borderId="0" xfId="0" applyFont="1" applyFill="1" applyAlignment="1">
      <alignment horizontal="center" vertical="center" wrapText="1"/>
    </xf>
    <xf numFmtId="180" fontId="73" fillId="0" borderId="3"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80" fillId="26" borderId="3" xfId="0" applyFont="1" applyFill="1" applyBorder="1" applyAlignment="1">
      <alignment horizontal="center" vertical="center" shrinkToFi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FT!$J$2:$J$2000</c:f>
              <c:numCache>
                <c:formatCode>General</c:formatCode>
                <c:ptCount val="1999"/>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FT!$K$2:$K$2000</c:f>
              <c:numCache>
                <c:formatCode>General</c:formatCode>
                <c:ptCount val="1999"/>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FT!$L$2:$L$2000</c:f>
              <c:numCache>
                <c:formatCode>General</c:formatCode>
                <c:ptCount val="1999"/>
                <c:pt idx="0">
                  <c:v>8.5210424941425327</c:v>
                </c:pt>
                <c:pt idx="1">
                  <c:v>8.573986830336489</c:v>
                </c:pt>
                <c:pt idx="2">
                  <c:v>8.6137431186307669</c:v>
                </c:pt>
                <c:pt idx="3">
                  <c:v>8.655914906511855</c:v>
                </c:pt>
                <c:pt idx="4">
                  <c:v>8.7010117344373921</c:v>
                </c:pt>
                <c:pt idx="5">
                  <c:v>8.7201504696459491</c:v>
                </c:pt>
                <c:pt idx="6">
                  <c:v>8.7286376129972219</c:v>
                </c:pt>
                <c:pt idx="7">
                  <c:v>8.743313229627244</c:v>
                </c:pt>
                <c:pt idx="8">
                  <c:v>8.7693056934571114</c:v>
                </c:pt>
                <c:pt idx="9">
                  <c:v>8.7860455926765724</c:v>
                </c:pt>
                <c:pt idx="10">
                  <c:v>8.7873344907884814</c:v>
                </c:pt>
                <c:pt idx="11">
                  <c:v>8.7919167158668809</c:v>
                </c:pt>
                <c:pt idx="12">
                  <c:v>8.8080281734732093</c:v>
                </c:pt>
                <c:pt idx="13">
                  <c:v>8.8268721665484708</c:v>
                </c:pt>
                <c:pt idx="14">
                  <c:v>8.8566783266638627</c:v>
                </c:pt>
                <c:pt idx="15">
                  <c:v>8.8827355009257758</c:v>
                </c:pt>
                <c:pt idx="16">
                  <c:v>8.910205816283165</c:v>
                </c:pt>
                <c:pt idx="17">
                  <c:v>8.9237448730119748</c:v>
                </c:pt>
                <c:pt idx="18">
                  <c:v>8.9235559741402284</c:v>
                </c:pt>
                <c:pt idx="19">
                  <c:v>8.9138000279864151</c:v>
                </c:pt>
                <c:pt idx="20">
                  <c:v>8.9073752397495749</c:v>
                </c:pt>
                <c:pt idx="21">
                  <c:v>8.8987888821434424</c:v>
                </c:pt>
                <c:pt idx="22">
                  <c:v>8.8869908133542452</c:v>
                </c:pt>
                <c:pt idx="23">
                  <c:v>8.8815162663564564</c:v>
                </c:pt>
                <c:pt idx="24">
                  <c:v>8.8753414002649507</c:v>
                </c:pt>
                <c:pt idx="25">
                  <c:v>8.8778726128618075</c:v>
                </c:pt>
                <c:pt idx="26">
                  <c:v>8.8747252205281413</c:v>
                </c:pt>
                <c:pt idx="27">
                  <c:v>8.8650602198264892</c:v>
                </c:pt>
                <c:pt idx="28">
                  <c:v>8.8434613523320671</c:v>
                </c:pt>
                <c:pt idx="29">
                  <c:v>8.8198929547379787</c:v>
                </c:pt>
                <c:pt idx="30">
                  <c:v>8.7990667317945146</c:v>
                </c:pt>
                <c:pt idx="31">
                  <c:v>8.7917887753235249</c:v>
                </c:pt>
                <c:pt idx="32">
                  <c:v>8.7940567284137501</c:v>
                </c:pt>
                <c:pt idx="33">
                  <c:v>8.8013721538527498</c:v>
                </c:pt>
                <c:pt idx="34">
                  <c:v>8.8137631392136555</c:v>
                </c:pt>
                <c:pt idx="35">
                  <c:v>8.8345717103938348</c:v>
                </c:pt>
                <c:pt idx="36">
                  <c:v>8.8574507347233382</c:v>
                </c:pt>
                <c:pt idx="37">
                  <c:v>8.8834559704243841</c:v>
                </c:pt>
                <c:pt idx="38">
                  <c:v>8.9121086228920312</c:v>
                </c:pt>
                <c:pt idx="39">
                  <c:v>8.9390907459512903</c:v>
                </c:pt>
                <c:pt idx="40">
                  <c:v>8.9684794863949779</c:v>
                </c:pt>
                <c:pt idx="41">
                  <c:v>8.9945339689261949</c:v>
                </c:pt>
                <c:pt idx="42">
                  <c:v>9.0188457624458476</c:v>
                </c:pt>
                <c:pt idx="43">
                  <c:v>9.0512516064616015</c:v>
                </c:pt>
                <c:pt idx="44">
                  <c:v>9.0903881192724736</c:v>
                </c:pt>
                <c:pt idx="45">
                  <c:v>9.1344188828330974</c:v>
                </c:pt>
                <c:pt idx="46">
                  <c:v>9.179418738088378</c:v>
                </c:pt>
                <c:pt idx="47">
                  <c:v>9.2218919538988917</c:v>
                </c:pt>
                <c:pt idx="48">
                  <c:v>9.2543742588507172</c:v>
                </c:pt>
                <c:pt idx="49">
                  <c:v>9.2825993146338366</c:v>
                </c:pt>
                <c:pt idx="50">
                  <c:v>9.3059625230269702</c:v>
                </c:pt>
                <c:pt idx="51">
                  <c:v>9.3283982478182637</c:v>
                </c:pt>
                <c:pt idx="52">
                  <c:v>9.3461031169958382</c:v>
                </c:pt>
                <c:pt idx="53">
                  <c:v>9.3739556397586554</c:v>
                </c:pt>
                <c:pt idx="54">
                  <c:v>9.4113286366087685</c:v>
                </c:pt>
                <c:pt idx="55">
                  <c:v>9.4511607782133247</c:v>
                </c:pt>
                <c:pt idx="56">
                  <c:v>9.4832972718963475</c:v>
                </c:pt>
                <c:pt idx="57">
                  <c:v>9.5091298399021369</c:v>
                </c:pt>
                <c:pt idx="58">
                  <c:v>9.5300100428159293</c:v>
                </c:pt>
                <c:pt idx="59">
                  <c:v>9.5495206893207918</c:v>
                </c:pt>
                <c:pt idx="60">
                  <c:v>9.5649661233443464</c:v>
                </c:pt>
                <c:pt idx="61">
                  <c:v>9.5872104861066401</c:v>
                </c:pt>
                <c:pt idx="62">
                  <c:v>9.6002517714668318</c:v>
                </c:pt>
                <c:pt idx="63">
                  <c:v>9.5993432027416574</c:v>
                </c:pt>
                <c:pt idx="64">
                  <c:v>9.6031231826985035</c:v>
                </c:pt>
                <c:pt idx="65">
                  <c:v>9.6041396520930693</c:v>
                </c:pt>
                <c:pt idx="66">
                  <c:v>9.5942618151693484</c:v>
                </c:pt>
                <c:pt idx="67">
                  <c:v>9.5776525808469657</c:v>
                </c:pt>
                <c:pt idx="68">
                  <c:v>9.5633808970404477</c:v>
                </c:pt>
                <c:pt idx="69">
                  <c:v>9.5572567403814368</c:v>
                </c:pt>
                <c:pt idx="70">
                  <c:v>9.5480917953850355</c:v>
                </c:pt>
                <c:pt idx="71">
                  <c:v>9.5327294174475234</c:v>
                </c:pt>
                <c:pt idx="72">
                  <c:v>9.5146923976116984</c:v>
                </c:pt>
                <c:pt idx="73">
                  <c:v>9.5006649634270115</c:v>
                </c:pt>
                <c:pt idx="74">
                  <c:v>9.4885121738232616</c:v>
                </c:pt>
                <c:pt idx="75">
                  <c:v>9.4765471263401881</c:v>
                </c:pt>
                <c:pt idx="76">
                  <c:v>9.4622739122137745</c:v>
                </c:pt>
                <c:pt idx="77">
                  <c:v>9.4582198677816205</c:v>
                </c:pt>
                <c:pt idx="78">
                  <c:v>9.4577490829876467</c:v>
                </c:pt>
                <c:pt idx="79">
                  <c:v>9.4554386826799082</c:v>
                </c:pt>
                <c:pt idx="80">
                  <c:v>9.4540590516165519</c:v>
                </c:pt>
                <c:pt idx="81">
                  <c:v>9.4562095784448896</c:v>
                </c:pt>
                <c:pt idx="82">
                  <c:v>9.4546256205853556</c:v>
                </c:pt>
                <c:pt idx="83">
                  <c:v>9.453739792294618</c:v>
                </c:pt>
                <c:pt idx="84">
                  <c:v>9.4529088936594192</c:v>
                </c:pt>
                <c:pt idx="85">
                  <c:v>9.4444572435169238</c:v>
                </c:pt>
                <c:pt idx="86">
                  <c:v>9.4268681079834273</c:v>
                </c:pt>
                <c:pt idx="87">
                  <c:v>9.4084121696646683</c:v>
                </c:pt>
                <c:pt idx="88">
                  <c:v>9.4012316117236345</c:v>
                </c:pt>
                <c:pt idx="89">
                  <c:v>9.4024703082797636</c:v>
                </c:pt>
                <c:pt idx="90">
                  <c:v>9.4029524800008595</c:v>
                </c:pt>
                <c:pt idx="91">
                  <c:v>9.4115492416556972</c:v>
                </c:pt>
                <c:pt idx="92">
                  <c:v>9.4309060252770536</c:v>
                </c:pt>
                <c:pt idx="93">
                  <c:v>9.4541149250763681</c:v>
                </c:pt>
                <c:pt idx="94">
                  <c:v>9.4701622962232417</c:v>
                </c:pt>
                <c:pt idx="95">
                  <c:v>9.4749363435286682</c:v>
                </c:pt>
                <c:pt idx="96">
                  <c:v>9.4767849500550909</c:v>
                </c:pt>
                <c:pt idx="97">
                  <c:v>9.4676903881093626</c:v>
                </c:pt>
                <c:pt idx="98">
                  <c:v>9.4447721292226436</c:v>
                </c:pt>
                <c:pt idx="99">
                  <c:v>9.4161088049579025</c:v>
                </c:pt>
                <c:pt idx="100">
                  <c:v>9.3888126280618316</c:v>
                </c:pt>
                <c:pt idx="101">
                  <c:v>9.3654216530313246</c:v>
                </c:pt>
                <c:pt idx="102">
                  <c:v>9.3382725534853517</c:v>
                </c:pt>
                <c:pt idx="103">
                  <c:v>9.3062355911735644</c:v>
                </c:pt>
                <c:pt idx="104">
                  <c:v>9.2719939094915294</c:v>
                </c:pt>
                <c:pt idx="105">
                  <c:v>9.2309339600366798</c:v>
                </c:pt>
                <c:pt idx="106">
                  <c:v>9.1905385481817952</c:v>
                </c:pt>
                <c:pt idx="107">
                  <c:v>9.1533296550004852</c:v>
                </c:pt>
                <c:pt idx="108">
                  <c:v>9.1162841060708661</c:v>
                </c:pt>
                <c:pt idx="109">
                  <c:v>9.0746268108084269</c:v>
                </c:pt>
                <c:pt idx="110">
                  <c:v>9.0316514622379387</c:v>
                </c:pt>
                <c:pt idx="111">
                  <c:v>8.9868157091461072</c:v>
                </c:pt>
                <c:pt idx="112">
                  <c:v>8.948166737401511</c:v>
                </c:pt>
                <c:pt idx="113">
                  <c:v>8.9057622106187324</c:v>
                </c:pt>
                <c:pt idx="114">
                  <c:v>8.8518332105888415</c:v>
                </c:pt>
                <c:pt idx="115">
                  <c:v>8.7843581751204312</c:v>
                </c:pt>
                <c:pt idx="116">
                  <c:v>8.7074021621461295</c:v>
                </c:pt>
                <c:pt idx="117">
                  <c:v>8.6259812563793243</c:v>
                </c:pt>
                <c:pt idx="118">
                  <c:v>8.5382231404958677</c:v>
                </c:pt>
                <c:pt idx="119">
                  <c:v>8.4407875032322757</c:v>
                </c:pt>
                <c:pt idx="120">
                  <c:v>8.3426353007801737</c:v>
                </c:pt>
                <c:pt idx="121">
                  <c:v>8.2483876203571214</c:v>
                </c:pt>
                <c:pt idx="122">
                  <c:v>8.2197093532652445</c:v>
                </c:pt>
                <c:pt idx="123">
                  <c:v>8.2008574920136468</c:v>
                </c:pt>
                <c:pt idx="124">
                  <c:v>8.1825155387841306</c:v>
                </c:pt>
                <c:pt idx="125">
                  <c:v>8.1565503734639471</c:v>
                </c:pt>
                <c:pt idx="126">
                  <c:v>8.1318368685022655</c:v>
                </c:pt>
                <c:pt idx="127">
                  <c:v>8.0986806570652625</c:v>
                </c:pt>
                <c:pt idx="128">
                  <c:v>8.0509813493482589</c:v>
                </c:pt>
                <c:pt idx="129">
                  <c:v>7.9952471735084876</c:v>
                </c:pt>
                <c:pt idx="130">
                  <c:v>7.9390916300796492</c:v>
                </c:pt>
                <c:pt idx="131">
                  <c:v>7.8781162277452994</c:v>
                </c:pt>
                <c:pt idx="132">
                  <c:v>7.8121851535025177</c:v>
                </c:pt>
                <c:pt idx="133">
                  <c:v>7.7446702477326674</c:v>
                </c:pt>
                <c:pt idx="134">
                  <c:v>7.6741234363047512</c:v>
                </c:pt>
                <c:pt idx="135">
                  <c:v>7.6036530202173154</c:v>
                </c:pt>
                <c:pt idx="136">
                  <c:v>7.5284874769432459</c:v>
                </c:pt>
                <c:pt idx="137">
                  <c:v>7.4479826910796154</c:v>
                </c:pt>
                <c:pt idx="138">
                  <c:v>7.3552675979006246</c:v>
                </c:pt>
                <c:pt idx="139">
                  <c:v>7.2512232267262879</c:v>
                </c:pt>
                <c:pt idx="140">
                  <c:v>7.1454511158575054</c:v>
                </c:pt>
                <c:pt idx="141">
                  <c:v>7.0400428057574498</c:v>
                </c:pt>
                <c:pt idx="142">
                  <c:v>6.918978186800345</c:v>
                </c:pt>
                <c:pt idx="143">
                  <c:v>6.8180792246341761</c:v>
                </c:pt>
                <c:pt idx="144">
                  <c:v>6.7750760224161857</c:v>
                </c:pt>
                <c:pt idx="145">
                  <c:v>6.7979469218010964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0.34860392815826158</c:v>
                </c:pt>
                <c:pt idx="4">
                  <c:v>0</c:v>
                </c:pt>
                <c:pt idx="5">
                  <c:v>0</c:v>
                </c:pt>
                <c:pt idx="6">
                  <c:v>0.58597738936573662</c:v>
                </c:pt>
                <c:pt idx="7">
                  <c:v>0</c:v>
                </c:pt>
                <c:pt idx="8">
                  <c:v>0.65954684226973137</c:v>
                </c:pt>
                <c:pt idx="9">
                  <c:v>0</c:v>
                </c:pt>
                <c:pt idx="10">
                  <c:v>0</c:v>
                </c:pt>
                <c:pt idx="11">
                  <c:v>0.63433311342078502</c:v>
                </c:pt>
                <c:pt idx="12">
                  <c:v>0</c:v>
                </c:pt>
                <c:pt idx="13">
                  <c:v>0.62070661128621363</c:v>
                </c:pt>
                <c:pt idx="14">
                  <c:v>0</c:v>
                </c:pt>
                <c:pt idx="15">
                  <c:v>0</c:v>
                </c:pt>
                <c:pt idx="16">
                  <c:v>0.63021201656162873</c:v>
                </c:pt>
                <c:pt idx="17">
                  <c:v>0</c:v>
                </c:pt>
                <c:pt idx="18">
                  <c:v>0</c:v>
                </c:pt>
                <c:pt idx="19">
                  <c:v>0.6458847584944678</c:v>
                </c:pt>
                <c:pt idx="20">
                  <c:v>0</c:v>
                </c:pt>
                <c:pt idx="21">
                  <c:v>0.6580680937634058</c:v>
                </c:pt>
                <c:pt idx="22">
                  <c:v>0</c:v>
                </c:pt>
                <c:pt idx="23">
                  <c:v>0</c:v>
                </c:pt>
                <c:pt idx="24">
                  <c:v>0.66012435804526115</c:v>
                </c:pt>
                <c:pt idx="25">
                  <c:v>0</c:v>
                </c:pt>
                <c:pt idx="26">
                  <c:v>0.67154059872589456</c:v>
                </c:pt>
                <c:pt idx="27">
                  <c:v>0</c:v>
                </c:pt>
                <c:pt idx="28">
                  <c:v>0</c:v>
                </c:pt>
                <c:pt idx="29">
                  <c:v>0.69450422143666379</c:v>
                </c:pt>
                <c:pt idx="30">
                  <c:v>0</c:v>
                </c:pt>
                <c:pt idx="31">
                  <c:v>0.72919347204784601</c:v>
                </c:pt>
                <c:pt idx="32">
                  <c:v>0</c:v>
                </c:pt>
                <c:pt idx="33">
                  <c:v>0</c:v>
                </c:pt>
                <c:pt idx="34">
                  <c:v>0.76419506446344421</c:v>
                </c:pt>
                <c:pt idx="35">
                  <c:v>0</c:v>
                </c:pt>
                <c:pt idx="36">
                  <c:v>0</c:v>
                </c:pt>
                <c:pt idx="37">
                  <c:v>0.79626762939978013</c:v>
                </c:pt>
                <c:pt idx="38">
                  <c:v>0</c:v>
                </c:pt>
                <c:pt idx="39">
                  <c:v>0.82835315230016426</c:v>
                </c:pt>
                <c:pt idx="40">
                  <c:v>0</c:v>
                </c:pt>
                <c:pt idx="41">
                  <c:v>0</c:v>
                </c:pt>
                <c:pt idx="42">
                  <c:v>0.85562312432679</c:v>
                </c:pt>
                <c:pt idx="43">
                  <c:v>0</c:v>
                </c:pt>
                <c:pt idx="44">
                  <c:v>0.88802520986678479</c:v>
                </c:pt>
                <c:pt idx="45">
                  <c:v>0</c:v>
                </c:pt>
                <c:pt idx="46">
                  <c:v>0</c:v>
                </c:pt>
                <c:pt idx="47">
                  <c:v>0.91908684256561191</c:v>
                </c:pt>
                <c:pt idx="48">
                  <c:v>0</c:v>
                </c:pt>
                <c:pt idx="49">
                  <c:v>0.94477689266629261</c:v>
                </c:pt>
                <c:pt idx="50">
                  <c:v>0</c:v>
                </c:pt>
                <c:pt idx="51">
                  <c:v>0</c:v>
                </c:pt>
                <c:pt idx="52">
                  <c:v>0.96048095319627713</c:v>
                </c:pt>
                <c:pt idx="53">
                  <c:v>0</c:v>
                </c:pt>
                <c:pt idx="54">
                  <c:v>0</c:v>
                </c:pt>
                <c:pt idx="55">
                  <c:v>0.97567735277320589</c:v>
                </c:pt>
                <c:pt idx="56">
                  <c:v>0</c:v>
                </c:pt>
                <c:pt idx="57">
                  <c:v>0.98733464535181481</c:v>
                </c:pt>
                <c:pt idx="58">
                  <c:v>0</c:v>
                </c:pt>
                <c:pt idx="59">
                  <c:v>0</c:v>
                </c:pt>
                <c:pt idx="60">
                  <c:v>1</c:v>
                </c:pt>
                <c:pt idx="61">
                  <c:v>0</c:v>
                </c:pt>
                <c:pt idx="62">
                  <c:v>0.9909023485085795</c:v>
                </c:pt>
                <c:pt idx="63">
                  <c:v>0</c:v>
                </c:pt>
                <c:pt idx="64">
                  <c:v>0</c:v>
                </c:pt>
                <c:pt idx="65">
                  <c:v>0.98398357656142366</c:v>
                </c:pt>
                <c:pt idx="66">
                  <c:v>0</c:v>
                </c:pt>
                <c:pt idx="67">
                  <c:v>0.97794609389876808</c:v>
                </c:pt>
                <c:pt idx="68">
                  <c:v>0</c:v>
                </c:pt>
                <c:pt idx="69">
                  <c:v>0</c:v>
                </c:pt>
                <c:pt idx="70">
                  <c:v>0.97094328512288353</c:v>
                </c:pt>
                <c:pt idx="71">
                  <c:v>0</c:v>
                </c:pt>
                <c:pt idx="72">
                  <c:v>0</c:v>
                </c:pt>
                <c:pt idx="73">
                  <c:v>0.9548142920096615</c:v>
                </c:pt>
                <c:pt idx="74">
                  <c:v>0</c:v>
                </c:pt>
                <c:pt idx="75">
                  <c:v>0.94058598319301423</c:v>
                </c:pt>
                <c:pt idx="76">
                  <c:v>0</c:v>
                </c:pt>
                <c:pt idx="77">
                  <c:v>0</c:v>
                </c:pt>
                <c:pt idx="78">
                  <c:v>0.92078085366687279</c:v>
                </c:pt>
                <c:pt idx="79">
                  <c:v>0</c:v>
                </c:pt>
                <c:pt idx="80">
                  <c:v>0.90481868906472562</c:v>
                </c:pt>
                <c:pt idx="81">
                  <c:v>0</c:v>
                </c:pt>
                <c:pt idx="82">
                  <c:v>0</c:v>
                </c:pt>
                <c:pt idx="83">
                  <c:v>0.88097810342553073</c:v>
                </c:pt>
                <c:pt idx="84">
                  <c:v>0</c:v>
                </c:pt>
                <c:pt idx="85">
                  <c:v>0</c:v>
                </c:pt>
                <c:pt idx="86">
                  <c:v>0.85823554695808946</c:v>
                </c:pt>
                <c:pt idx="87">
                  <c:v>0</c:v>
                </c:pt>
                <c:pt idx="88">
                  <c:v>0.81962912914018826</c:v>
                </c:pt>
                <c:pt idx="89">
                  <c:v>0</c:v>
                </c:pt>
                <c:pt idx="90">
                  <c:v>0</c:v>
                </c:pt>
                <c:pt idx="91">
                  <c:v>0.78501264572776464</c:v>
                </c:pt>
                <c:pt idx="92">
                  <c:v>0</c:v>
                </c:pt>
                <c:pt idx="93">
                  <c:v>0.74371692276549051</c:v>
                </c:pt>
                <c:pt idx="94">
                  <c:v>0</c:v>
                </c:pt>
                <c:pt idx="95">
                  <c:v>0</c:v>
                </c:pt>
                <c:pt idx="96">
                  <c:v>0.70240684896355388</c:v>
                </c:pt>
                <c:pt idx="97">
                  <c:v>0</c:v>
                </c:pt>
                <c:pt idx="98">
                  <c:v>0.65580085103433783</c:v>
                </c:pt>
                <c:pt idx="99">
                  <c:v>0</c:v>
                </c:pt>
                <c:pt idx="100">
                  <c:v>0</c:v>
                </c:pt>
                <c:pt idx="101">
                  <c:v>0.61056518945946869</c:v>
                </c:pt>
                <c:pt idx="102">
                  <c:v>0</c:v>
                </c:pt>
                <c:pt idx="103">
                  <c:v>0</c:v>
                </c:pt>
                <c:pt idx="104">
                  <c:v>0.56779360926297739</c:v>
                </c:pt>
                <c:pt idx="105">
                  <c:v>0</c:v>
                </c:pt>
                <c:pt idx="106">
                  <c:v>0.52341920910960915</c:v>
                </c:pt>
                <c:pt idx="107">
                  <c:v>0</c:v>
                </c:pt>
                <c:pt idx="108">
                  <c:v>0</c:v>
                </c:pt>
                <c:pt idx="109">
                  <c:v>0.47780282820016812</c:v>
                </c:pt>
                <c:pt idx="110">
                  <c:v>0</c:v>
                </c:pt>
                <c:pt idx="111">
                  <c:v>0.43762505675176722</c:v>
                </c:pt>
                <c:pt idx="112">
                  <c:v>0</c:v>
                </c:pt>
                <c:pt idx="113">
                  <c:v>0</c:v>
                </c:pt>
                <c:pt idx="114">
                  <c:v>0.39919544972017662</c:v>
                </c:pt>
                <c:pt idx="115">
                  <c:v>0</c:v>
                </c:pt>
                <c:pt idx="116">
                  <c:v>0.36050638794916096</c:v>
                </c:pt>
                <c:pt idx="117">
                  <c:v>0</c:v>
                </c:pt>
                <c:pt idx="118">
                  <c:v>0</c:v>
                </c:pt>
                <c:pt idx="119">
                  <c:v>0.32496294581542917</c:v>
                </c:pt>
                <c:pt idx="120">
                  <c:v>0</c:v>
                </c:pt>
                <c:pt idx="121">
                  <c:v>0</c:v>
                </c:pt>
                <c:pt idx="122">
                  <c:v>0.29038774217121072</c:v>
                </c:pt>
                <c:pt idx="123">
                  <c:v>0</c:v>
                </c:pt>
                <c:pt idx="124">
                  <c:v>0.25945159490272529</c:v>
                </c:pt>
                <c:pt idx="125">
                  <c:v>0</c:v>
                </c:pt>
                <c:pt idx="126">
                  <c:v>0</c:v>
                </c:pt>
                <c:pt idx="127">
                  <c:v>0.2314386714651091</c:v>
                </c:pt>
                <c:pt idx="128">
                  <c:v>0</c:v>
                </c:pt>
                <c:pt idx="129">
                  <c:v>0.20784048839115207</c:v>
                </c:pt>
                <c:pt idx="130">
                  <c:v>0</c:v>
                </c:pt>
                <c:pt idx="131">
                  <c:v>0</c:v>
                </c:pt>
                <c:pt idx="132">
                  <c:v>0.1864254479050064</c:v>
                </c:pt>
                <c:pt idx="133">
                  <c:v>0</c:v>
                </c:pt>
                <c:pt idx="134">
                  <c:v>0.16510881619142773</c:v>
                </c:pt>
                <c:pt idx="135">
                  <c:v>0</c:v>
                </c:pt>
                <c:pt idx="136">
                  <c:v>0</c:v>
                </c:pt>
                <c:pt idx="137">
                  <c:v>0.14650575942459212</c:v>
                </c:pt>
                <c:pt idx="138">
                  <c:v>0</c:v>
                </c:pt>
                <c:pt idx="139">
                  <c:v>0</c:v>
                </c:pt>
                <c:pt idx="140">
                  <c:v>0.12802533902434171</c:v>
                </c:pt>
                <c:pt idx="141">
                  <c:v>0</c:v>
                </c:pt>
                <c:pt idx="142">
                  <c:v>0.11243963071321963</c:v>
                </c:pt>
                <c:pt idx="143">
                  <c:v>0</c:v>
                </c:pt>
                <c:pt idx="144">
                  <c:v>0</c:v>
                </c:pt>
                <c:pt idx="145">
                  <c:v>9.7549769292313876E-2</c:v>
                </c:pt>
                <c:pt idx="146">
                  <c:v>0</c:v>
                </c:pt>
                <c:pt idx="147">
                  <c:v>8.5603096252748853E-2</c:v>
                </c:pt>
                <c:pt idx="148">
                  <c:v>0</c:v>
                </c:pt>
                <c:pt idx="149">
                  <c:v>0</c:v>
                </c:pt>
                <c:pt idx="150">
                  <c:v>7.4308077958910465E-2</c:v>
                </c:pt>
                <c:pt idx="151">
                  <c:v>0</c:v>
                </c:pt>
                <c:pt idx="152">
                  <c:v>6.3850114596730748E-2</c:v>
                </c:pt>
                <c:pt idx="153">
                  <c:v>0</c:v>
                </c:pt>
                <c:pt idx="154">
                  <c:v>0</c:v>
                </c:pt>
                <c:pt idx="155">
                  <c:v>5.3463441140991365E-2</c:v>
                </c:pt>
                <c:pt idx="156">
                  <c:v>0</c:v>
                </c:pt>
                <c:pt idx="157">
                  <c:v>0</c:v>
                </c:pt>
                <c:pt idx="158">
                  <c:v>4.5463818821324595E-2</c:v>
                </c:pt>
                <c:pt idx="159">
                  <c:v>0</c:v>
                </c:pt>
                <c:pt idx="160">
                  <c:v>3.7852049047708884E-2</c:v>
                </c:pt>
                <c:pt idx="161">
                  <c:v>0</c:v>
                </c:pt>
                <c:pt idx="162">
                  <c:v>0</c:v>
                </c:pt>
                <c:pt idx="163">
                  <c:v>3.156213933622766E-2</c:v>
                </c:pt>
                <c:pt idx="164">
                  <c:v>0</c:v>
                </c:pt>
                <c:pt idx="165">
                  <c:v>2.6461492149235988E-2</c:v>
                </c:pt>
                <c:pt idx="166">
                  <c:v>0</c:v>
                </c:pt>
                <c:pt idx="167">
                  <c:v>0</c:v>
                </c:pt>
                <c:pt idx="168">
                  <c:v>2.1285270908081248E-2</c:v>
                </c:pt>
                <c:pt idx="169">
                  <c:v>0</c:v>
                </c:pt>
                <c:pt idx="170">
                  <c:v>1.7105799898180792E-2</c:v>
                </c:pt>
                <c:pt idx="171">
                  <c:v>0</c:v>
                </c:pt>
                <c:pt idx="172">
                  <c:v>0</c:v>
                </c:pt>
                <c:pt idx="173">
                  <c:v>1.3412569102722404E-2</c:v>
                </c:pt>
                <c:pt idx="174">
                  <c:v>0</c:v>
                </c:pt>
                <c:pt idx="175">
                  <c:v>0</c:v>
                </c:pt>
                <c:pt idx="176">
                  <c:v>1.0218409860698299E-2</c:v>
                </c:pt>
                <c:pt idx="177">
                  <c:v>0</c:v>
                </c:pt>
                <c:pt idx="178">
                  <c:v>8.089462796788292E-3</c:v>
                </c:pt>
                <c:pt idx="179">
                  <c:v>0</c:v>
                </c:pt>
                <c:pt idx="180">
                  <c:v>0</c:v>
                </c:pt>
                <c:pt idx="181">
                  <c:v>6.2428473990590958E-3</c:v>
                </c:pt>
                <c:pt idx="182">
                  <c:v>0</c:v>
                </c:pt>
                <c:pt idx="183">
                  <c:v>4.4532765889877526E-3</c:v>
                </c:pt>
                <c:pt idx="184">
                  <c:v>0</c:v>
                </c:pt>
                <c:pt idx="185">
                  <c:v>0</c:v>
                </c:pt>
                <c:pt idx="186">
                  <c:v>2.8989751326750956E-3</c:v>
                </c:pt>
                <c:pt idx="187">
                  <c:v>0</c:v>
                </c:pt>
                <c:pt idx="188">
                  <c:v>0</c:v>
                </c:pt>
                <c:pt idx="189">
                  <c:v>2.031994479485232E-3</c:v>
                </c:pt>
                <c:pt idx="190">
                  <c:v>0</c:v>
                </c:pt>
                <c:pt idx="191">
                  <c:v>1.3518068878416668E-3</c:v>
                </c:pt>
                <c:pt idx="192">
                  <c:v>0</c:v>
                </c:pt>
                <c:pt idx="193">
                  <c:v>0</c:v>
                </c:pt>
                <c:pt idx="194">
                  <c:v>8.926433311743059E-4</c:v>
                </c:pt>
                <c:pt idx="195">
                  <c:v>0</c:v>
                </c:pt>
                <c:pt idx="196">
                  <c:v>6.0317845351426423E-4</c:v>
                </c:pt>
                <c:pt idx="197">
                  <c:v>0</c:v>
                </c:pt>
                <c:pt idx="198">
                  <c:v>0</c:v>
                </c:pt>
                <c:pt idx="199">
                  <c:v>3.7075816351207427E-4</c:v>
                </c:pt>
                <c:pt idx="200">
                  <c:v>0</c:v>
                </c:pt>
                <c:pt idx="201">
                  <c:v>1.1121900738323266E-4</c:v>
                </c:pt>
                <c:pt idx="202">
                  <c:v>0</c:v>
                </c:pt>
                <c:pt idx="203">
                  <c:v>0</c:v>
                </c:pt>
                <c:pt idx="204">
                  <c:v>5.7044587657851591E-5</c:v>
                </c:pt>
                <c:pt idx="205">
                  <c:v>0</c:v>
                </c:pt>
                <c:pt idx="206">
                  <c:v>0</c:v>
                </c:pt>
                <c:pt idx="207">
                  <c:v>1.8529466505214092E-5</c:v>
                </c:pt>
                <c:pt idx="208">
                  <c:v>0</c:v>
                </c:pt>
                <c:pt idx="209">
                  <c:v>2.8490637564964725E-6</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61.826400000000007</c:v>
                      </c:pt>
                    </c:numCache>
                  </c:numRef>
                </c:xVal>
                <c:yVal>
                  <c:numRef>
                    <c:extLst>
                      <c:ext uri="{02D57815-91ED-43cb-92C2-25804820EDAC}">
                        <c15:formulaRef>
                          <c15:sqref>info!$W$18</c15:sqref>
                        </c15:formulaRef>
                      </c:ext>
                    </c:extLst>
                    <c:numCache>
                      <c:formatCode>General</c:formatCode>
                      <c:ptCount val="1"/>
                      <c:pt idx="0">
                        <c:v>69.446300000000008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0.56694922642626877</c:v>
                </c:pt>
                <c:pt idx="1">
                  <c:v>0.20478604591036587</c:v>
                </c:pt>
                <c:pt idx="2">
                  <c:v>0.22826472766336542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extLst xmlns:c15="http://schemas.microsoft.com/office/drawing/2012/chart"/>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5.1814200000000001</c:v>
                </c:pt>
              </c:numCache>
            </c:numRef>
          </c:xVal>
          <c:yVal>
            <c:numRef>
              <c:f>[0]!FT_PH01</c:f>
              <c:numCache>
                <c:formatCode>0.00</c:formatCode>
                <c:ptCount val="1"/>
                <c:pt idx="0">
                  <c:v>44.1511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5.1814200000000001</c:v>
                </c:pt>
              </c:numCache>
            </c:numRef>
          </c:xVal>
          <c:yVal>
            <c:numRef>
              <c:f>[0]!FT_PH02</c:f>
              <c:numCache>
                <c:formatCode>0.00</c:formatCode>
                <c:ptCount val="1"/>
                <c:pt idx="0">
                  <c:v>44.1511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5.1814200000000001</c:v>
                </c:pt>
              </c:numCache>
            </c:numRef>
          </c:xVal>
          <c:yVal>
            <c:numRef>
              <c:f>[0]!FT_PH03</c:f>
              <c:numCache>
                <c:formatCode>0.00</c:formatCode>
                <c:ptCount val="1"/>
                <c:pt idx="0">
                  <c:v>44.1511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5.1814200000000001</c:v>
                </c:pt>
              </c:numCache>
            </c:numRef>
          </c:xVal>
          <c:yVal>
            <c:numRef>
              <c:f>[0]!FT_PH04</c:f>
              <c:numCache>
                <c:formatCode>0.00</c:formatCode>
                <c:ptCount val="1"/>
                <c:pt idx="0">
                  <c:v>44.1511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5.1814200000000001</c:v>
                </c:pt>
              </c:numCache>
            </c:numRef>
          </c:xVal>
          <c:yVal>
            <c:numRef>
              <c:f>[0]!FT_PH05</c:f>
              <c:numCache>
                <c:formatCode>0.00</c:formatCode>
                <c:ptCount val="1"/>
                <c:pt idx="0">
                  <c:v>44.1511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5.1814200000000001</c:v>
                </c:pt>
              </c:numCache>
            </c:numRef>
          </c:xVal>
          <c:yVal>
            <c:numRef>
              <c:f>[0]!FT_PH06</c:f>
              <c:numCache>
                <c:formatCode>0.00</c:formatCode>
                <c:ptCount val="1"/>
                <c:pt idx="0">
                  <c:v>44.1511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5.1814200000000001</c:v>
                </c:pt>
              </c:numCache>
            </c:numRef>
          </c:xVal>
          <c:yVal>
            <c:numRef>
              <c:f>[0]!FT_PH07</c:f>
              <c:numCache>
                <c:formatCode>0.00</c:formatCode>
                <c:ptCount val="1"/>
                <c:pt idx="0">
                  <c:v>44.1511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5.1814200000000001</c:v>
                </c:pt>
              </c:numCache>
            </c:numRef>
          </c:xVal>
          <c:yVal>
            <c:numRef>
              <c:f>[0]!FT_PH08</c:f>
              <c:numCache>
                <c:formatCode>0.00</c:formatCode>
                <c:ptCount val="1"/>
                <c:pt idx="0">
                  <c:v>44.1511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5.1814200000000001</c:v>
                </c:pt>
              </c:numCache>
            </c:numRef>
          </c:xVal>
          <c:yVal>
            <c:numRef>
              <c:f>[0]!FT_PH09</c:f>
              <c:numCache>
                <c:formatCode>0.00</c:formatCode>
                <c:ptCount val="1"/>
                <c:pt idx="0">
                  <c:v>44.1511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5.1814200000000001</c:v>
                </c:pt>
              </c:numCache>
            </c:numRef>
          </c:xVal>
          <c:yVal>
            <c:numRef>
              <c:f>[0]!FT_PH10</c:f>
              <c:numCache>
                <c:formatCode>0.00</c:formatCode>
                <c:ptCount val="1"/>
                <c:pt idx="0">
                  <c:v>44.1511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5.1814200000000001</c:v>
                </c:pt>
              </c:numCache>
            </c:numRef>
          </c:xVal>
          <c:yVal>
            <c:numRef>
              <c:f>[0]!FT_PH11</c:f>
              <c:numCache>
                <c:formatCode>0.00</c:formatCode>
                <c:ptCount val="1"/>
                <c:pt idx="0">
                  <c:v>44.1511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5.1814200000000001</c:v>
                </c:pt>
              </c:numCache>
            </c:numRef>
          </c:xVal>
          <c:yVal>
            <c:numRef>
              <c:f>[0]!FT_PH12</c:f>
              <c:numCache>
                <c:formatCode>0.00</c:formatCode>
                <c:ptCount val="1"/>
                <c:pt idx="0">
                  <c:v>44.1511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5.1814200000000001</c:v>
                </c:pt>
              </c:numCache>
            </c:numRef>
          </c:xVal>
          <c:yVal>
            <c:numRef>
              <c:f>[0]!FT_PH13</c:f>
              <c:numCache>
                <c:formatCode>0.00</c:formatCode>
                <c:ptCount val="1"/>
                <c:pt idx="0">
                  <c:v>44.1511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5.1814200000000001</c:v>
                </c:pt>
              </c:numCache>
            </c:numRef>
          </c:xVal>
          <c:yVal>
            <c:numRef>
              <c:f>[0]!FT_PH14</c:f>
              <c:numCache>
                <c:formatCode>0.00</c:formatCode>
                <c:ptCount val="1"/>
                <c:pt idx="0">
                  <c:v>44.1511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5.1814200000000001</c:v>
                </c:pt>
              </c:numCache>
            </c:numRef>
          </c:xVal>
          <c:yVal>
            <c:numRef>
              <c:f>[0]!FT_PH15</c:f>
              <c:numCache>
                <c:formatCode>0.00</c:formatCode>
                <c:ptCount val="1"/>
                <c:pt idx="0">
                  <c:v>44.1511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5.1814200000000001</c:v>
                </c:pt>
              </c:numCache>
            </c:numRef>
          </c:xVal>
          <c:yVal>
            <c:numRef>
              <c:f>[0]!FT_PH16</c:f>
              <c:numCache>
                <c:formatCode>0.00</c:formatCode>
                <c:ptCount val="1"/>
                <c:pt idx="0">
                  <c:v>44.1511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5.1814200000000001</c:v>
                </c:pt>
              </c:numCache>
            </c:numRef>
          </c:xVal>
          <c:yVal>
            <c:numRef>
              <c:f>[0]!FT_PH17</c:f>
              <c:numCache>
                <c:formatCode>0.00</c:formatCode>
                <c:ptCount val="1"/>
                <c:pt idx="0">
                  <c:v>44.1511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5.1814200000000001</c:v>
                </c:pt>
              </c:numCache>
            </c:numRef>
          </c:xVal>
          <c:yVal>
            <c:numRef>
              <c:f>[0]!FT_PH18</c:f>
              <c:numCache>
                <c:formatCode>0.00</c:formatCode>
                <c:ptCount val="1"/>
                <c:pt idx="0">
                  <c:v>44.1511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5.1814200000000001</c:v>
                </c:pt>
              </c:numCache>
            </c:numRef>
          </c:xVal>
          <c:yVal>
            <c:numRef>
              <c:f>[0]!FT_PH19</c:f>
              <c:numCache>
                <c:formatCode>0.00</c:formatCode>
                <c:ptCount val="1"/>
                <c:pt idx="0">
                  <c:v>44.1511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5.1814200000000001</c:v>
                </c:pt>
              </c:numCache>
            </c:numRef>
          </c:xVal>
          <c:yVal>
            <c:numRef>
              <c:f>[0]!FT_PH20</c:f>
              <c:numCache>
                <c:formatCode>0.00</c:formatCode>
                <c:ptCount val="1"/>
                <c:pt idx="0">
                  <c:v>44.1511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5.1814200000000001</c:v>
                </c:pt>
              </c:numCache>
            </c:numRef>
          </c:xVal>
          <c:yVal>
            <c:numRef>
              <c:f>[0]!FT_PH21</c:f>
              <c:numCache>
                <c:formatCode>0.00</c:formatCode>
                <c:ptCount val="1"/>
                <c:pt idx="0">
                  <c:v>44.1511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5.1814200000000001</c:v>
                </c:pt>
              </c:numCache>
            </c:numRef>
          </c:xVal>
          <c:yVal>
            <c:numRef>
              <c:f>[0]!FT_PH22</c:f>
              <c:numCache>
                <c:formatCode>0.00</c:formatCode>
                <c:ptCount val="1"/>
                <c:pt idx="0">
                  <c:v>44.1511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5.1814200000000001</c:v>
                </c:pt>
              </c:numCache>
            </c:numRef>
          </c:xVal>
          <c:yVal>
            <c:numRef>
              <c:f>[0]!FT_PH23</c:f>
              <c:numCache>
                <c:formatCode>0.00</c:formatCode>
                <c:ptCount val="1"/>
                <c:pt idx="0">
                  <c:v>44.1511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5.1814200000000001</c:v>
                </c:pt>
              </c:numCache>
            </c:numRef>
          </c:xVal>
          <c:yVal>
            <c:numRef>
              <c:f>[0]!FT_PH24</c:f>
              <c:numCache>
                <c:formatCode>0.00</c:formatCode>
                <c:ptCount val="1"/>
                <c:pt idx="0">
                  <c:v>44.1511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5.1814200000000001</c:v>
                </c:pt>
              </c:numCache>
            </c:numRef>
          </c:xVal>
          <c:yVal>
            <c:numRef>
              <c:f>info!$H$2</c:f>
              <c:numCache>
                <c:formatCode>0.00</c:formatCode>
                <c:ptCount val="1"/>
                <c:pt idx="0">
                  <c:v>44.1511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9.4958218361872265E-2</c:v>
                </c:pt>
                <c:pt idx="1">
                  <c:v>0.35966102851527421</c:v>
                </c:pt>
                <c:pt idx="2">
                  <c:v>0.5453807531228535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99.06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60.15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2.7156799999999999</c:v>
                </c:pt>
                <c:pt idx="1">
                  <c:v>2.7156799999999999</c:v>
                </c:pt>
                <c:pt idx="2">
                  <c:v>0</c:v>
                </c:pt>
              </c:numCache>
            </c:numRef>
          </c:xVal>
          <c:yVal>
            <c:numRef>
              <c:f>'R4'!$I$5:$I$7</c:f>
              <c:numCache>
                <c:formatCode>0.0_ </c:formatCode>
                <c:ptCount val="3"/>
                <c:pt idx="0">
                  <c:v>0</c:v>
                </c:pt>
                <c:pt idx="1">
                  <c:v>0.11183286557903867</c:v>
                </c:pt>
                <c:pt idx="2">
                  <c:v>0.11183286557903867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IB4i%5e1%5e5%5e\2025-07-16%2012_55_1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IB4i%5e1%5e5%5e\2025-07-16%2012_55_1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C2B361D-FBE6-4DCF-9237-1D6C6A43077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B8A8A78-99DB-4AE2-6909-2D79D5B794D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45" t="str">
        <f>lang!B126</f>
        <v>심리생리 검사 결과</v>
      </c>
      <c r="D4" s="745"/>
      <c r="E4" s="745"/>
      <c r="F4" s="745"/>
      <c r="G4" s="745"/>
      <c r="H4" s="745"/>
      <c r="I4" s="745"/>
      <c r="J4" s="745"/>
      <c r="K4" s="745"/>
      <c r="L4" s="745"/>
      <c r="M4" s="745"/>
      <c r="N4" s="745"/>
      <c r="O4" s="745"/>
      <c r="P4" s="745"/>
    </row>
    <row r="5" spans="3:16" ht="49.5" customHeight="1">
      <c r="C5" s="745"/>
      <c r="D5" s="745"/>
      <c r="E5" s="745"/>
      <c r="F5" s="745"/>
      <c r="G5" s="745"/>
      <c r="H5" s="745"/>
      <c r="I5" s="745"/>
      <c r="J5" s="745"/>
      <c r="K5" s="745"/>
      <c r="L5" s="745"/>
      <c r="M5" s="745"/>
      <c r="N5" s="745"/>
      <c r="O5" s="745"/>
      <c r="P5" s="745"/>
    </row>
    <row r="6" spans="3:16" ht="16.8" thickBot="1"/>
    <row r="7" spans="3:16" ht="30" customHeight="1">
      <c r="D7" s="746" t="str">
        <f>lang!B127</f>
        <v>피검사자</v>
      </c>
      <c r="E7" s="747"/>
      <c r="F7" s="747"/>
      <c r="G7" s="747"/>
      <c r="H7" s="747"/>
      <c r="I7" s="747"/>
      <c r="J7" s="747"/>
      <c r="K7" s="747"/>
      <c r="L7" s="747"/>
      <c r="M7" s="747"/>
      <c r="N7" s="747"/>
      <c r="O7" s="748"/>
    </row>
    <row r="8" spans="3:16" ht="24.75" customHeight="1">
      <c r="C8" s="749"/>
      <c r="D8" s="338" t="str">
        <f>lang!B128</f>
        <v>측정일</v>
      </c>
      <c r="E8" s="738">
        <f>IF(FH_info!A2="","",FH_info!A2)</f>
        <v>45854.539027777777</v>
      </c>
      <c r="F8" s="739"/>
      <c r="G8" s="739"/>
      <c r="H8" s="739"/>
      <c r="I8" s="740"/>
      <c r="J8" s="339" t="str">
        <f>lang!B133</f>
        <v>측정장소</v>
      </c>
      <c r="K8" s="741" t="str">
        <f>IF(FH_info!B2="","",TRIM(MID(SUBSTITUTE(FH_info!B2,"^",REPT(" ",LEN(FH_info!B2))),LEN(FH_info!B2)*5-LEN(FH_info!B2)+1,LEN(FH_info!B2))))</f>
        <v/>
      </c>
      <c r="L8" s="742"/>
      <c r="M8" s="742"/>
      <c r="N8" s="742"/>
      <c r="O8" s="743"/>
      <c r="P8" s="340"/>
    </row>
    <row r="9" spans="3:16" ht="21.75" customHeight="1">
      <c r="C9" s="749"/>
      <c r="D9" s="338" t="str">
        <f>lang!B134</f>
        <v>이름</v>
      </c>
      <c r="E9" s="741" t="str">
        <f>IF(FH_info!B2="","",TRIM(MID(SUBSTITUTE(FH_info!B2,"^",REPT(" ",LEN(FH_info!B2))),LEN(FH_info!B2)*2-LEN(FH_info!B2)+1,LEN(FH_info!B2))))</f>
        <v>IB4i</v>
      </c>
      <c r="F9" s="742"/>
      <c r="G9" s="742"/>
      <c r="H9" s="742"/>
      <c r="I9" s="744"/>
      <c r="J9" s="339" t="str">
        <f>lang!B136</f>
        <v>ID</v>
      </c>
      <c r="K9" s="741"/>
      <c r="L9" s="742"/>
      <c r="M9" s="742"/>
      <c r="N9" s="742"/>
      <c r="O9" s="743"/>
      <c r="P9" s="341"/>
    </row>
    <row r="10" spans="3:16" ht="27" customHeight="1">
      <c r="C10" s="749"/>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9"/>
      <c r="D11" s="342" t="str">
        <f>lang!B135</f>
        <v>직업</v>
      </c>
      <c r="E11" s="750"/>
      <c r="F11" s="751"/>
      <c r="G11" s="751"/>
      <c r="H11" s="751"/>
      <c r="I11" s="752"/>
      <c r="J11" s="350"/>
      <c r="K11" s="750"/>
      <c r="L11" s="751"/>
      <c r="M11" s="751"/>
      <c r="N11" s="751"/>
      <c r="O11" s="753"/>
      <c r="P11" s="343"/>
    </row>
    <row r="12" spans="3:16" ht="30.9" thickBot="1">
      <c r="C12" s="749"/>
      <c r="D12" s="344" t="str">
        <f>lang!B137</f>
        <v>상담
내용</v>
      </c>
      <c r="E12" s="760"/>
      <c r="F12" s="760"/>
      <c r="G12" s="760"/>
      <c r="H12" s="760"/>
      <c r="I12" s="760"/>
      <c r="J12" s="760"/>
      <c r="K12" s="760"/>
      <c r="L12" s="760"/>
      <c r="M12" s="760"/>
      <c r="N12" s="760"/>
      <c r="O12" s="761"/>
      <c r="P12" s="343"/>
    </row>
    <row r="13" spans="3:16" ht="18">
      <c r="C13" s="749"/>
      <c r="D13" s="345"/>
      <c r="E13" s="346"/>
      <c r="F13" s="346"/>
      <c r="G13" s="346"/>
      <c r="H13" s="346"/>
      <c r="I13" s="346"/>
      <c r="J13" s="346"/>
      <c r="K13" s="346"/>
      <c r="L13" s="346"/>
      <c r="M13" s="346"/>
      <c r="N13" s="346"/>
      <c r="O13" s="346"/>
      <c r="P13" s="343"/>
    </row>
    <row r="14" spans="3:16" ht="18.3" thickBot="1">
      <c r="C14" s="749"/>
      <c r="D14" s="346"/>
      <c r="E14" s="346"/>
      <c r="F14" s="346"/>
      <c r="G14" s="346"/>
      <c r="H14" s="346"/>
      <c r="I14" s="346"/>
      <c r="J14" s="346"/>
      <c r="K14" s="346"/>
      <c r="L14" s="346"/>
      <c r="M14" s="346"/>
      <c r="N14" s="346"/>
      <c r="O14" s="346"/>
      <c r="P14" s="343"/>
    </row>
    <row r="15" spans="3:16" ht="30" customHeight="1">
      <c r="C15" s="749"/>
      <c r="D15" s="746" t="str">
        <f>lang!B138</f>
        <v>검사자</v>
      </c>
      <c r="E15" s="747"/>
      <c r="F15" s="747"/>
      <c r="G15" s="747"/>
      <c r="H15" s="747"/>
      <c r="I15" s="747"/>
      <c r="J15" s="747"/>
      <c r="K15" s="747"/>
      <c r="L15" s="747"/>
      <c r="M15" s="747"/>
      <c r="N15" s="747"/>
      <c r="O15" s="748"/>
      <c r="P15" s="343"/>
    </row>
    <row r="16" spans="3:16" ht="28.5" customHeight="1">
      <c r="C16" s="749"/>
      <c r="D16" s="338" t="str">
        <f>lang!B139</f>
        <v>이름</v>
      </c>
      <c r="E16" s="738"/>
      <c r="F16" s="739"/>
      <c r="G16" s="739"/>
      <c r="H16" s="739"/>
      <c r="I16" s="740"/>
      <c r="J16" s="339" t="str">
        <f>lang!B140</f>
        <v>날짜</v>
      </c>
      <c r="K16" s="741"/>
      <c r="L16" s="742"/>
      <c r="M16" s="742"/>
      <c r="N16" s="742"/>
      <c r="O16" s="743"/>
      <c r="P16" s="343"/>
    </row>
    <row r="17" spans="3:16" ht="31.5" customHeight="1">
      <c r="C17" s="749"/>
      <c r="D17" s="338" t="str">
        <f>lang!B141</f>
        <v>소속</v>
      </c>
      <c r="E17" s="741"/>
      <c r="F17" s="742"/>
      <c r="G17" s="742"/>
      <c r="H17" s="742"/>
      <c r="I17" s="744"/>
      <c r="J17" s="339" t="str">
        <f>lang!B142</f>
        <v>연락처</v>
      </c>
      <c r="K17" s="741"/>
      <c r="L17" s="742"/>
      <c r="M17" s="742"/>
      <c r="N17" s="742"/>
      <c r="O17" s="743"/>
      <c r="P17" s="343"/>
    </row>
    <row r="18" spans="3:16" ht="31.5" customHeight="1" thickBot="1">
      <c r="C18" s="749"/>
      <c r="D18" s="344" t="str">
        <f>lang!B143</f>
        <v>측정장소</v>
      </c>
      <c r="E18" s="754"/>
      <c r="F18" s="755"/>
      <c r="G18" s="755"/>
      <c r="H18" s="755"/>
      <c r="I18" s="756"/>
      <c r="J18" s="351"/>
      <c r="K18" s="754"/>
      <c r="L18" s="755"/>
      <c r="M18" s="755"/>
      <c r="N18" s="755"/>
      <c r="O18" s="757"/>
      <c r="P18" s="343"/>
    </row>
    <row r="19" spans="3:16" ht="30" customHeight="1">
      <c r="C19" s="749"/>
      <c r="D19" s="347"/>
      <c r="E19" s="352"/>
      <c r="F19" s="352"/>
      <c r="G19" s="352"/>
      <c r="H19" s="352"/>
      <c r="I19" s="352"/>
      <c r="J19" s="347"/>
      <c r="K19" s="352"/>
      <c r="L19" s="352"/>
      <c r="M19" s="352"/>
      <c r="N19" s="352"/>
      <c r="O19" s="352"/>
      <c r="P19" s="343"/>
    </row>
    <row r="20" spans="3:16" ht="18">
      <c r="C20" s="749"/>
      <c r="D20" s="345"/>
      <c r="E20" s="346"/>
      <c r="F20" s="346"/>
      <c r="G20" s="346"/>
      <c r="H20" s="346"/>
      <c r="I20" s="346"/>
      <c r="J20" s="345"/>
      <c r="K20" s="346"/>
      <c r="L20" s="346"/>
      <c r="M20" s="346"/>
      <c r="N20" s="346"/>
      <c r="O20" s="346"/>
      <c r="P20" s="343"/>
    </row>
    <row r="21" spans="3:16" ht="33.9">
      <c r="C21" s="749"/>
      <c r="D21" s="758" t="str">
        <f>lang!B144</f>
        <v>마인드아이</v>
      </c>
      <c r="E21" s="759"/>
      <c r="F21" s="759"/>
      <c r="G21" s="759"/>
      <c r="H21" s="759"/>
      <c r="I21" s="759"/>
      <c r="J21" s="759"/>
      <c r="K21" s="759"/>
      <c r="L21" s="759"/>
      <c r="M21" s="759"/>
      <c r="N21" s="759"/>
      <c r="O21" s="759"/>
      <c r="P21" s="343"/>
    </row>
    <row r="22" spans="3:16" ht="31.5" customHeight="1">
      <c r="C22" s="749"/>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D21:O21"/>
    <mergeCell ref="K11:O11"/>
    <mergeCell ref="E12:O12"/>
    <mergeCell ref="D15:O15"/>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764" t="str">
        <f>FH_info!AC2</f>
        <v>심리생리 검사 결과</v>
      </c>
      <c r="D3" s="764"/>
      <c r="E3" s="764"/>
      <c r="F3" s="764"/>
      <c r="G3" s="764"/>
      <c r="H3" s="764"/>
      <c r="I3" s="764"/>
      <c r="J3" s="764"/>
      <c r="K3" s="764"/>
      <c r="L3" s="764"/>
      <c r="M3" s="764"/>
      <c r="N3" s="764"/>
      <c r="O3" s="765" t="str">
        <f>FH_info!AB2</f>
        <v>마인드아이</v>
      </c>
      <c r="P3" s="765"/>
      <c r="Q3" s="765"/>
      <c r="R3" s="765"/>
    </row>
    <row r="4" spans="2:18" ht="14.25" customHeight="1">
      <c r="C4" s="764"/>
      <c r="D4" s="764"/>
      <c r="E4" s="764"/>
      <c r="F4" s="764"/>
      <c r="G4" s="764"/>
      <c r="H4" s="764"/>
      <c r="I4" s="764"/>
      <c r="J4" s="764"/>
      <c r="K4" s="764"/>
      <c r="L4" s="764"/>
      <c r="M4" s="764"/>
      <c r="N4" s="764"/>
      <c r="O4" s="765"/>
      <c r="P4" s="765"/>
      <c r="Q4" s="765"/>
      <c r="R4" s="765"/>
    </row>
    <row r="5" spans="2:18" ht="3" customHeight="1"/>
    <row r="6" spans="2:18" ht="1.5" customHeight="1" thickBot="1"/>
    <row r="7" spans="2:18">
      <c r="C7" s="766"/>
      <c r="D7" s="767"/>
      <c r="E7" s="768"/>
      <c r="F7" s="166" t="str">
        <f>lang!B159</f>
        <v>측정일</v>
      </c>
      <c r="G7" s="771">
        <f>IF(FH_info!A2="","",FH_info!A2)</f>
        <v>45854.539027777777</v>
      </c>
      <c r="H7" s="772"/>
      <c r="I7" s="773"/>
      <c r="J7" s="166" t="str">
        <f>lang!B160</f>
        <v>나이</v>
      </c>
      <c r="K7" s="774" t="str">
        <f>IF(FH_info!B2="","",TRIM(MID(SUBSTITUTE(FH_info!B2,"^",REPT(" ",LEN(FH_info!B2))),LEN(FH_info!B2)*4-LEN(FH_info!B2)+1,LEN(FH_info!B2))))</f>
        <v>5</v>
      </c>
      <c r="L7" s="774"/>
      <c r="M7" s="166" t="str">
        <f>lang!B161</f>
        <v>성별</v>
      </c>
      <c r="N7" s="775" t="str">
        <f>IF(FH_info!B2="","", FH_info!Y2)</f>
        <v>남성</v>
      </c>
      <c r="O7" s="776"/>
      <c r="P7" s="777" t="str">
        <f>lang!B164</f>
        <v>측정장소</v>
      </c>
      <c r="Q7" s="778"/>
      <c r="R7" s="779"/>
    </row>
    <row r="8" spans="2:18">
      <c r="C8" s="769"/>
      <c r="D8" s="749"/>
      <c r="E8" s="770"/>
      <c r="F8" s="146" t="str">
        <f>lang!B165</f>
        <v>이름</v>
      </c>
      <c r="G8" s="780" t="str">
        <f>IF(FH_info!B2="","",TRIM(MID(SUBSTITUTE(FH_info!B2,"^",REPT(" ",LEN(FH_info!B2))),LEN(FH_info!B2)*2-LEN(FH_info!B2)+1,LEN(FH_info!B2))))</f>
        <v>IB4i</v>
      </c>
      <c r="H8" s="781"/>
      <c r="I8" s="782"/>
      <c r="J8" s="146" t="str">
        <f>lang!B166</f>
        <v>직업</v>
      </c>
      <c r="K8" s="783"/>
      <c r="L8" s="783"/>
      <c r="M8" s="146" t="str">
        <f>lang!B167</f>
        <v>ID</v>
      </c>
      <c r="N8" s="784"/>
      <c r="O8" s="785"/>
      <c r="P8" s="780" t="str">
        <f>IF(FH_info!B2="","",TRIM(MID(SUBSTITUTE(FH_info!B2,"^",REPT(" ",LEN(FH_info!B2))),LEN(FH_info!B2)*5-LEN(FH_info!B2)+1,LEN(FH_info!B2))))</f>
        <v/>
      </c>
      <c r="Q8" s="781"/>
      <c r="R8" s="786"/>
    </row>
    <row r="9" spans="2:18" ht="9" customHeight="1">
      <c r="C9" s="769"/>
      <c r="D9" s="749"/>
      <c r="E9" s="770"/>
      <c r="F9" s="787" t="str">
        <f>lang!B168</f>
        <v>상담
내용</v>
      </c>
      <c r="G9" s="789"/>
      <c r="H9" s="790"/>
      <c r="I9" s="790"/>
      <c r="J9" s="790"/>
      <c r="K9" s="790"/>
      <c r="L9" s="790"/>
      <c r="M9" s="790"/>
      <c r="N9" s="790"/>
      <c r="O9" s="790"/>
      <c r="P9" s="790"/>
      <c r="Q9" s="790"/>
      <c r="R9" s="791"/>
    </row>
    <row r="10" spans="2:18" ht="9" customHeight="1">
      <c r="C10" s="769"/>
      <c r="D10" s="749"/>
      <c r="E10" s="770"/>
      <c r="F10" s="788"/>
      <c r="G10" s="792"/>
      <c r="H10" s="793"/>
      <c r="I10" s="793"/>
      <c r="J10" s="793"/>
      <c r="K10" s="793"/>
      <c r="L10" s="793"/>
      <c r="M10" s="793"/>
      <c r="N10" s="793"/>
      <c r="O10" s="793"/>
      <c r="P10" s="793"/>
      <c r="Q10" s="793"/>
      <c r="R10" s="794"/>
    </row>
    <row r="11" spans="2:18" ht="19.5" customHeight="1" thickBot="1">
      <c r="C11" s="769"/>
      <c r="D11" s="749"/>
      <c r="E11" s="770"/>
      <c r="F11" s="788"/>
      <c r="G11" s="792"/>
      <c r="H11" s="793"/>
      <c r="I11" s="793"/>
      <c r="J11" s="793"/>
      <c r="K11" s="793"/>
      <c r="L11" s="793"/>
      <c r="M11" s="793"/>
      <c r="N11" s="793"/>
      <c r="O11" s="793"/>
      <c r="P11" s="793"/>
      <c r="Q11" s="793"/>
      <c r="R11" s="794"/>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795" t="str">
        <f>lang!B255</f>
        <v>종합 검사
결과 분류</v>
      </c>
      <c r="D13" s="798" t="str">
        <f>Measurement!CJ20</f>
        <v>양호 집단에 속하며,</v>
      </c>
      <c r="E13" s="799"/>
      <c r="F13" s="799"/>
      <c r="G13" s="802" t="str">
        <f>Measurement!CJ18</f>
        <v>양호 상태입니다.</v>
      </c>
      <c r="H13" s="802"/>
      <c r="I13" s="802"/>
      <c r="J13" s="803"/>
      <c r="K13" s="874" t="str">
        <f>Measurement!CN15</f>
        <v>양호 집단</v>
      </c>
      <c r="L13" s="875"/>
      <c r="M13" s="874" t="str">
        <f>Measurement!CS15</f>
        <v>주의 집단</v>
      </c>
      <c r="N13" s="875"/>
      <c r="O13" s="878"/>
      <c r="P13" s="806" t="str">
        <f>Measurement!CW15</f>
        <v>힐링/치유 집단</v>
      </c>
      <c r="Q13" s="806"/>
      <c r="R13" s="807"/>
    </row>
    <row r="14" spans="2:18" ht="12" customHeight="1">
      <c r="B14" s="79"/>
      <c r="C14" s="796"/>
      <c r="D14" s="800"/>
      <c r="E14" s="801"/>
      <c r="F14" s="801"/>
      <c r="G14" s="804"/>
      <c r="H14" s="804"/>
      <c r="I14" s="804"/>
      <c r="J14" s="805"/>
      <c r="K14" s="876"/>
      <c r="L14" s="877"/>
      <c r="M14" s="876"/>
      <c r="N14" s="877"/>
      <c r="O14" s="879"/>
      <c r="P14" s="808"/>
      <c r="Q14" s="808"/>
      <c r="R14" s="809"/>
    </row>
    <row r="15" spans="2:18" ht="28.5" customHeight="1">
      <c r="B15" s="79"/>
      <c r="C15" s="796"/>
      <c r="D15" s="822" t="str">
        <f>Measurement!CJ19</f>
        <v>뇌 피로도 수준이 평균입니다. 활력이 있어 적극적으로 의사표현이 가능합니다. 적당한 운동을 해도 좋을 굳 타이밍입니다. 너무 과한 활동은 저녁이 되면 지칠수 있으니 주의합니다.</v>
      </c>
      <c r="E15" s="823"/>
      <c r="F15" s="823"/>
      <c r="G15" s="823"/>
      <c r="H15" s="823"/>
      <c r="I15" s="823"/>
      <c r="J15" s="824"/>
      <c r="K15" s="880" t="str">
        <f>Measurement!CN16</f>
        <v>양호 (G1)</v>
      </c>
      <c r="L15" s="881"/>
      <c r="M15" s="880" t="str">
        <f>Measurement!CS16</f>
        <v>주의 (Y1)</v>
      </c>
      <c r="N15" s="886"/>
      <c r="O15" s="881"/>
      <c r="P15" s="818" t="str">
        <f>Measurement!CY16</f>
        <v>화불쾌 상태 (R4)</v>
      </c>
      <c r="Q15" s="818"/>
      <c r="R15" s="819"/>
    </row>
    <row r="16" spans="2:18" ht="28.5" customHeight="1">
      <c r="B16" s="79"/>
      <c r="C16" s="796"/>
      <c r="D16" s="822"/>
      <c r="E16" s="823"/>
      <c r="F16" s="823"/>
      <c r="G16" s="823"/>
      <c r="H16" s="823"/>
      <c r="I16" s="823"/>
      <c r="J16" s="824"/>
      <c r="K16" s="882"/>
      <c r="L16" s="883"/>
      <c r="M16" s="882"/>
      <c r="N16" s="887"/>
      <c r="O16" s="883"/>
      <c r="P16" s="820" t="str">
        <f>Measurement!CR16</f>
        <v>충동 상태 (R3)</v>
      </c>
      <c r="Q16" s="820"/>
      <c r="R16" s="821"/>
    </row>
    <row r="17" spans="2:20" ht="28.5" customHeight="1">
      <c r="B17" s="79"/>
      <c r="C17" s="796"/>
      <c r="D17" s="822"/>
      <c r="E17" s="823"/>
      <c r="F17" s="823"/>
      <c r="G17" s="823"/>
      <c r="H17" s="823"/>
      <c r="I17" s="823"/>
      <c r="J17" s="824"/>
      <c r="K17" s="882"/>
      <c r="L17" s="883"/>
      <c r="M17" s="882"/>
      <c r="N17" s="887"/>
      <c r="O17" s="883"/>
      <c r="P17" s="820" t="str">
        <f>Measurement!CW16</f>
        <v>무기력 상태 (R2)</v>
      </c>
      <c r="Q17" s="820"/>
      <c r="R17" s="821"/>
    </row>
    <row r="18" spans="2:20" ht="28.5" customHeight="1" thickBot="1">
      <c r="B18" s="79"/>
      <c r="C18" s="797"/>
      <c r="D18" s="810" t="str">
        <f>Measurement!CL7</f>
        <v>( 100 , 0 )</v>
      </c>
      <c r="E18" s="811"/>
      <c r="F18" s="811"/>
      <c r="G18" s="811"/>
      <c r="H18" s="811"/>
      <c r="I18" s="811"/>
      <c r="J18" s="812"/>
      <c r="K18" s="884"/>
      <c r="L18" s="885"/>
      <c r="M18" s="884"/>
      <c r="N18" s="888"/>
      <c r="O18" s="885"/>
      <c r="P18" s="762" t="str">
        <f>Measurement!CX16</f>
        <v>우울 상태 (R1)</v>
      </c>
      <c r="Q18" s="762"/>
      <c r="R18" s="763"/>
    </row>
    <row r="19" spans="2:20" ht="17.25" customHeight="1" thickBot="1">
      <c r="B19" s="79"/>
      <c r="C19" s="825" t="str">
        <f>lang!B169</f>
        <v>뇌 피로도 및 유형</v>
      </c>
      <c r="D19" s="826"/>
      <c r="E19" s="826"/>
      <c r="F19" s="826"/>
      <c r="G19" s="826"/>
      <c r="H19" s="826"/>
      <c r="I19" s="826"/>
      <c r="J19" s="826"/>
      <c r="K19" s="826"/>
      <c r="L19" s="826"/>
      <c r="M19" s="826"/>
      <c r="N19" s="826"/>
      <c r="O19" s="826"/>
      <c r="P19" s="826"/>
      <c r="Q19" s="826"/>
      <c r="R19" s="827"/>
    </row>
    <row r="20" spans="2:20" ht="21" customHeight="1">
      <c r="C20" s="828" t="str">
        <f>lang!B178</f>
        <v>뇌피로 상태</v>
      </c>
      <c r="D20" s="829"/>
      <c r="E20" s="830" t="str">
        <f>Measurement!AR7</f>
        <v>건강</v>
      </c>
      <c r="F20" s="831"/>
      <c r="G20" s="327" t="str">
        <f>lang!B179</f>
        <v>지수</v>
      </c>
      <c r="H20" s="832">
        <f>Measurement!AQ7</f>
        <v>4.0147372513073938</v>
      </c>
      <c r="I20" s="833"/>
      <c r="J20" s="311" t="str">
        <f>lang!B174</f>
        <v>정보량</v>
      </c>
      <c r="K20" s="236">
        <f ca="1">info!N9</f>
        <v>49.461154109589025</v>
      </c>
      <c r="L20" s="312" t="str">
        <f>lang!B175</f>
        <v>에너지</v>
      </c>
      <c r="M20" s="834">
        <f ca="1">info!M9</f>
        <v>5.5557078082191804</v>
      </c>
      <c r="N20" s="835"/>
      <c r="O20" s="816" t="str">
        <f>lang!B180</f>
        <v>유형</v>
      </c>
      <c r="P20" s="836"/>
      <c r="Q20" s="816" t="str">
        <f>IF(info!CB24&lt;&gt;"", info!CB24,"")</f>
        <v>3</v>
      </c>
      <c r="R20" s="817"/>
      <c r="S20" s="164">
        <f>Measurement!AS7</f>
        <v>4</v>
      </c>
    </row>
    <row r="21" spans="2:20" ht="12" customHeight="1">
      <c r="C21" s="202" t="s">
        <v>1072</v>
      </c>
      <c r="D21" s="180"/>
      <c r="E21" s="180"/>
      <c r="F21" s="180"/>
      <c r="G21" s="180"/>
      <c r="H21" s="203">
        <f>Measurement!AS7</f>
        <v>4</v>
      </c>
      <c r="I21" s="184"/>
      <c r="J21" s="177"/>
      <c r="K21" s="813" t="str">
        <f>lang!B334</f>
        <v>심리생리
정보량(%)</v>
      </c>
      <c r="L21" s="813"/>
      <c r="M21" s="177"/>
      <c r="N21" s="177"/>
      <c r="O21" s="178"/>
      <c r="P21" s="178"/>
      <c r="Q21" s="178"/>
      <c r="R21" s="185"/>
    </row>
    <row r="22" spans="2:20" ht="25.5" customHeight="1">
      <c r="C22" s="147"/>
      <c r="D22" s="815"/>
      <c r="E22" s="815"/>
      <c r="F22" s="148"/>
      <c r="G22" s="148"/>
      <c r="H22" s="148"/>
      <c r="I22" s="149"/>
      <c r="J22" s="177"/>
      <c r="K22" s="814"/>
      <c r="L22" s="814"/>
      <c r="M22" s="177"/>
      <c r="N22" s="177"/>
      <c r="O22" s="177"/>
      <c r="P22" s="177"/>
      <c r="Q22" s="177"/>
      <c r="R22" s="179"/>
      <c r="T22" s="80"/>
    </row>
    <row r="23" spans="2:20" ht="25.5" customHeight="1">
      <c r="C23" s="147"/>
      <c r="D23" s="837"/>
      <c r="E23" s="837"/>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38" t="str">
        <f>lang!B176</f>
        <v>뇌 피로도</v>
      </c>
      <c r="I25" s="839"/>
      <c r="J25" s="177"/>
      <c r="K25" s="177"/>
      <c r="L25" s="177"/>
      <c r="M25" s="840" t="str">
        <f>lang!B335</f>
        <v>에너지
(kcal/min)</v>
      </c>
      <c r="N25" s="840"/>
      <c r="O25" s="177"/>
      <c r="P25" s="177"/>
      <c r="Q25" s="177"/>
      <c r="R25" s="179"/>
    </row>
    <row r="26" spans="2:20" ht="10.5" customHeight="1">
      <c r="C26" s="147"/>
      <c r="D26" s="148"/>
      <c r="E26" s="148"/>
      <c r="F26" s="148"/>
      <c r="G26" s="148"/>
      <c r="H26" s="838"/>
      <c r="I26" s="839"/>
      <c r="J26" s="177"/>
      <c r="K26" s="177"/>
      <c r="L26" s="177"/>
      <c r="M26" s="840"/>
      <c r="N26" s="840"/>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41" t="str">
        <f>Measurement!AV7</f>
        <v>건강한 뇌피로 상태입니다</v>
      </c>
      <c r="D28" s="842"/>
      <c r="E28" s="842"/>
      <c r="F28" s="843"/>
      <c r="G28" s="843"/>
      <c r="H28" s="843"/>
      <c r="I28" s="844"/>
      <c r="J28" s="845" t="str">
        <f ca="1">IF(info!CB31&lt;&gt;"",info!CB31,"")</f>
        <v>심리적으로 기분이 낮은정서 상태이다. 에너지 대사량이 매우 크며 감소하고 있다.</v>
      </c>
      <c r="K28" s="846"/>
      <c r="L28" s="846"/>
      <c r="M28" s="846"/>
      <c r="N28" s="846"/>
      <c r="O28" s="846"/>
      <c r="P28" s="846"/>
      <c r="Q28" s="846"/>
      <c r="R28" s="847"/>
    </row>
    <row r="29" spans="2:20" ht="14.25" customHeight="1">
      <c r="C29" s="841"/>
      <c r="D29" s="842"/>
      <c r="E29" s="842"/>
      <c r="F29" s="843"/>
      <c r="G29" s="843"/>
      <c r="H29" s="843"/>
      <c r="I29" s="844"/>
      <c r="J29" s="845"/>
      <c r="K29" s="846"/>
      <c r="L29" s="846"/>
      <c r="M29" s="846"/>
      <c r="N29" s="846"/>
      <c r="O29" s="846"/>
      <c r="P29" s="846"/>
      <c r="Q29" s="846"/>
      <c r="R29" s="847"/>
    </row>
    <row r="30" spans="2:20" ht="2.25" customHeight="1" thickBot="1">
      <c r="C30" s="77"/>
      <c r="E30" s="78"/>
      <c r="F30" s="83"/>
      <c r="I30" s="84"/>
      <c r="J30" s="181"/>
      <c r="K30" s="182"/>
      <c r="L30" s="183"/>
      <c r="M30" s="85"/>
      <c r="N30" s="85"/>
      <c r="O30" s="85"/>
      <c r="P30" s="85"/>
      <c r="Q30" s="85"/>
      <c r="R30" s="86"/>
    </row>
    <row r="31" spans="2:20" ht="16.5" customHeight="1" thickBot="1">
      <c r="C31" s="848" t="str">
        <f>lang!B200</f>
        <v>심리상태 차트</v>
      </c>
      <c r="D31" s="849"/>
      <c r="E31" s="849"/>
      <c r="F31" s="849"/>
      <c r="G31" s="849"/>
      <c r="H31" s="849"/>
      <c r="I31" s="850"/>
      <c r="J31" s="195" t="str">
        <f>lang!B201</f>
        <v>항목</v>
      </c>
      <c r="K31" s="196" t="str">
        <f>lang!B202</f>
        <v>범위</v>
      </c>
      <c r="L31" s="196" t="str">
        <f>lang!B203</f>
        <v>판정</v>
      </c>
      <c r="M31" s="851" t="str">
        <f>lang!B204</f>
        <v>최소값</v>
      </c>
      <c r="N31" s="852"/>
      <c r="O31" s="851" t="str">
        <f>lang!B205</f>
        <v>평균값</v>
      </c>
      <c r="P31" s="852"/>
      <c r="Q31" s="851" t="str">
        <f>lang!B206</f>
        <v>최대값</v>
      </c>
      <c r="R31" s="853"/>
    </row>
    <row r="32" spans="2:20" ht="12.75" customHeight="1">
      <c r="C32" s="382"/>
      <c r="D32" s="383"/>
      <c r="E32" s="383"/>
      <c r="F32" s="383"/>
      <c r="G32" s="383"/>
      <c r="H32" s="383"/>
      <c r="I32" s="501">
        <f>Measurement!L7</f>
        <v>4</v>
      </c>
      <c r="J32" s="138" t="str">
        <f>lang!B14</f>
        <v>적극/공격성</v>
      </c>
      <c r="K32" s="89" t="s">
        <v>225</v>
      </c>
      <c r="L32" s="503" t="str">
        <f>Measurement!Y7</f>
        <v>높음</v>
      </c>
      <c r="M32" s="854">
        <f>Measurement!R7</f>
        <v>44.614699999999999</v>
      </c>
      <c r="N32" s="855"/>
      <c r="O32" s="856">
        <f>Measurement!N7</f>
        <v>47.7181</v>
      </c>
      <c r="P32" s="857"/>
      <c r="Q32" s="858">
        <f>Measurement!T7</f>
        <v>59.6511</v>
      </c>
      <c r="R32" s="859"/>
    </row>
    <row r="33" spans="3:18" ht="12.75" customHeight="1">
      <c r="C33" s="77"/>
      <c r="I33" s="502">
        <f>Measurement!L8</f>
        <v>1</v>
      </c>
      <c r="J33" s="139" t="str">
        <f>lang!B15</f>
        <v>스트레스</v>
      </c>
      <c r="K33" s="90" t="s">
        <v>226</v>
      </c>
      <c r="L33" s="504" t="str">
        <f>Measurement!Y8</f>
        <v>매우 낮음</v>
      </c>
      <c r="M33" s="860">
        <f>Measurement!R8</f>
        <v>12.65</v>
      </c>
      <c r="N33" s="861"/>
      <c r="O33" s="862">
        <f>Measurement!N8</f>
        <v>14.3109</v>
      </c>
      <c r="P33" s="863"/>
      <c r="Q33" s="860">
        <f>Measurement!T8</f>
        <v>17.921099999999999</v>
      </c>
      <c r="R33" s="864"/>
    </row>
    <row r="34" spans="3:18" ht="12.75" customHeight="1">
      <c r="C34" s="77"/>
      <c r="I34" s="502">
        <f>Measurement!L9</f>
        <v>1</v>
      </c>
      <c r="J34" s="139" t="str">
        <f>lang!B16</f>
        <v>불안</v>
      </c>
      <c r="K34" s="90" t="s">
        <v>227</v>
      </c>
      <c r="L34" s="504" t="str">
        <f>Measurement!Y9</f>
        <v>매우 낮음</v>
      </c>
      <c r="M34" s="860">
        <f>Measurement!R9</f>
        <v>5.9983000000000004</v>
      </c>
      <c r="N34" s="861"/>
      <c r="O34" s="862">
        <f>Measurement!N9</f>
        <v>14.2066</v>
      </c>
      <c r="P34" s="863"/>
      <c r="Q34" s="860">
        <f>Measurement!T9</f>
        <v>32.116799999999998</v>
      </c>
      <c r="R34" s="864"/>
    </row>
    <row r="35" spans="3:18" ht="12.75" customHeight="1">
      <c r="C35" s="77"/>
      <c r="I35" s="502">
        <f>Measurement!L10</f>
        <v>3</v>
      </c>
      <c r="J35" s="139" t="str">
        <f>lang!B17</f>
        <v>의심</v>
      </c>
      <c r="K35" s="90" t="s">
        <v>225</v>
      </c>
      <c r="L35" s="504" t="str">
        <f>Measurement!Y10</f>
        <v>보통</v>
      </c>
      <c r="M35" s="860">
        <f>Measurement!R10</f>
        <v>22.9832</v>
      </c>
      <c r="N35" s="861"/>
      <c r="O35" s="862">
        <f>Measurement!N10</f>
        <v>25.942499999999999</v>
      </c>
      <c r="P35" s="863"/>
      <c r="Q35" s="860">
        <f>Measurement!T10</f>
        <v>30.749700000000001</v>
      </c>
      <c r="R35" s="864"/>
    </row>
    <row r="36" spans="3:18" ht="12.75" customHeight="1">
      <c r="C36" s="77"/>
      <c r="I36" s="502">
        <f>Measurement!L11</f>
        <v>4</v>
      </c>
      <c r="J36" s="139" t="str">
        <f>lang!B18</f>
        <v>밸런스</v>
      </c>
      <c r="K36" s="90" t="s">
        <v>2171</v>
      </c>
      <c r="L36" s="504" t="str">
        <f>Measurement!Y11</f>
        <v>높음</v>
      </c>
      <c r="M36" s="860">
        <f>Measurement!R11</f>
        <v>60.4649</v>
      </c>
      <c r="N36" s="861"/>
      <c r="O36" s="862">
        <f>Measurement!N11</f>
        <v>73.9619</v>
      </c>
      <c r="P36" s="863"/>
      <c r="Q36" s="860">
        <f>Measurement!T11</f>
        <v>81.5428</v>
      </c>
      <c r="R36" s="864"/>
    </row>
    <row r="37" spans="3:18" ht="12.75" customHeight="1">
      <c r="C37" s="77"/>
      <c r="I37" s="502">
        <f>Measurement!L12</f>
        <v>5</v>
      </c>
      <c r="J37" s="139" t="str">
        <f>lang!B19</f>
        <v>카리스마</v>
      </c>
      <c r="K37" s="90" t="s">
        <v>229</v>
      </c>
      <c r="L37" s="504" t="str">
        <f>Measurement!Y12</f>
        <v>매우 높음</v>
      </c>
      <c r="M37" s="860">
        <f>Measurement!R12</f>
        <v>82.015900000000002</v>
      </c>
      <c r="N37" s="861"/>
      <c r="O37" s="862">
        <f>Measurement!N12</f>
        <v>84.5077</v>
      </c>
      <c r="P37" s="863"/>
      <c r="Q37" s="860">
        <f>Measurement!T12</f>
        <v>86.886600000000001</v>
      </c>
      <c r="R37" s="864"/>
    </row>
    <row r="38" spans="3:18" ht="12.75" customHeight="1">
      <c r="C38" s="77"/>
      <c r="I38" s="502">
        <f>Measurement!L13</f>
        <v>5</v>
      </c>
      <c r="J38" s="139" t="str">
        <f>lang!B20</f>
        <v>에너지</v>
      </c>
      <c r="K38" s="90" t="s">
        <v>2170</v>
      </c>
      <c r="L38" s="504" t="str">
        <f>Measurement!Y13</f>
        <v>매우 높음</v>
      </c>
      <c r="M38" s="860">
        <f>Measurement!R13</f>
        <v>38.3384</v>
      </c>
      <c r="N38" s="861"/>
      <c r="O38" s="862">
        <f>Measurement!N13</f>
        <v>45.267200000000003</v>
      </c>
      <c r="P38" s="863"/>
      <c r="Q38" s="860">
        <f>Measurement!T13</f>
        <v>51.484900000000003</v>
      </c>
      <c r="R38" s="864"/>
    </row>
    <row r="39" spans="3:18" ht="12.75" customHeight="1">
      <c r="C39" s="77"/>
      <c r="I39" s="502">
        <f>Measurement!L14</f>
        <v>4</v>
      </c>
      <c r="J39" s="139" t="str">
        <f>lang!B21</f>
        <v>자기조절</v>
      </c>
      <c r="K39" s="90" t="s">
        <v>230</v>
      </c>
      <c r="L39" s="504" t="str">
        <f>Measurement!Y14</f>
        <v>높음</v>
      </c>
      <c r="M39" s="860">
        <f>Measurement!R14</f>
        <v>72.979200000000006</v>
      </c>
      <c r="N39" s="861"/>
      <c r="O39" s="862">
        <f>Measurement!N14</f>
        <v>79.142799999999994</v>
      </c>
      <c r="P39" s="863"/>
      <c r="Q39" s="860">
        <f>Measurement!T14</f>
        <v>83.113200000000006</v>
      </c>
      <c r="R39" s="864"/>
    </row>
    <row r="40" spans="3:18" ht="12.75" customHeight="1">
      <c r="C40" s="77"/>
      <c r="I40" s="502">
        <f>Measurement!L15</f>
        <v>3</v>
      </c>
      <c r="J40" s="139" t="str">
        <f>lang!B22</f>
        <v>억제</v>
      </c>
      <c r="K40" s="91" t="s">
        <v>248</v>
      </c>
      <c r="L40" s="504" t="str">
        <f>Measurement!Y15</f>
        <v>보통</v>
      </c>
      <c r="M40" s="860">
        <f>Measurement!R15</f>
        <v>16.480799999999999</v>
      </c>
      <c r="N40" s="861"/>
      <c r="O40" s="862">
        <f>Measurement!N15</f>
        <v>22.5107</v>
      </c>
      <c r="P40" s="863"/>
      <c r="Q40" s="860">
        <f>Measurement!T15</f>
        <v>36.722499999999997</v>
      </c>
      <c r="R40" s="864"/>
    </row>
    <row r="41" spans="3:18" ht="12.75" customHeight="1" thickBot="1">
      <c r="C41" s="77"/>
      <c r="I41" s="502">
        <f>Measurement!L16</f>
        <v>3</v>
      </c>
      <c r="J41" s="140" t="str">
        <f>lang!B23</f>
        <v>신경성</v>
      </c>
      <c r="K41" s="92" t="s">
        <v>231</v>
      </c>
      <c r="L41" s="504" t="str">
        <f>Measurement!Y16</f>
        <v>보통</v>
      </c>
      <c r="M41" s="901">
        <f>Measurement!R16</f>
        <v>1.68086</v>
      </c>
      <c r="N41" s="902"/>
      <c r="O41" s="903">
        <f>Measurement!N16</f>
        <v>34.435699999999997</v>
      </c>
      <c r="P41" s="904"/>
      <c r="Q41" s="901">
        <f>Measurement!T16</f>
        <v>49.573599999999999</v>
      </c>
      <c r="R41" s="905"/>
    </row>
    <row r="42" spans="3:18" ht="29.25" customHeight="1" thickBot="1">
      <c r="C42" s="77"/>
      <c r="I42" s="84"/>
      <c r="J42" s="889" t="str">
        <f>lang!B215</f>
        <v>감정변이도</v>
      </c>
      <c r="K42" s="890"/>
      <c r="L42" s="319" t="str">
        <f>info!V43</f>
        <v>보통</v>
      </c>
      <c r="M42" s="891">
        <f>info!W43</f>
        <v>13.194699999999999</v>
      </c>
      <c r="N42" s="892"/>
      <c r="O42" s="893" t="str">
        <f>info!V44</f>
        <v>감정변화가 안정된 정상적인 상태</v>
      </c>
      <c r="P42" s="894"/>
      <c r="Q42" s="894"/>
      <c r="R42" s="895"/>
    </row>
    <row r="43" spans="3:18" ht="16.5" customHeight="1">
      <c r="C43" s="896" t="str">
        <f>lang!B226</f>
        <v>활력도</v>
      </c>
      <c r="D43" s="897"/>
      <c r="E43" s="897"/>
      <c r="F43" s="898" t="str">
        <f>info!V40</f>
        <v>높 음</v>
      </c>
      <c r="G43" s="898"/>
      <c r="H43" s="898"/>
      <c r="I43" s="899"/>
      <c r="J43" s="896" t="str">
        <f>lang!B237</f>
        <v>집중도</v>
      </c>
      <c r="K43" s="897"/>
      <c r="L43" s="897"/>
      <c r="M43" s="898" t="str">
        <f>info!W40</f>
        <v>높 음</v>
      </c>
      <c r="N43" s="898"/>
      <c r="O43" s="898"/>
      <c r="P43" s="898"/>
      <c r="Q43" s="898"/>
      <c r="R43" s="900"/>
    </row>
    <row r="44" spans="3:18" ht="16.5" customHeight="1">
      <c r="C44" s="865">
        <f>info!$V$36</f>
        <v>2.7156799999999999</v>
      </c>
      <c r="E44" s="249" t="s">
        <v>1072</v>
      </c>
      <c r="G44" s="289"/>
      <c r="H44" s="289"/>
      <c r="I44" s="290"/>
      <c r="J44" s="868">
        <f>info!$W$36</f>
        <v>60.154499999999999</v>
      </c>
      <c r="K44" s="237"/>
      <c r="L44" s="241" t="s">
        <v>1072</v>
      </c>
      <c r="M44" s="237"/>
      <c r="N44" s="237"/>
      <c r="O44" s="237"/>
      <c r="P44" s="237"/>
      <c r="Q44" s="237"/>
      <c r="R44" s="238"/>
    </row>
    <row r="45" spans="3:18">
      <c r="C45" s="866"/>
      <c r="G45" s="291"/>
      <c r="H45" s="291"/>
      <c r="I45" s="292"/>
      <c r="J45" s="868"/>
      <c r="K45" s="237"/>
      <c r="L45" s="237"/>
      <c r="M45" s="237"/>
      <c r="N45" s="237"/>
      <c r="O45" s="237"/>
      <c r="P45" s="237"/>
      <c r="Q45" s="237"/>
      <c r="R45" s="238"/>
    </row>
    <row r="46" spans="3:18">
      <c r="C46" s="866"/>
      <c r="G46" s="291"/>
      <c r="H46" s="291"/>
      <c r="I46" s="292"/>
      <c r="J46" s="868"/>
      <c r="K46" s="237"/>
      <c r="L46" s="237"/>
      <c r="M46" s="237"/>
      <c r="N46" s="237"/>
      <c r="O46" s="237"/>
      <c r="P46" s="237"/>
      <c r="Q46" s="237"/>
      <c r="R46" s="238"/>
    </row>
    <row r="47" spans="3:18">
      <c r="C47" s="866"/>
      <c r="G47" s="291"/>
      <c r="H47" s="291"/>
      <c r="I47" s="292"/>
      <c r="J47" s="868"/>
      <c r="K47" s="237"/>
      <c r="L47" s="237"/>
      <c r="M47" s="237"/>
      <c r="N47" s="237"/>
      <c r="O47" s="237"/>
      <c r="P47" s="237"/>
      <c r="Q47" s="237"/>
      <c r="R47" s="238"/>
    </row>
    <row r="48" spans="3:18">
      <c r="C48" s="866"/>
      <c r="G48" s="291"/>
      <c r="H48" s="291"/>
      <c r="I48" s="292"/>
      <c r="J48" s="868"/>
      <c r="K48" s="237"/>
      <c r="L48" s="237"/>
      <c r="M48" s="237"/>
      <c r="N48" s="237"/>
      <c r="O48" s="237"/>
      <c r="P48" s="237"/>
      <c r="Q48" s="237"/>
      <c r="R48" s="238"/>
    </row>
    <row r="49" spans="3:18" ht="16.5" customHeight="1">
      <c r="C49" s="866"/>
      <c r="G49" s="291"/>
      <c r="H49" s="291"/>
      <c r="I49" s="292"/>
      <c r="J49" s="868"/>
      <c r="K49" s="237"/>
      <c r="L49" s="237"/>
      <c r="M49" s="237"/>
      <c r="N49" s="237"/>
      <c r="O49" s="237"/>
      <c r="P49" s="237"/>
      <c r="Q49" s="237"/>
      <c r="R49" s="238"/>
    </row>
    <row r="50" spans="3:18" ht="16.5" customHeight="1">
      <c r="C50" s="866"/>
      <c r="G50" s="291"/>
      <c r="H50" s="291"/>
      <c r="I50" s="310" t="str">
        <f>lang!B226</f>
        <v>활력도</v>
      </c>
      <c r="J50" s="868"/>
      <c r="K50" s="237"/>
      <c r="L50" s="237"/>
      <c r="M50" s="237"/>
      <c r="N50" s="237"/>
      <c r="O50" s="237"/>
      <c r="P50" s="237"/>
      <c r="Q50" s="823" t="str">
        <f>lang!B237</f>
        <v>집중도</v>
      </c>
      <c r="R50" s="870"/>
    </row>
    <row r="51" spans="3:18" ht="16.8" thickBot="1">
      <c r="C51" s="867"/>
      <c r="D51" s="248"/>
      <c r="E51" s="248"/>
      <c r="F51" s="248"/>
      <c r="G51" s="293"/>
      <c r="H51" s="293"/>
      <c r="I51" s="294"/>
      <c r="J51" s="869"/>
      <c r="K51" s="239"/>
      <c r="L51" s="239"/>
      <c r="M51" s="239"/>
      <c r="N51" s="239"/>
      <c r="O51" s="239"/>
      <c r="P51" s="239"/>
      <c r="Q51" s="239"/>
      <c r="R51" s="240"/>
    </row>
    <row r="52" spans="3:18" ht="15" customHeight="1" thickBot="1">
      <c r="C52" s="871" t="str">
        <f>FH_info!AE2</f>
        <v>뇌피로 검사와 지속적인 모니터링 서비스가 필요하신 분은 홈페이지에 들어 가서 상담받으시기 바랍니다. (www.mindeye.co.kr)</v>
      </c>
      <c r="D52" s="872"/>
      <c r="E52" s="872"/>
      <c r="F52" s="872"/>
      <c r="G52" s="872"/>
      <c r="H52" s="872"/>
      <c r="I52" s="872"/>
      <c r="J52" s="872"/>
      <c r="K52" s="872"/>
      <c r="L52" s="872"/>
      <c r="M52" s="872"/>
      <c r="N52" s="872"/>
      <c r="O52" s="872"/>
      <c r="P52" s="872"/>
      <c r="Q52" s="872"/>
      <c r="R52" s="873"/>
    </row>
    <row r="53" spans="3:18" ht="9.75" customHeight="1">
      <c r="C53" s="93"/>
      <c r="D53" s="93"/>
      <c r="E53" s="93"/>
      <c r="F53" s="93"/>
      <c r="G53" s="93"/>
      <c r="H53" s="93"/>
      <c r="I53" s="93"/>
      <c r="J53" s="93"/>
      <c r="K53" s="93"/>
      <c r="L53" s="93"/>
      <c r="M53" s="93"/>
      <c r="N53" s="93"/>
      <c r="O53" s="93"/>
      <c r="P53" s="93"/>
      <c r="Q53" s="93"/>
      <c r="R53" s="93"/>
    </row>
  </sheetData>
  <mergeCells count="86">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 ref="C44:C51"/>
    <mergeCell ref="J44:J51"/>
    <mergeCell ref="Q50:R50"/>
    <mergeCell ref="M39:N39"/>
    <mergeCell ref="O39:P39"/>
    <mergeCell ref="Q39:R39"/>
    <mergeCell ref="O40:P40"/>
    <mergeCell ref="Q40:R40"/>
    <mergeCell ref="M37:N37"/>
    <mergeCell ref="O37:P37"/>
    <mergeCell ref="Q37:R37"/>
    <mergeCell ref="M38:N38"/>
    <mergeCell ref="O38:P38"/>
    <mergeCell ref="Q38:R38"/>
    <mergeCell ref="M35:N35"/>
    <mergeCell ref="O35:P35"/>
    <mergeCell ref="Q35:R35"/>
    <mergeCell ref="M36:N36"/>
    <mergeCell ref="O36:P36"/>
    <mergeCell ref="Q36:R36"/>
    <mergeCell ref="M33:N33"/>
    <mergeCell ref="O33:P33"/>
    <mergeCell ref="Q33:R33"/>
    <mergeCell ref="M34:N34"/>
    <mergeCell ref="O34:P34"/>
    <mergeCell ref="Q34:R34"/>
    <mergeCell ref="C31:I31"/>
    <mergeCell ref="M31:N31"/>
    <mergeCell ref="O31:P31"/>
    <mergeCell ref="Q31:R31"/>
    <mergeCell ref="M32:N32"/>
    <mergeCell ref="O32:P32"/>
    <mergeCell ref="Q32:R32"/>
    <mergeCell ref="D23:E23"/>
    <mergeCell ref="H25:I26"/>
    <mergeCell ref="M25:N26"/>
    <mergeCell ref="C28:I29"/>
    <mergeCell ref="J28:R29"/>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85"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764" t="str">
        <f>FH_info!AC2</f>
        <v>심리생리 검사 결과</v>
      </c>
      <c r="D3" s="764"/>
      <c r="E3" s="764"/>
      <c r="F3" s="764"/>
      <c r="G3" s="764"/>
      <c r="H3" s="764"/>
      <c r="I3" s="764"/>
      <c r="J3" s="764"/>
      <c r="K3" s="764"/>
      <c r="L3" s="764"/>
      <c r="M3" s="764"/>
      <c r="N3" s="764"/>
      <c r="O3" s="765" t="str">
        <f>FH_info!AB2</f>
        <v>마인드아이</v>
      </c>
      <c r="P3" s="765"/>
      <c r="Q3" s="765"/>
      <c r="R3" s="765"/>
    </row>
    <row r="4" spans="2:18" ht="14.25" customHeight="1">
      <c r="C4" s="764"/>
      <c r="D4" s="764"/>
      <c r="E4" s="764"/>
      <c r="F4" s="764"/>
      <c r="G4" s="764"/>
      <c r="H4" s="764"/>
      <c r="I4" s="764"/>
      <c r="J4" s="764"/>
      <c r="K4" s="764"/>
      <c r="L4" s="764"/>
      <c r="M4" s="764"/>
      <c r="N4" s="764"/>
      <c r="O4" s="765"/>
      <c r="P4" s="765"/>
      <c r="Q4" s="765"/>
      <c r="R4" s="765"/>
    </row>
    <row r="5" spans="2:18" ht="3" customHeight="1"/>
    <row r="6" spans="2:18" ht="1.5" customHeight="1" thickBot="1"/>
    <row r="7" spans="2:18">
      <c r="C7" s="766">
        <v>1</v>
      </c>
      <c r="D7" s="767"/>
      <c r="E7" s="768"/>
      <c r="F7" s="166" t="str">
        <f>lang!B159</f>
        <v>측정일</v>
      </c>
      <c r="G7" s="771">
        <f>IF(FH_info!A2="","",FH_info!A2)</f>
        <v>45854.539027777777</v>
      </c>
      <c r="H7" s="772"/>
      <c r="I7" s="773"/>
      <c r="J7" s="166" t="str">
        <f>lang!B160</f>
        <v>나이</v>
      </c>
      <c r="K7" s="774" t="str">
        <f>IF(FH_info!B2="","",TRIM(MID(SUBSTITUTE(FH_info!B2,"^",REPT(" ",LEN(FH_info!B2))),LEN(FH_info!B2)*4-LEN(FH_info!B2)+1,LEN(FH_info!B2))))</f>
        <v>5</v>
      </c>
      <c r="L7" s="774"/>
      <c r="M7" s="166" t="str">
        <f>lang!B161</f>
        <v>성별</v>
      </c>
      <c r="N7" s="775" t="str">
        <f>IF(FH_info!B2="","", FH_info!Y2)</f>
        <v>남성</v>
      </c>
      <c r="O7" s="776"/>
      <c r="P7" s="777" t="str">
        <f>lang!B164</f>
        <v>측정장소</v>
      </c>
      <c r="Q7" s="778"/>
      <c r="R7" s="779"/>
    </row>
    <row r="8" spans="2:18">
      <c r="C8" s="769"/>
      <c r="D8" s="749"/>
      <c r="E8" s="770"/>
      <c r="F8" s="146" t="str">
        <f>lang!B165</f>
        <v>이름</v>
      </c>
      <c r="G8" s="780" t="str">
        <f>IF(FH_info!B2="","",TRIM(MID(SUBSTITUTE(FH_info!B2,"^",REPT(" ",LEN(FH_info!B2))),LEN(FH_info!B2)*2-LEN(FH_info!B2)+1,LEN(FH_info!B2))))</f>
        <v>IB4i</v>
      </c>
      <c r="H8" s="781"/>
      <c r="I8" s="782"/>
      <c r="J8" s="146" t="str">
        <f>lang!B166</f>
        <v>직업</v>
      </c>
      <c r="K8" s="783"/>
      <c r="L8" s="783"/>
      <c r="M8" s="146" t="str">
        <f>lang!B167</f>
        <v>ID</v>
      </c>
      <c r="N8" s="784"/>
      <c r="O8" s="785"/>
      <c r="P8" s="780" t="str">
        <f>IF(FH_info!B2="","",TRIM(MID(SUBSTITUTE(FH_info!B2,"^",REPT(" ",LEN(FH_info!B2))),LEN(FH_info!B2)*5-LEN(FH_info!B2)+1,LEN(FH_info!B2))))</f>
        <v/>
      </c>
      <c r="Q8" s="781"/>
      <c r="R8" s="786"/>
    </row>
    <row r="9" spans="2:18" ht="9" customHeight="1">
      <c r="C9" s="769"/>
      <c r="D9" s="749"/>
      <c r="E9" s="770"/>
      <c r="F9" s="787" t="str">
        <f>lang!B168</f>
        <v>상담
내용</v>
      </c>
      <c r="G9" s="789"/>
      <c r="H9" s="790"/>
      <c r="I9" s="790"/>
      <c r="J9" s="790"/>
      <c r="K9" s="790"/>
      <c r="L9" s="790"/>
      <c r="M9" s="790"/>
      <c r="N9" s="790"/>
      <c r="O9" s="790"/>
      <c r="P9" s="790"/>
      <c r="Q9" s="790"/>
      <c r="R9" s="791"/>
    </row>
    <row r="10" spans="2:18" ht="9" customHeight="1">
      <c r="C10" s="769"/>
      <c r="D10" s="749"/>
      <c r="E10" s="770"/>
      <c r="F10" s="788"/>
      <c r="G10" s="792"/>
      <c r="H10" s="793"/>
      <c r="I10" s="793"/>
      <c r="J10" s="793"/>
      <c r="K10" s="793"/>
      <c r="L10" s="793"/>
      <c r="M10" s="793"/>
      <c r="N10" s="793"/>
      <c r="O10" s="793"/>
      <c r="P10" s="793"/>
      <c r="Q10" s="793"/>
      <c r="R10" s="794"/>
    </row>
    <row r="11" spans="2:18" ht="19.5" customHeight="1" thickBot="1">
      <c r="C11" s="769"/>
      <c r="D11" s="749"/>
      <c r="E11" s="770"/>
      <c r="F11" s="788"/>
      <c r="G11" s="792"/>
      <c r="H11" s="793"/>
      <c r="I11" s="793"/>
      <c r="J11" s="793"/>
      <c r="K11" s="793"/>
      <c r="L11" s="793"/>
      <c r="M11" s="793"/>
      <c r="N11" s="793"/>
      <c r="O11" s="793"/>
      <c r="P11" s="793"/>
      <c r="Q11" s="793"/>
      <c r="R11" s="794"/>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795" t="str">
        <f>lang!B255</f>
        <v>종합 검사
결과 분류</v>
      </c>
      <c r="D13" s="798" t="str">
        <f>Measurement!CJ14</f>
        <v>정상/휴식 집단에 속하며,</v>
      </c>
      <c r="E13" s="799"/>
      <c r="F13" s="799"/>
      <c r="G13" s="802" t="str">
        <f>Measurement!CJ11</f>
        <v>활동적/적극적 상태입니다.</v>
      </c>
      <c r="H13" s="802"/>
      <c r="I13" s="802"/>
      <c r="J13" s="803"/>
      <c r="K13" s="874" t="str">
        <f>Measurement!CN9</f>
        <v>정상/휴식 집단</v>
      </c>
      <c r="L13" s="875"/>
      <c r="M13" s="875"/>
      <c r="N13" s="875"/>
      <c r="O13" s="878"/>
      <c r="P13" s="806" t="str">
        <f>Measurement!CW9</f>
        <v>힐링/치유 집단</v>
      </c>
      <c r="Q13" s="806"/>
      <c r="R13" s="807"/>
    </row>
    <row r="14" spans="2:18" ht="12" customHeight="1">
      <c r="B14" s="79"/>
      <c r="C14" s="796"/>
      <c r="D14" s="800"/>
      <c r="E14" s="801"/>
      <c r="F14" s="801"/>
      <c r="G14" s="804"/>
      <c r="H14" s="804"/>
      <c r="I14" s="804"/>
      <c r="J14" s="805"/>
      <c r="K14" s="876"/>
      <c r="L14" s="877"/>
      <c r="M14" s="877"/>
      <c r="N14" s="877"/>
      <c r="O14" s="879"/>
      <c r="P14" s="808"/>
      <c r="Q14" s="808"/>
      <c r="R14" s="809"/>
    </row>
    <row r="15" spans="2:18" ht="28.5" customHeight="1">
      <c r="B15" s="79"/>
      <c r="C15" s="796"/>
      <c r="D15" s="822" t="str">
        <f>Measurement!CJ12</f>
        <v>뇌 피로도 수준이 평균입니다. 활력이 있어 적극적으로 의사표현이 가능합니다. 적당한 운동을 해도 좋을 굳 타이밍입니다. 너무 과한 활동은 저녁이 되면 지칠수 있으니 주의합니다.</v>
      </c>
      <c r="E15" s="823"/>
      <c r="F15" s="823"/>
      <c r="G15" s="823"/>
      <c r="H15" s="823"/>
      <c r="I15" s="823"/>
      <c r="J15" s="824"/>
      <c r="K15" s="818" t="str">
        <f>Measurement!CN10</f>
        <v>최상의 상태</v>
      </c>
      <c r="L15" s="818"/>
      <c r="M15" s="818" t="str">
        <f>Measurement!CU10</f>
        <v>스트레스</v>
      </c>
      <c r="N15" s="818"/>
      <c r="O15" s="818"/>
      <c r="P15" s="818" t="str">
        <f>Measurement!CY10</f>
        <v>화</v>
      </c>
      <c r="Q15" s="818"/>
      <c r="R15" s="819"/>
    </row>
    <row r="16" spans="2:18" ht="28.5" customHeight="1">
      <c r="B16" s="79"/>
      <c r="C16" s="796"/>
      <c r="D16" s="822"/>
      <c r="E16" s="823"/>
      <c r="F16" s="823"/>
      <c r="G16" s="823"/>
      <c r="H16" s="823"/>
      <c r="I16" s="823"/>
      <c r="J16" s="824"/>
      <c r="K16" s="909" t="str">
        <f>Measurement!CO10</f>
        <v>균형 상태</v>
      </c>
      <c r="L16" s="908"/>
      <c r="M16" s="908" t="str">
        <f>Measurement!CV10</f>
        <v>불쾌</v>
      </c>
      <c r="N16" s="908"/>
      <c r="O16" s="908"/>
      <c r="P16" s="820" t="str">
        <f>Measurement!CR10</f>
        <v>충동</v>
      </c>
      <c r="Q16" s="820"/>
      <c r="R16" s="821"/>
    </row>
    <row r="17" spans="2:20" ht="28.5" customHeight="1">
      <c r="B17" s="79"/>
      <c r="C17" s="796"/>
      <c r="D17" s="822"/>
      <c r="E17" s="823"/>
      <c r="F17" s="823"/>
      <c r="G17" s="823"/>
      <c r="H17" s="823"/>
      <c r="I17" s="823"/>
      <c r="J17" s="824"/>
      <c r="K17" s="906" t="str">
        <f>Measurement!CP10</f>
        <v>차분한 상태</v>
      </c>
      <c r="L17" s="820"/>
      <c r="M17" s="906" t="str">
        <f>Measurement!CT10</f>
        <v>피곤</v>
      </c>
      <c r="N17" s="820"/>
      <c r="O17" s="820"/>
      <c r="P17" s="820" t="str">
        <f>Measurement!CW10</f>
        <v>무기력</v>
      </c>
      <c r="Q17" s="820"/>
      <c r="R17" s="821"/>
    </row>
    <row r="18" spans="2:20" ht="28.5" customHeight="1" thickBot="1">
      <c r="B18" s="79"/>
      <c r="C18" s="797"/>
      <c r="D18" s="810" t="str">
        <f>Measurement!CL7</f>
        <v>( 100 , 0 )</v>
      </c>
      <c r="E18" s="811"/>
      <c r="F18" s="811"/>
      <c r="G18" s="811"/>
      <c r="H18" s="811"/>
      <c r="I18" s="811"/>
      <c r="J18" s="812"/>
      <c r="K18" s="907" t="str">
        <f>Measurement!CQ10</f>
        <v>활동적/적극적</v>
      </c>
      <c r="L18" s="762"/>
      <c r="M18" s="762" t="str">
        <f>Measurement!CS10</f>
        <v>불안</v>
      </c>
      <c r="N18" s="762"/>
      <c r="O18" s="762"/>
      <c r="P18" s="762" t="str">
        <f>Measurement!CX10</f>
        <v>우울징후</v>
      </c>
      <c r="Q18" s="762"/>
      <c r="R18" s="763"/>
    </row>
    <row r="19" spans="2:20" ht="17.25" customHeight="1" thickBot="1">
      <c r="B19" s="79"/>
      <c r="C19" s="825" t="str">
        <f>lang!B169</f>
        <v>뇌 피로도 및 유형</v>
      </c>
      <c r="D19" s="826"/>
      <c r="E19" s="826"/>
      <c r="F19" s="826"/>
      <c r="G19" s="826"/>
      <c r="H19" s="826"/>
      <c r="I19" s="826"/>
      <c r="J19" s="826"/>
      <c r="K19" s="826"/>
      <c r="L19" s="826"/>
      <c r="M19" s="826"/>
      <c r="N19" s="826"/>
      <c r="O19" s="826"/>
      <c r="P19" s="826"/>
      <c r="Q19" s="826"/>
      <c r="R19" s="827"/>
    </row>
    <row r="20" spans="2:20" ht="21" customHeight="1">
      <c r="C20" s="828" t="str">
        <f>lang!B178</f>
        <v>뇌피로 상태</v>
      </c>
      <c r="D20" s="829"/>
      <c r="E20" s="830" t="str">
        <f>Measurement!AR7</f>
        <v>건강</v>
      </c>
      <c r="F20" s="831"/>
      <c r="G20" s="327" t="str">
        <f>lang!B179</f>
        <v>지수</v>
      </c>
      <c r="H20" s="832">
        <f>Measurement!AQ7</f>
        <v>4.0147372513073938</v>
      </c>
      <c r="I20" s="833"/>
      <c r="J20" s="311" t="str">
        <f>lang!B174</f>
        <v>정보량</v>
      </c>
      <c r="K20" s="236">
        <f ca="1">info!N9</f>
        <v>49.461154109589025</v>
      </c>
      <c r="L20" s="312" t="str">
        <f>lang!B175</f>
        <v>에너지</v>
      </c>
      <c r="M20" s="834">
        <f ca="1">info!M9</f>
        <v>5.5557078082191804</v>
      </c>
      <c r="N20" s="835"/>
      <c r="O20" s="816" t="str">
        <f>lang!B180</f>
        <v>유형</v>
      </c>
      <c r="P20" s="836"/>
      <c r="Q20" s="816" t="str">
        <f>IF(info!CB24&lt;&gt;"", info!CB24,"")</f>
        <v>3</v>
      </c>
      <c r="R20" s="817"/>
      <c r="S20" s="164">
        <f>Measurement!AS7</f>
        <v>4</v>
      </c>
    </row>
    <row r="21" spans="2:20" ht="12" customHeight="1">
      <c r="C21" s="202" t="s">
        <v>1072</v>
      </c>
      <c r="D21" s="180"/>
      <c r="E21" s="180"/>
      <c r="F21" s="180"/>
      <c r="G21" s="180"/>
      <c r="H21" s="203">
        <f>Measurement!AS7</f>
        <v>4</v>
      </c>
      <c r="I21" s="184"/>
      <c r="J21" s="177"/>
      <c r="K21" s="813" t="str">
        <f>lang!B334</f>
        <v>심리생리
정보량(%)</v>
      </c>
      <c r="L21" s="813"/>
      <c r="M21" s="177"/>
      <c r="N21" s="177"/>
      <c r="O21" s="178"/>
      <c r="P21" s="178"/>
      <c r="Q21" s="178"/>
      <c r="R21" s="185"/>
    </row>
    <row r="22" spans="2:20" ht="25.5" customHeight="1">
      <c r="C22" s="147"/>
      <c r="D22" s="815"/>
      <c r="E22" s="815"/>
      <c r="F22" s="148"/>
      <c r="G22" s="148"/>
      <c r="H22" s="148"/>
      <c r="I22" s="149"/>
      <c r="J22" s="177"/>
      <c r="K22" s="814"/>
      <c r="L22" s="814"/>
      <c r="M22" s="177"/>
      <c r="N22" s="177"/>
      <c r="O22" s="177"/>
      <c r="P22" s="177"/>
      <c r="Q22" s="177"/>
      <c r="R22" s="179"/>
      <c r="T22" s="80"/>
    </row>
    <row r="23" spans="2:20" ht="25.5" customHeight="1">
      <c r="C23" s="147"/>
      <c r="D23" s="837"/>
      <c r="E23" s="837"/>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38" t="str">
        <f>lang!B176</f>
        <v>뇌 피로도</v>
      </c>
      <c r="I25" s="839"/>
      <c r="J25" s="177"/>
      <c r="K25" s="177"/>
      <c r="L25" s="177"/>
      <c r="M25" s="840" t="str">
        <f>lang!B335</f>
        <v>에너지
(kcal/min)</v>
      </c>
      <c r="N25" s="840"/>
      <c r="O25" s="177"/>
      <c r="P25" s="177"/>
      <c r="Q25" s="177"/>
      <c r="R25" s="179"/>
    </row>
    <row r="26" spans="2:20" ht="10.5" customHeight="1">
      <c r="C26" s="147"/>
      <c r="D26" s="148"/>
      <c r="E26" s="148"/>
      <c r="F26" s="148"/>
      <c r="G26" s="148"/>
      <c r="H26" s="838"/>
      <c r="I26" s="839"/>
      <c r="J26" s="177"/>
      <c r="K26" s="177"/>
      <c r="L26" s="177"/>
      <c r="M26" s="840"/>
      <c r="N26" s="840"/>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41" t="str">
        <f>Measurement!AV7</f>
        <v>건강한 뇌피로 상태입니다</v>
      </c>
      <c r="D28" s="842"/>
      <c r="E28" s="842"/>
      <c r="F28" s="843"/>
      <c r="G28" s="843"/>
      <c r="H28" s="843"/>
      <c r="I28" s="844"/>
      <c r="J28" s="845" t="str">
        <f ca="1">IF(UPPER(FH_info!M2)="EN", "", IF(info!CB31&lt;&gt;"",info!CB31,""))</f>
        <v>심리적으로 기분이 낮은정서 상태이다. 에너지 대사량이 매우 크며 감소하고 있다.</v>
      </c>
      <c r="K28" s="846"/>
      <c r="L28" s="846"/>
      <c r="M28" s="846"/>
      <c r="N28" s="846"/>
      <c r="O28" s="846"/>
      <c r="P28" s="846"/>
      <c r="Q28" s="846"/>
      <c r="R28" s="847"/>
    </row>
    <row r="29" spans="2:20" ht="14.25" customHeight="1">
      <c r="C29" s="841"/>
      <c r="D29" s="842"/>
      <c r="E29" s="842"/>
      <c r="F29" s="843"/>
      <c r="G29" s="843"/>
      <c r="H29" s="843"/>
      <c r="I29" s="844"/>
      <c r="J29" s="845"/>
      <c r="K29" s="846"/>
      <c r="L29" s="846"/>
      <c r="M29" s="846"/>
      <c r="N29" s="846"/>
      <c r="O29" s="846"/>
      <c r="P29" s="846"/>
      <c r="Q29" s="846"/>
      <c r="R29" s="847"/>
    </row>
    <row r="30" spans="2:20" ht="2.25" customHeight="1" thickBot="1">
      <c r="C30" s="77"/>
      <c r="E30" s="78"/>
      <c r="F30" s="83"/>
      <c r="I30" s="84"/>
      <c r="J30" s="181"/>
      <c r="K30" s="182"/>
      <c r="L30" s="183"/>
      <c r="M30" s="85"/>
      <c r="N30" s="85"/>
      <c r="O30" s="85"/>
      <c r="P30" s="85"/>
      <c r="Q30" s="85"/>
      <c r="R30" s="86"/>
    </row>
    <row r="31" spans="2:20" ht="16.5" customHeight="1" thickBot="1">
      <c r="C31" s="848" t="str">
        <f>lang!B200</f>
        <v>심리상태 차트</v>
      </c>
      <c r="D31" s="849"/>
      <c r="E31" s="849"/>
      <c r="F31" s="849"/>
      <c r="G31" s="849"/>
      <c r="H31" s="849"/>
      <c r="I31" s="850"/>
      <c r="J31" s="195" t="str">
        <f>lang!B201</f>
        <v>항목</v>
      </c>
      <c r="K31" s="196" t="str">
        <f>lang!B202</f>
        <v>범위</v>
      </c>
      <c r="L31" s="196" t="str">
        <f>lang!B203</f>
        <v>판정</v>
      </c>
      <c r="M31" s="851" t="str">
        <f>lang!B204</f>
        <v>최소값</v>
      </c>
      <c r="N31" s="852"/>
      <c r="O31" s="851" t="str">
        <f>lang!B205</f>
        <v>평균값</v>
      </c>
      <c r="P31" s="852"/>
      <c r="Q31" s="851" t="str">
        <f>lang!B206</f>
        <v>최대값</v>
      </c>
      <c r="R31" s="853"/>
    </row>
    <row r="32" spans="2:20" ht="12.75" customHeight="1">
      <c r="C32" s="382"/>
      <c r="D32" s="383"/>
      <c r="E32" s="383"/>
      <c r="F32" s="383"/>
      <c r="G32" s="383"/>
      <c r="H32" s="383"/>
      <c r="I32" s="501">
        <f>Measurement!L7</f>
        <v>4</v>
      </c>
      <c r="J32" s="138" t="str">
        <f>lang!B14</f>
        <v>적극/공격성</v>
      </c>
      <c r="K32" s="89" t="s">
        <v>225</v>
      </c>
      <c r="L32" s="503" t="str">
        <f>Measurement!Y7</f>
        <v>높음</v>
      </c>
      <c r="M32" s="854">
        <f>Measurement!R7</f>
        <v>44.614699999999999</v>
      </c>
      <c r="N32" s="855"/>
      <c r="O32" s="856">
        <f>Measurement!N7</f>
        <v>47.7181</v>
      </c>
      <c r="P32" s="857"/>
      <c r="Q32" s="858">
        <f>Measurement!T7</f>
        <v>59.6511</v>
      </c>
      <c r="R32" s="859"/>
    </row>
    <row r="33" spans="3:18" ht="12.75" customHeight="1">
      <c r="C33" s="77"/>
      <c r="I33" s="502">
        <f>Measurement!L8</f>
        <v>1</v>
      </c>
      <c r="J33" s="139" t="str">
        <f>lang!B15</f>
        <v>스트레스</v>
      </c>
      <c r="K33" s="90" t="s">
        <v>226</v>
      </c>
      <c r="L33" s="504" t="str">
        <f>Measurement!Y8</f>
        <v>매우 낮음</v>
      </c>
      <c r="M33" s="860">
        <f>Measurement!R8</f>
        <v>12.65</v>
      </c>
      <c r="N33" s="861"/>
      <c r="O33" s="862">
        <f>Measurement!N8</f>
        <v>14.3109</v>
      </c>
      <c r="P33" s="863"/>
      <c r="Q33" s="860">
        <f>Measurement!T8</f>
        <v>17.921099999999999</v>
      </c>
      <c r="R33" s="864"/>
    </row>
    <row r="34" spans="3:18" ht="12.75" customHeight="1">
      <c r="C34" s="77"/>
      <c r="I34" s="502">
        <f>Measurement!L9</f>
        <v>1</v>
      </c>
      <c r="J34" s="139" t="str">
        <f>lang!B16</f>
        <v>불안</v>
      </c>
      <c r="K34" s="90" t="s">
        <v>227</v>
      </c>
      <c r="L34" s="504" t="str">
        <f>Measurement!Y9</f>
        <v>매우 낮음</v>
      </c>
      <c r="M34" s="860">
        <f>Measurement!R9</f>
        <v>5.9983000000000004</v>
      </c>
      <c r="N34" s="861"/>
      <c r="O34" s="862">
        <f>Measurement!N9</f>
        <v>14.2066</v>
      </c>
      <c r="P34" s="863"/>
      <c r="Q34" s="860">
        <f>Measurement!T9</f>
        <v>32.116799999999998</v>
      </c>
      <c r="R34" s="864"/>
    </row>
    <row r="35" spans="3:18" ht="12.75" customHeight="1">
      <c r="C35" s="77"/>
      <c r="I35" s="502">
        <f>Measurement!L10</f>
        <v>3</v>
      </c>
      <c r="J35" s="139" t="str">
        <f>lang!B17</f>
        <v>의심</v>
      </c>
      <c r="K35" s="90" t="s">
        <v>225</v>
      </c>
      <c r="L35" s="504" t="str">
        <f>Measurement!Y10</f>
        <v>보통</v>
      </c>
      <c r="M35" s="860">
        <f>Measurement!R10</f>
        <v>22.9832</v>
      </c>
      <c r="N35" s="861"/>
      <c r="O35" s="862">
        <f>Measurement!N10</f>
        <v>25.942499999999999</v>
      </c>
      <c r="P35" s="863"/>
      <c r="Q35" s="860">
        <f>Measurement!T10</f>
        <v>30.749700000000001</v>
      </c>
      <c r="R35" s="864"/>
    </row>
    <row r="36" spans="3:18" ht="12.75" customHeight="1">
      <c r="C36" s="77"/>
      <c r="I36" s="502">
        <f>Measurement!L11</f>
        <v>4</v>
      </c>
      <c r="J36" s="139" t="str">
        <f>lang!B18</f>
        <v>밸런스</v>
      </c>
      <c r="K36" s="90" t="s">
        <v>2171</v>
      </c>
      <c r="L36" s="504" t="str">
        <f>Measurement!Y11</f>
        <v>높음</v>
      </c>
      <c r="M36" s="860">
        <f>Measurement!R11</f>
        <v>60.4649</v>
      </c>
      <c r="N36" s="861"/>
      <c r="O36" s="862">
        <f>Measurement!N11</f>
        <v>73.9619</v>
      </c>
      <c r="P36" s="863"/>
      <c r="Q36" s="860">
        <f>Measurement!T11</f>
        <v>81.5428</v>
      </c>
      <c r="R36" s="864"/>
    </row>
    <row r="37" spans="3:18" ht="12.75" customHeight="1">
      <c r="C37" s="77"/>
      <c r="I37" s="502">
        <f>Measurement!L12</f>
        <v>5</v>
      </c>
      <c r="J37" s="139" t="str">
        <f>lang!B19</f>
        <v>카리스마</v>
      </c>
      <c r="K37" s="90" t="s">
        <v>229</v>
      </c>
      <c r="L37" s="504" t="str">
        <f>Measurement!Y12</f>
        <v>매우 높음</v>
      </c>
      <c r="M37" s="860">
        <f>Measurement!R12</f>
        <v>82.015900000000002</v>
      </c>
      <c r="N37" s="861"/>
      <c r="O37" s="862">
        <f>Measurement!N12</f>
        <v>84.5077</v>
      </c>
      <c r="P37" s="863"/>
      <c r="Q37" s="860">
        <f>Measurement!T12</f>
        <v>86.886600000000001</v>
      </c>
      <c r="R37" s="864"/>
    </row>
    <row r="38" spans="3:18" ht="12.75" customHeight="1">
      <c r="C38" s="77"/>
      <c r="I38" s="502">
        <f>Measurement!L13</f>
        <v>5</v>
      </c>
      <c r="J38" s="139" t="str">
        <f>lang!B20</f>
        <v>에너지</v>
      </c>
      <c r="K38" s="90" t="s">
        <v>2170</v>
      </c>
      <c r="L38" s="504" t="str">
        <f>Measurement!Y13</f>
        <v>매우 높음</v>
      </c>
      <c r="M38" s="860">
        <f>Measurement!R13</f>
        <v>38.3384</v>
      </c>
      <c r="N38" s="861"/>
      <c r="O38" s="862">
        <f>Measurement!N13</f>
        <v>45.267200000000003</v>
      </c>
      <c r="P38" s="863"/>
      <c r="Q38" s="860">
        <f>Measurement!T13</f>
        <v>51.484900000000003</v>
      </c>
      <c r="R38" s="864"/>
    </row>
    <row r="39" spans="3:18" ht="12.75" customHeight="1">
      <c r="C39" s="77"/>
      <c r="I39" s="502">
        <f>Measurement!L14</f>
        <v>4</v>
      </c>
      <c r="J39" s="139" t="str">
        <f>lang!B21</f>
        <v>자기조절</v>
      </c>
      <c r="K39" s="90" t="s">
        <v>230</v>
      </c>
      <c r="L39" s="504" t="str">
        <f>Measurement!Y14</f>
        <v>높음</v>
      </c>
      <c r="M39" s="860">
        <f>Measurement!R14</f>
        <v>72.979200000000006</v>
      </c>
      <c r="N39" s="861"/>
      <c r="O39" s="862">
        <f>Measurement!N14</f>
        <v>79.142799999999994</v>
      </c>
      <c r="P39" s="863"/>
      <c r="Q39" s="860">
        <f>Measurement!T14</f>
        <v>83.113200000000006</v>
      </c>
      <c r="R39" s="864"/>
    </row>
    <row r="40" spans="3:18" ht="12.75" customHeight="1">
      <c r="C40" s="77"/>
      <c r="I40" s="502">
        <f>Measurement!L15</f>
        <v>3</v>
      </c>
      <c r="J40" s="139" t="str">
        <f>lang!B22</f>
        <v>억제</v>
      </c>
      <c r="K40" s="91" t="s">
        <v>248</v>
      </c>
      <c r="L40" s="504" t="str">
        <f>Measurement!Y15</f>
        <v>보통</v>
      </c>
      <c r="M40" s="860">
        <f>Measurement!R15</f>
        <v>16.480799999999999</v>
      </c>
      <c r="N40" s="861"/>
      <c r="O40" s="862">
        <f>Measurement!N15</f>
        <v>22.5107</v>
      </c>
      <c r="P40" s="863"/>
      <c r="Q40" s="860">
        <f>Measurement!T15</f>
        <v>36.722499999999997</v>
      </c>
      <c r="R40" s="864"/>
    </row>
    <row r="41" spans="3:18" ht="12.75" customHeight="1" thickBot="1">
      <c r="C41" s="77"/>
      <c r="I41" s="502">
        <f>Measurement!L16</f>
        <v>3</v>
      </c>
      <c r="J41" s="140" t="str">
        <f>lang!B23</f>
        <v>신경성</v>
      </c>
      <c r="K41" s="92" t="s">
        <v>231</v>
      </c>
      <c r="L41" s="504" t="str">
        <f>Measurement!Y16</f>
        <v>보통</v>
      </c>
      <c r="M41" s="901">
        <f>Measurement!R16</f>
        <v>1.68086</v>
      </c>
      <c r="N41" s="902"/>
      <c r="O41" s="903">
        <f>Measurement!N16</f>
        <v>34.435699999999997</v>
      </c>
      <c r="P41" s="904"/>
      <c r="Q41" s="901">
        <f>Measurement!T16</f>
        <v>49.573599999999999</v>
      </c>
      <c r="R41" s="905"/>
    </row>
    <row r="42" spans="3:18" ht="29.25" customHeight="1" thickBot="1">
      <c r="C42" s="77"/>
      <c r="I42" s="84"/>
      <c r="J42" s="889" t="str">
        <f>lang!B215</f>
        <v>감정변이도</v>
      </c>
      <c r="K42" s="890"/>
      <c r="L42" s="319" t="str">
        <f>info!V43</f>
        <v>보통</v>
      </c>
      <c r="M42" s="891">
        <f>info!W43</f>
        <v>13.194699999999999</v>
      </c>
      <c r="N42" s="892"/>
      <c r="O42" s="893" t="str">
        <f>info!V44</f>
        <v>감정변화가 안정된 정상적인 상태</v>
      </c>
      <c r="P42" s="894"/>
      <c r="Q42" s="894"/>
      <c r="R42" s="895"/>
    </row>
    <row r="43" spans="3:18" ht="16.5" customHeight="1">
      <c r="C43" s="896" t="str">
        <f>lang!B226</f>
        <v>활력도</v>
      </c>
      <c r="D43" s="897"/>
      <c r="E43" s="897"/>
      <c r="F43" s="898" t="str">
        <f>info!V40</f>
        <v>높 음</v>
      </c>
      <c r="G43" s="898"/>
      <c r="H43" s="898"/>
      <c r="I43" s="899"/>
      <c r="J43" s="896" t="str">
        <f>lang!B237</f>
        <v>집중도</v>
      </c>
      <c r="K43" s="897"/>
      <c r="L43" s="897"/>
      <c r="M43" s="898" t="str">
        <f>info!W40</f>
        <v>높 음</v>
      </c>
      <c r="N43" s="898"/>
      <c r="O43" s="898"/>
      <c r="P43" s="898"/>
      <c r="Q43" s="898"/>
      <c r="R43" s="900"/>
    </row>
    <row r="44" spans="3:18" ht="16.5" customHeight="1">
      <c r="C44" s="865">
        <f>info!$V$36</f>
        <v>2.7156799999999999</v>
      </c>
      <c r="E44" s="249" t="s">
        <v>1195</v>
      </c>
      <c r="G44" s="289"/>
      <c r="H44" s="289"/>
      <c r="I44" s="290"/>
      <c r="J44" s="868">
        <f>info!$W$36</f>
        <v>60.154499999999999</v>
      </c>
      <c r="K44" s="237"/>
      <c r="L44" s="241" t="s">
        <v>1172</v>
      </c>
      <c r="M44" s="237"/>
      <c r="N44" s="237"/>
      <c r="O44" s="237"/>
      <c r="P44" s="237"/>
      <c r="Q44" s="237"/>
      <c r="R44" s="238"/>
    </row>
    <row r="45" spans="3:18">
      <c r="C45" s="866"/>
      <c r="G45" s="291"/>
      <c r="H45" s="291"/>
      <c r="I45" s="292"/>
      <c r="J45" s="868"/>
      <c r="K45" s="237"/>
      <c r="L45" s="237"/>
      <c r="M45" s="237"/>
      <c r="N45" s="237"/>
      <c r="O45" s="237"/>
      <c r="P45" s="237"/>
      <c r="Q45" s="237"/>
      <c r="R45" s="238"/>
    </row>
    <row r="46" spans="3:18">
      <c r="C46" s="866"/>
      <c r="G46" s="291"/>
      <c r="H46" s="291"/>
      <c r="I46" s="292"/>
      <c r="J46" s="868"/>
      <c r="K46" s="237"/>
      <c r="L46" s="237"/>
      <c r="M46" s="237"/>
      <c r="N46" s="237"/>
      <c r="O46" s="237"/>
      <c r="P46" s="237"/>
      <c r="Q46" s="237"/>
      <c r="R46" s="238"/>
    </row>
    <row r="47" spans="3:18">
      <c r="C47" s="866"/>
      <c r="G47" s="291"/>
      <c r="H47" s="291"/>
      <c r="I47" s="292"/>
      <c r="J47" s="868"/>
      <c r="K47" s="237"/>
      <c r="L47" s="237"/>
      <c r="M47" s="237"/>
      <c r="N47" s="237"/>
      <c r="O47" s="237"/>
      <c r="P47" s="237"/>
      <c r="Q47" s="237"/>
      <c r="R47" s="238"/>
    </row>
    <row r="48" spans="3:18">
      <c r="C48" s="866"/>
      <c r="G48" s="291"/>
      <c r="H48" s="291"/>
      <c r="I48" s="292"/>
      <c r="J48" s="868"/>
      <c r="K48" s="237"/>
      <c r="L48" s="237"/>
      <c r="M48" s="237"/>
      <c r="N48" s="237"/>
      <c r="O48" s="237"/>
      <c r="P48" s="237"/>
      <c r="Q48" s="237"/>
      <c r="R48" s="238"/>
    </row>
    <row r="49" spans="3:18" ht="16.5" customHeight="1">
      <c r="C49" s="866"/>
      <c r="G49" s="291"/>
      <c r="H49" s="291"/>
      <c r="I49" s="292"/>
      <c r="J49" s="868"/>
      <c r="K49" s="237"/>
      <c r="L49" s="237"/>
      <c r="M49" s="237"/>
      <c r="N49" s="237"/>
      <c r="O49" s="237"/>
      <c r="P49" s="237"/>
      <c r="Q49" s="237"/>
      <c r="R49" s="238"/>
    </row>
    <row r="50" spans="3:18" ht="16.5" customHeight="1">
      <c r="C50" s="866"/>
      <c r="G50" s="291"/>
      <c r="H50" s="291"/>
      <c r="I50" s="310" t="str">
        <f>lang!B226</f>
        <v>활력도</v>
      </c>
      <c r="J50" s="868"/>
      <c r="K50" s="237"/>
      <c r="L50" s="237"/>
      <c r="M50" s="237"/>
      <c r="N50" s="237"/>
      <c r="O50" s="237"/>
      <c r="P50" s="237"/>
      <c r="Q50" s="823" t="str">
        <f>lang!B237</f>
        <v>집중도</v>
      </c>
      <c r="R50" s="870"/>
    </row>
    <row r="51" spans="3:18" ht="16.8" thickBot="1">
      <c r="C51" s="867"/>
      <c r="D51" s="248"/>
      <c r="E51" s="248"/>
      <c r="F51" s="248"/>
      <c r="G51" s="293"/>
      <c r="H51" s="293"/>
      <c r="I51" s="294"/>
      <c r="J51" s="869"/>
      <c r="K51" s="239"/>
      <c r="L51" s="239"/>
      <c r="M51" s="239"/>
      <c r="N51" s="239"/>
      <c r="O51" s="239"/>
      <c r="P51" s="239"/>
      <c r="Q51" s="239"/>
      <c r="R51" s="240"/>
    </row>
    <row r="52" spans="3:18" ht="15" customHeight="1" thickBot="1">
      <c r="C52" s="871" t="str">
        <f>FH_info!AE2</f>
        <v>뇌피로 검사와 지속적인 모니터링 서비스가 필요하신 분은 홈페이지에 들어 가서 상담받으시기 바랍니다. (www.mindeye.co.kr)</v>
      </c>
      <c r="D52" s="872"/>
      <c r="E52" s="872"/>
      <c r="F52" s="872"/>
      <c r="G52" s="872"/>
      <c r="H52" s="872"/>
      <c r="I52" s="872"/>
      <c r="J52" s="872"/>
      <c r="K52" s="872"/>
      <c r="L52" s="872"/>
      <c r="M52" s="872"/>
      <c r="N52" s="872"/>
      <c r="O52" s="872"/>
      <c r="P52" s="872"/>
      <c r="Q52" s="872"/>
      <c r="R52" s="873"/>
    </row>
    <row r="53" spans="3:18" ht="9.75" customHeight="1">
      <c r="C53" s="93"/>
      <c r="D53" s="93"/>
      <c r="E53" s="93"/>
      <c r="F53" s="93"/>
      <c r="G53" s="93"/>
      <c r="H53" s="93"/>
      <c r="I53" s="93"/>
      <c r="J53" s="93"/>
      <c r="K53" s="93"/>
      <c r="L53" s="93"/>
      <c r="M53" s="93"/>
      <c r="N53" s="93"/>
      <c r="O53" s="93"/>
      <c r="P53" s="93"/>
      <c r="Q53" s="93"/>
      <c r="R53" s="93"/>
    </row>
  </sheetData>
  <mergeCells count="91">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 ref="O37:P37"/>
    <mergeCell ref="M33:N33"/>
    <mergeCell ref="O33:P33"/>
    <mergeCell ref="Q33:R33"/>
    <mergeCell ref="O36:P36"/>
    <mergeCell ref="Q36:R36"/>
    <mergeCell ref="Q35:R35"/>
    <mergeCell ref="C52:R52"/>
    <mergeCell ref="J44:J51"/>
    <mergeCell ref="J43:L43"/>
    <mergeCell ref="M43:R43"/>
    <mergeCell ref="C43:E43"/>
    <mergeCell ref="F43:I43"/>
    <mergeCell ref="Q50:R50"/>
    <mergeCell ref="C44:C51"/>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7:E11"/>
    <mergeCell ref="G8:I8"/>
    <mergeCell ref="K8:L8"/>
    <mergeCell ref="K15:L15"/>
    <mergeCell ref="K16:L16"/>
    <mergeCell ref="F9:F11"/>
    <mergeCell ref="G9:R11"/>
    <mergeCell ref="G7:I7"/>
    <mergeCell ref="K7:L7"/>
    <mergeCell ref="N7:O7"/>
    <mergeCell ref="K13:O14"/>
    <mergeCell ref="P7:R7"/>
    <mergeCell ref="D13:F14"/>
    <mergeCell ref="G13:J14"/>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25" right="0.25" top="0.75" bottom="0.75" header="0.3" footer="0.3"/>
  <pageSetup paperSize="9" scale="92"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59" t="str">
        <f>lang!B324</f>
        <v>정보-에너지 관계 및 마음 상태</v>
      </c>
      <c r="D3" s="959"/>
      <c r="E3" s="959"/>
      <c r="F3" s="959"/>
      <c r="G3" s="959"/>
      <c r="H3" s="959"/>
      <c r="I3" s="959"/>
      <c r="J3" s="959"/>
      <c r="K3" s="959"/>
      <c r="L3" s="959"/>
      <c r="M3" s="959"/>
      <c r="N3" s="959"/>
      <c r="O3" s="959"/>
      <c r="P3" s="959"/>
      <c r="Q3" s="765" t="str">
        <f>FH_info!AB2</f>
        <v>마인드아이</v>
      </c>
      <c r="R3" s="765"/>
      <c r="S3" s="765"/>
      <c r="T3" s="765"/>
    </row>
    <row r="4" spans="2:20" ht="14.25" customHeight="1">
      <c r="C4" s="959"/>
      <c r="D4" s="959"/>
      <c r="E4" s="959"/>
      <c r="F4" s="959"/>
      <c r="G4" s="959"/>
      <c r="H4" s="959"/>
      <c r="I4" s="959"/>
      <c r="J4" s="959"/>
      <c r="K4" s="959"/>
      <c r="L4" s="959"/>
      <c r="M4" s="959"/>
      <c r="N4" s="959"/>
      <c r="O4" s="959"/>
      <c r="P4" s="959"/>
      <c r="Q4" s="765"/>
      <c r="R4" s="765"/>
      <c r="S4" s="765"/>
      <c r="T4" s="765"/>
    </row>
    <row r="5" spans="2:20" ht="3" customHeight="1"/>
    <row r="6" spans="2:20" ht="1.5" customHeight="1" thickBot="1"/>
    <row r="7" spans="2:20">
      <c r="C7" s="766">
        <v>1</v>
      </c>
      <c r="D7" s="767"/>
      <c r="E7" s="768"/>
      <c r="F7" s="777" t="str">
        <f>lang!B159</f>
        <v>측정일</v>
      </c>
      <c r="G7" s="960"/>
      <c r="H7" s="970">
        <f>IF(FH_info!A2="","",FH_info!A2)</f>
        <v>45854.539027777777</v>
      </c>
      <c r="I7" s="970"/>
      <c r="J7" s="971"/>
      <c r="K7" s="166" t="str">
        <f>lang!B160</f>
        <v>나이</v>
      </c>
      <c r="L7" s="774" t="str">
        <f>IF(FH_info!B2="","",TRIM(MID(SUBSTITUTE(FH_info!B2,"^",REPT(" ",LEN(FH_info!B2))),LEN(FH_info!B2)*4-LEN(FH_info!B2)+1,LEN(FH_info!B2))))</f>
        <v>5</v>
      </c>
      <c r="M7" s="774"/>
      <c r="N7" s="777" t="str">
        <f>lang!B161</f>
        <v>성별</v>
      </c>
      <c r="O7" s="960"/>
      <c r="P7" s="775" t="str">
        <f>IF(FH_info!B2="","", FH_info!Y2)</f>
        <v>남성</v>
      </c>
      <c r="Q7" s="776"/>
      <c r="R7" s="777" t="str">
        <f>lang!B164</f>
        <v>측정장소</v>
      </c>
      <c r="S7" s="778"/>
      <c r="T7" s="779"/>
    </row>
    <row r="8" spans="2:20">
      <c r="C8" s="769"/>
      <c r="D8" s="749"/>
      <c r="E8" s="770"/>
      <c r="F8" s="961" t="str">
        <f>lang!B165</f>
        <v>이름</v>
      </c>
      <c r="G8" s="962"/>
      <c r="H8" s="781" t="str">
        <f>IF(FH_info!B2="","",TRIM(MID(SUBSTITUTE(FH_info!B2,"^",REPT(" ",LEN(FH_info!B2))),LEN(FH_info!B2)*2-LEN(FH_info!B2)+1,LEN(FH_info!B2))))</f>
        <v>IB4i</v>
      </c>
      <c r="I8" s="781"/>
      <c r="J8" s="782"/>
      <c r="K8" s="146" t="str">
        <f>lang!B166</f>
        <v>직업</v>
      </c>
      <c r="L8" s="783"/>
      <c r="M8" s="783"/>
      <c r="N8" s="961" t="str">
        <f>lang!B167</f>
        <v>ID</v>
      </c>
      <c r="O8" s="962"/>
      <c r="P8" s="784"/>
      <c r="Q8" s="785"/>
      <c r="R8" s="780" t="str">
        <f>IF(FH_info!B2="","",TRIM(MID(SUBSTITUTE(FH_info!B2,"^",REPT(" ",LEN(FH_info!B2))),LEN(FH_info!B2)*5-LEN(FH_info!B2)+1,LEN(FH_info!B2))))</f>
        <v/>
      </c>
      <c r="S8" s="781"/>
      <c r="T8" s="786"/>
    </row>
    <row r="9" spans="2:20" ht="10" customHeight="1">
      <c r="C9" s="769"/>
      <c r="D9" s="749"/>
      <c r="E9" s="770"/>
      <c r="F9" s="972" t="str">
        <f>lang!B168</f>
        <v>상담
내용</v>
      </c>
      <c r="G9" s="973"/>
      <c r="H9" s="357"/>
      <c r="I9" s="357"/>
      <c r="J9" s="357"/>
      <c r="K9" s="357"/>
      <c r="L9" s="357"/>
      <c r="M9" s="357"/>
      <c r="N9" s="357"/>
      <c r="O9" s="357"/>
      <c r="P9" s="357"/>
      <c r="Q9" s="357"/>
      <c r="R9" s="357"/>
      <c r="S9" s="357"/>
      <c r="T9" s="358"/>
    </row>
    <row r="10" spans="2:20" ht="10" customHeight="1">
      <c r="C10" s="769"/>
      <c r="D10" s="749"/>
      <c r="E10" s="770"/>
      <c r="F10" s="974"/>
      <c r="G10" s="975"/>
      <c r="H10" s="93"/>
      <c r="I10" s="93"/>
      <c r="J10" s="93"/>
      <c r="K10" s="93"/>
      <c r="L10" s="93"/>
      <c r="M10" s="93"/>
      <c r="N10" s="93"/>
      <c r="O10" s="93"/>
      <c r="P10" s="93"/>
      <c r="Q10" s="93"/>
      <c r="R10" s="93"/>
      <c r="S10" s="93"/>
      <c r="T10" s="359"/>
    </row>
    <row r="11" spans="2:20" ht="18.75" customHeight="1" thickBot="1">
      <c r="C11" s="963"/>
      <c r="D11" s="964"/>
      <c r="E11" s="965"/>
      <c r="F11" s="976"/>
      <c r="G11" s="977"/>
      <c r="H11" s="360"/>
      <c r="I11" s="360"/>
      <c r="J11" s="360"/>
      <c r="K11" s="360"/>
      <c r="L11" s="360"/>
      <c r="M11" s="360"/>
      <c r="N11" s="360"/>
      <c r="O11" s="360"/>
      <c r="P11" s="360"/>
      <c r="Q11" s="360"/>
      <c r="R11" s="360"/>
      <c r="S11" s="360"/>
      <c r="T11" s="361"/>
    </row>
    <row r="12" spans="2:20" ht="11.25" customHeight="1">
      <c r="C12" s="980"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81"/>
      <c r="D13" s="189"/>
      <c r="E13" s="190"/>
      <c r="F13" s="190"/>
      <c r="G13" s="190"/>
      <c r="H13" s="190"/>
      <c r="I13" s="190"/>
      <c r="J13" s="190"/>
      <c r="K13" s="190"/>
      <c r="L13" s="190"/>
      <c r="M13" s="190"/>
      <c r="N13" s="190"/>
      <c r="O13" s="190"/>
      <c r="P13" s="190"/>
      <c r="Q13" s="190"/>
      <c r="R13" s="190"/>
      <c r="S13" s="190"/>
      <c r="T13" s="191"/>
    </row>
    <row r="14" spans="2:20" ht="11.25" customHeight="1">
      <c r="C14" s="981"/>
      <c r="D14" s="189"/>
      <c r="E14" s="190"/>
      <c r="F14" s="190"/>
      <c r="G14" s="190"/>
      <c r="H14" s="190"/>
      <c r="I14" s="190"/>
      <c r="J14" s="190"/>
      <c r="K14" s="190"/>
      <c r="L14" s="190"/>
      <c r="M14" s="190"/>
      <c r="N14" s="190"/>
      <c r="O14" s="190"/>
      <c r="P14" s="190"/>
      <c r="Q14" s="190"/>
      <c r="R14" s="190"/>
      <c r="S14" s="190"/>
      <c r="T14" s="191"/>
    </row>
    <row r="15" spans="2:20" ht="11.25" customHeight="1">
      <c r="C15" s="981"/>
      <c r="D15" s="189"/>
      <c r="E15" s="190"/>
      <c r="F15" s="190"/>
      <c r="G15" s="190"/>
      <c r="H15" s="190"/>
      <c r="I15" s="190"/>
      <c r="J15" s="190"/>
      <c r="K15" s="190"/>
      <c r="L15" s="190"/>
      <c r="M15" s="190"/>
      <c r="N15" s="190"/>
      <c r="O15" s="190"/>
      <c r="P15" s="190"/>
      <c r="Q15" s="190"/>
      <c r="R15" s="190"/>
      <c r="S15" s="190"/>
      <c r="T15" s="191"/>
    </row>
    <row r="16" spans="2:20" ht="11.25" customHeight="1" thickBot="1">
      <c r="B16" s="79"/>
      <c r="C16" s="982"/>
      <c r="D16" s="192"/>
      <c r="E16" s="193"/>
      <c r="F16" s="193"/>
      <c r="G16" s="193"/>
      <c r="H16" s="193"/>
      <c r="I16" s="193"/>
      <c r="J16" s="193"/>
      <c r="K16" s="193"/>
      <c r="L16" s="193"/>
      <c r="M16" s="193"/>
      <c r="N16" s="193"/>
      <c r="O16" s="193"/>
      <c r="P16" s="193"/>
      <c r="Q16" s="193"/>
      <c r="R16" s="193"/>
      <c r="S16" s="193"/>
      <c r="T16" s="194"/>
    </row>
    <row r="17" spans="2:22" ht="16.5" customHeight="1">
      <c r="B17" s="79"/>
      <c r="C17" s="978" t="str">
        <f>lang!B325</f>
        <v>I-E (정보-에너지) 그래프</v>
      </c>
      <c r="D17" s="979"/>
      <c r="E17" s="979"/>
      <c r="F17" s="979"/>
      <c r="G17" s="979"/>
      <c r="H17" s="979"/>
      <c r="I17" s="979"/>
      <c r="J17" s="979"/>
      <c r="K17" s="979"/>
      <c r="L17" s="979"/>
      <c r="M17" s="979"/>
      <c r="N17" s="979"/>
      <c r="O17" s="979"/>
      <c r="P17" s="979"/>
      <c r="Q17" s="979"/>
      <c r="R17" s="933" t="str">
        <f>lang!B331</f>
        <v>비 고</v>
      </c>
      <c r="S17" s="934"/>
      <c r="T17" s="935"/>
    </row>
    <row r="18" spans="2:22" ht="17.25" customHeight="1">
      <c r="C18" s="942" t="str">
        <f>lang!B326</f>
        <v>정보 변화량(I)</v>
      </c>
      <c r="D18" s="943"/>
      <c r="E18" s="943"/>
      <c r="F18" s="943"/>
      <c r="G18" s="943"/>
      <c r="H18" s="943"/>
      <c r="I18" s="943"/>
      <c r="J18" s="943"/>
      <c r="K18" s="943" t="str">
        <f>lang!B327</f>
        <v>에너지 변화량(E)</v>
      </c>
      <c r="L18" s="943"/>
      <c r="M18" s="943"/>
      <c r="N18" s="943"/>
      <c r="O18" s="943"/>
      <c r="P18" s="943"/>
      <c r="Q18" s="943"/>
      <c r="R18" s="944" t="str">
        <f>IF(M!B15&lt;&gt;"",IF(M!B16&lt;&gt;"","(" &amp; ROUND(M!B15,2) &amp; "," &amp; ROUND(M!B16,2)&amp;")",""),"")</f>
        <v>(-0.12,-0.2)</v>
      </c>
      <c r="S18" s="945"/>
      <c r="T18" s="946"/>
    </row>
    <row r="19" spans="2:22" ht="16.5" customHeight="1">
      <c r="C19" s="136" t="str">
        <f>lang!B328</f>
        <v>최소값</v>
      </c>
      <c r="D19" s="105">
        <f ca="1">info!M7</f>
        <v>35.736899999999999</v>
      </c>
      <c r="E19" s="94" t="str">
        <f>lang!B330</f>
        <v>평균값</v>
      </c>
      <c r="F19" s="950">
        <f ca="1">info!N9</f>
        <v>49.461154109589025</v>
      </c>
      <c r="G19" s="951"/>
      <c r="H19" s="968" t="str">
        <f>lang!B329</f>
        <v>최대값</v>
      </c>
      <c r="I19" s="969"/>
      <c r="J19" s="105">
        <f ca="1">info!M8</f>
        <v>55.148099999999999</v>
      </c>
      <c r="K19" s="137" t="str">
        <f>lang!B328</f>
        <v>최소값</v>
      </c>
      <c r="L19" s="105">
        <f ca="1">info!M5</f>
        <v>5.1814200000000001</v>
      </c>
      <c r="M19" s="94" t="str">
        <f>lang!B330</f>
        <v>평균값</v>
      </c>
      <c r="N19" s="950">
        <f ca="1">info!M9</f>
        <v>5.5557078082191804</v>
      </c>
      <c r="O19" s="951">
        <f>info!T9</f>
        <v>1</v>
      </c>
      <c r="P19" s="94" t="str">
        <f>lang!B329</f>
        <v>최대값</v>
      </c>
      <c r="Q19" s="105">
        <f ca="1">info!M6</f>
        <v>5.935550000000001</v>
      </c>
      <c r="R19" s="947"/>
      <c r="S19" s="948"/>
      <c r="T19" s="949"/>
    </row>
    <row r="20" spans="2:22" ht="24" customHeight="1">
      <c r="C20" s="150" t="s">
        <v>241</v>
      </c>
      <c r="D20" s="945"/>
      <c r="E20" s="945"/>
      <c r="F20" s="945"/>
      <c r="G20" s="151"/>
      <c r="H20" s="151"/>
      <c r="I20" s="151"/>
      <c r="J20" s="151"/>
      <c r="K20" s="151"/>
      <c r="L20" s="151"/>
      <c r="M20" s="151"/>
      <c r="N20" s="151"/>
      <c r="O20" s="151"/>
      <c r="P20" s="151"/>
      <c r="Q20" s="945"/>
      <c r="R20" s="945"/>
      <c r="S20" s="945"/>
      <c r="T20" s="152"/>
      <c r="V20" s="80"/>
    </row>
    <row r="21" spans="2:22" ht="25.5" customHeight="1">
      <c r="C21" s="991" t="str">
        <f>lang!B337</f>
        <v>에너지</v>
      </c>
      <c r="D21" s="992"/>
      <c r="E21" s="159"/>
      <c r="F21" s="154"/>
      <c r="G21" s="154"/>
      <c r="H21" s="154"/>
      <c r="I21" s="154"/>
      <c r="J21" s="154"/>
      <c r="K21" s="154"/>
      <c r="L21" s="154"/>
      <c r="M21" s="154"/>
      <c r="N21" s="154"/>
      <c r="O21" s="154"/>
      <c r="P21" s="154"/>
      <c r="Q21" s="159"/>
      <c r="R21" s="954" t="str">
        <f>lang!B336</f>
        <v>심리생리
정보 변화</v>
      </c>
      <c r="S21" s="954"/>
      <c r="T21" s="955"/>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26" t="str">
        <f>lang!B333</f>
        <v>I-E 상관 관계</v>
      </c>
      <c r="D28" s="927"/>
      <c r="E28" s="927"/>
      <c r="F28" s="927"/>
      <c r="G28" s="927"/>
      <c r="H28" s="927"/>
      <c r="I28" s="927"/>
      <c r="J28" s="927"/>
      <c r="K28" s="927"/>
      <c r="L28" s="927"/>
      <c r="M28" s="927"/>
      <c r="N28" s="927"/>
      <c r="O28" s="927"/>
      <c r="P28" s="927"/>
      <c r="Q28" s="927"/>
      <c r="R28" s="927"/>
      <c r="S28" s="927"/>
      <c r="T28" s="928"/>
    </row>
    <row r="29" spans="2:22" ht="18" customHeight="1">
      <c r="C29" s="936"/>
      <c r="D29" s="937"/>
      <c r="E29" s="937"/>
      <c r="F29" s="937"/>
      <c r="G29" s="937"/>
      <c r="H29" s="937"/>
      <c r="I29" s="937"/>
      <c r="J29" s="937"/>
      <c r="K29" s="937"/>
      <c r="L29" s="937"/>
      <c r="M29" s="937"/>
      <c r="N29" s="937"/>
      <c r="O29" s="937"/>
      <c r="P29" s="937"/>
      <c r="Q29" s="937"/>
      <c r="R29" s="937"/>
      <c r="S29" s="937"/>
      <c r="T29" s="952" t="str">
        <f>lang!B332</f>
        <v>평균값</v>
      </c>
    </row>
    <row r="30" spans="2:22" ht="18" customHeight="1">
      <c r="C30" s="938"/>
      <c r="D30" s="939"/>
      <c r="E30" s="939"/>
      <c r="F30" s="939"/>
      <c r="G30" s="939"/>
      <c r="H30" s="939"/>
      <c r="I30" s="939"/>
      <c r="J30" s="939"/>
      <c r="K30" s="939"/>
      <c r="L30" s="939"/>
      <c r="M30" s="939"/>
      <c r="N30" s="939"/>
      <c r="O30" s="939"/>
      <c r="P30" s="939"/>
      <c r="Q30" s="939"/>
      <c r="R30" s="939"/>
      <c r="S30" s="939"/>
      <c r="T30" s="953"/>
    </row>
    <row r="31" spans="2:22" ht="12" customHeight="1">
      <c r="C31" s="938"/>
      <c r="D31" s="939"/>
      <c r="E31" s="939"/>
      <c r="F31" s="939"/>
      <c r="G31" s="939"/>
      <c r="H31" s="939"/>
      <c r="I31" s="939"/>
      <c r="J31" s="939"/>
      <c r="K31" s="939"/>
      <c r="L31" s="939"/>
      <c r="M31" s="939"/>
      <c r="N31" s="939"/>
      <c r="O31" s="939"/>
      <c r="P31" s="939"/>
      <c r="Q31" s="939"/>
      <c r="R31" s="939"/>
      <c r="S31" s="939"/>
      <c r="T31" s="956">
        <f>info!Z2</f>
        <v>8.8852569618507697</v>
      </c>
    </row>
    <row r="32" spans="2:22" ht="18" customHeight="1">
      <c r="C32" s="938"/>
      <c r="D32" s="939"/>
      <c r="E32" s="939"/>
      <c r="F32" s="939"/>
      <c r="G32" s="939"/>
      <c r="H32" s="939"/>
      <c r="I32" s="939"/>
      <c r="J32" s="939"/>
      <c r="K32" s="939"/>
      <c r="L32" s="939"/>
      <c r="M32" s="939"/>
      <c r="N32" s="939"/>
      <c r="O32" s="939"/>
      <c r="P32" s="939"/>
      <c r="Q32" s="939"/>
      <c r="R32" s="939"/>
      <c r="S32" s="939"/>
      <c r="T32" s="957"/>
    </row>
    <row r="33" spans="3:20" ht="11.25" customHeight="1">
      <c r="C33" s="938"/>
      <c r="D33" s="939"/>
      <c r="E33" s="939"/>
      <c r="F33" s="939"/>
      <c r="G33" s="939"/>
      <c r="H33" s="939"/>
      <c r="I33" s="939"/>
      <c r="J33" s="939"/>
      <c r="K33" s="939"/>
      <c r="L33" s="939"/>
      <c r="M33" s="939"/>
      <c r="N33" s="939"/>
      <c r="O33" s="939"/>
      <c r="P33" s="939"/>
      <c r="Q33" s="939"/>
      <c r="R33" s="939"/>
      <c r="S33" s="939"/>
      <c r="T33" s="957"/>
    </row>
    <row r="34" spans="3:20" ht="12.75" customHeight="1">
      <c r="C34" s="938"/>
      <c r="D34" s="939"/>
      <c r="E34" s="939"/>
      <c r="F34" s="939"/>
      <c r="G34" s="939"/>
      <c r="H34" s="939"/>
      <c r="I34" s="939"/>
      <c r="J34" s="939"/>
      <c r="K34" s="939"/>
      <c r="L34" s="939"/>
      <c r="M34" s="939"/>
      <c r="N34" s="939"/>
      <c r="O34" s="939"/>
      <c r="P34" s="939"/>
      <c r="Q34" s="939"/>
      <c r="R34" s="939"/>
      <c r="S34" s="939"/>
      <c r="T34" s="957"/>
    </row>
    <row r="35" spans="3:20" ht="8.25" customHeight="1">
      <c r="C35" s="938"/>
      <c r="D35" s="939"/>
      <c r="E35" s="939"/>
      <c r="F35" s="939"/>
      <c r="G35" s="939"/>
      <c r="H35" s="939"/>
      <c r="I35" s="939"/>
      <c r="J35" s="939"/>
      <c r="K35" s="939"/>
      <c r="L35" s="939"/>
      <c r="M35" s="939"/>
      <c r="N35" s="939"/>
      <c r="O35" s="939"/>
      <c r="P35" s="939"/>
      <c r="Q35" s="939"/>
      <c r="R35" s="939"/>
      <c r="S35" s="939"/>
      <c r="T35" s="957"/>
    </row>
    <row r="36" spans="3:20" ht="14.25" customHeight="1" thickBot="1">
      <c r="C36" s="940"/>
      <c r="D36" s="941"/>
      <c r="E36" s="941"/>
      <c r="F36" s="941"/>
      <c r="G36" s="941"/>
      <c r="H36" s="941"/>
      <c r="I36" s="941"/>
      <c r="J36" s="941"/>
      <c r="K36" s="941"/>
      <c r="L36" s="941"/>
      <c r="M36" s="941"/>
      <c r="N36" s="941"/>
      <c r="O36" s="941"/>
      <c r="P36" s="941"/>
      <c r="Q36" s="941"/>
      <c r="R36" s="941"/>
      <c r="S36" s="941"/>
      <c r="T36" s="958"/>
    </row>
    <row r="37" spans="3:20" ht="18.75" customHeight="1" thickBot="1">
      <c r="C37" s="926" t="str">
        <f>lang!B338</f>
        <v>마음 상태 [쾌-불쾌 상태와 활력도 관계]</v>
      </c>
      <c r="D37" s="927"/>
      <c r="E37" s="927"/>
      <c r="F37" s="927"/>
      <c r="G37" s="927"/>
      <c r="H37" s="927"/>
      <c r="I37" s="927"/>
      <c r="J37" s="927"/>
      <c r="K37" s="927"/>
      <c r="L37" s="927"/>
      <c r="M37" s="926" t="str">
        <f>lang!B362</f>
        <v>마음 분포</v>
      </c>
      <c r="N37" s="927"/>
      <c r="O37" s="927"/>
      <c r="P37" s="927"/>
      <c r="Q37" s="927"/>
      <c r="R37" s="927"/>
      <c r="S37" s="927"/>
      <c r="T37" s="928"/>
    </row>
    <row r="38" spans="3:20" ht="18" customHeight="1">
      <c r="C38" s="983" t="str">
        <f>lang!B354</f>
        <v>불쾌 (0%)</v>
      </c>
      <c r="D38" s="986" t="str">
        <f>lang!B352</f>
        <v>고활력도 (100%)</v>
      </c>
      <c r="E38" s="986"/>
      <c r="F38" s="986"/>
      <c r="G38" s="986"/>
      <c r="H38" s="986"/>
      <c r="I38" s="986"/>
      <c r="J38" s="986"/>
      <c r="K38" s="986"/>
      <c r="L38" s="988" t="str">
        <f>lang!B355</f>
        <v>쾌 (100%)</v>
      </c>
      <c r="M38" s="246"/>
      <c r="N38" s="174"/>
      <c r="O38" s="174"/>
      <c r="P38" s="174"/>
      <c r="Q38" s="174"/>
      <c r="R38" s="174"/>
      <c r="S38" s="174"/>
      <c r="T38" s="175"/>
    </row>
    <row r="39" spans="3:20" ht="18" customHeight="1">
      <c r="C39" s="984"/>
      <c r="D39" s="932" t="str">
        <f>lang!B356</f>
        <v>공포
분노
두려움
불만
초조
근심</v>
      </c>
      <c r="E39" s="932"/>
      <c r="F39" s="353"/>
      <c r="G39" s="353"/>
      <c r="H39" s="354"/>
      <c r="I39" s="354"/>
      <c r="J39" s="931" t="str">
        <f>lang!B357</f>
        <v>공격적
충동적
의기양양
흥분
설렘
적극적
즐거움</v>
      </c>
      <c r="K39" s="931"/>
      <c r="L39" s="989"/>
      <c r="M39" s="247"/>
      <c r="N39" s="165"/>
      <c r="O39" s="165"/>
      <c r="P39" s="165"/>
      <c r="Q39" s="165"/>
      <c r="R39" s="165"/>
      <c r="S39" s="165"/>
      <c r="T39" s="176"/>
    </row>
    <row r="40" spans="3:20" ht="18" customHeight="1">
      <c r="C40" s="984"/>
      <c r="D40" s="932"/>
      <c r="E40" s="932"/>
      <c r="F40" s="353"/>
      <c r="G40" s="353"/>
      <c r="H40" s="354"/>
      <c r="I40" s="354"/>
      <c r="J40" s="931"/>
      <c r="K40" s="931"/>
      <c r="L40" s="989"/>
      <c r="M40" s="247"/>
      <c r="N40" s="165"/>
      <c r="O40" s="165"/>
      <c r="P40" s="165"/>
      <c r="Q40" s="165"/>
      <c r="R40" s="165"/>
      <c r="S40" s="165"/>
      <c r="T40" s="176"/>
    </row>
    <row r="41" spans="3:20" ht="18" customHeight="1">
      <c r="C41" s="984"/>
      <c r="D41" s="932"/>
      <c r="E41" s="932"/>
      <c r="F41" s="353"/>
      <c r="G41" s="353"/>
      <c r="H41" s="354"/>
      <c r="I41" s="354"/>
      <c r="J41" s="931"/>
      <c r="K41" s="931"/>
      <c r="L41" s="989"/>
      <c r="M41" s="247"/>
      <c r="N41" s="165"/>
      <c r="O41" s="165"/>
      <c r="P41" s="165"/>
      <c r="Q41" s="165"/>
      <c r="R41" s="165"/>
      <c r="S41" s="165"/>
      <c r="T41" s="176"/>
    </row>
    <row r="42" spans="3:20" ht="18" customHeight="1">
      <c r="C42" s="984"/>
      <c r="D42" s="932"/>
      <c r="E42" s="932"/>
      <c r="F42" s="353"/>
      <c r="G42" s="353"/>
      <c r="H42" s="354"/>
      <c r="I42" s="354"/>
      <c r="J42" s="931"/>
      <c r="K42" s="931"/>
      <c r="L42" s="989"/>
      <c r="M42" s="247"/>
      <c r="N42" s="165"/>
      <c r="O42" s="165"/>
      <c r="P42" s="165"/>
      <c r="Q42" s="165"/>
      <c r="R42" s="165"/>
      <c r="S42" s="165"/>
      <c r="T42" s="176"/>
    </row>
    <row r="43" spans="3:20" ht="18" customHeight="1">
      <c r="C43" s="984"/>
      <c r="D43" s="932"/>
      <c r="E43" s="932"/>
      <c r="F43" s="353"/>
      <c r="G43" s="967" t="str">
        <f>lang!B360</f>
        <v>중립</v>
      </c>
      <c r="H43" s="967"/>
      <c r="I43" s="354"/>
      <c r="J43" s="931"/>
      <c r="K43" s="931"/>
      <c r="L43" s="989"/>
      <c r="M43" s="247"/>
      <c r="N43" s="165"/>
      <c r="O43" s="165"/>
      <c r="P43" s="165"/>
      <c r="Q43" s="165"/>
      <c r="R43" s="165"/>
      <c r="S43" s="165"/>
      <c r="T43" s="176"/>
    </row>
    <row r="44" spans="3:20" ht="18" customHeight="1">
      <c r="C44" s="984"/>
      <c r="D44" s="966" t="str">
        <f>lang!B359</f>
        <v>주의깊은
수동적
슬픔
무기력
절망감
우울징후</v>
      </c>
      <c r="E44" s="966"/>
      <c r="F44" s="355"/>
      <c r="G44" s="967"/>
      <c r="H44" s="967"/>
      <c r="I44" s="356"/>
      <c r="J44" s="929" t="str">
        <f>lang!B358</f>
        <v>다정한
만족한
차분한
편안한
나른한
평온한</v>
      </c>
      <c r="K44" s="930"/>
      <c r="L44" s="989"/>
      <c r="M44" s="247"/>
      <c r="N44" s="165"/>
      <c r="O44" s="165"/>
      <c r="P44" s="165"/>
      <c r="Q44" s="165"/>
      <c r="R44" s="165"/>
      <c r="S44" s="165"/>
      <c r="T44" s="176"/>
    </row>
    <row r="45" spans="3:20" ht="18" customHeight="1">
      <c r="C45" s="984"/>
      <c r="D45" s="966"/>
      <c r="E45" s="966"/>
      <c r="F45" s="355"/>
      <c r="G45" s="355"/>
      <c r="H45" s="356"/>
      <c r="I45" s="356"/>
      <c r="J45" s="930"/>
      <c r="K45" s="930"/>
      <c r="L45" s="989"/>
      <c r="M45" s="247"/>
      <c r="N45" s="165"/>
      <c r="O45" s="165"/>
      <c r="P45" s="165"/>
      <c r="Q45" s="165"/>
      <c r="R45" s="165"/>
      <c r="S45" s="165"/>
      <c r="T45" s="176"/>
    </row>
    <row r="46" spans="3:20" ht="18" customHeight="1">
      <c r="C46" s="984"/>
      <c r="D46" s="966"/>
      <c r="E46" s="966"/>
      <c r="F46" s="355"/>
      <c r="G46" s="355"/>
      <c r="H46" s="356"/>
      <c r="I46" s="356"/>
      <c r="J46" s="930"/>
      <c r="K46" s="930"/>
      <c r="L46" s="989"/>
      <c r="M46" s="913" t="str">
        <f>lang!B367</f>
        <v>주파수(녹색)</v>
      </c>
      <c r="N46" s="914"/>
      <c r="O46" s="914"/>
      <c r="P46" s="492" t="str">
        <f>lang!B369</f>
        <v>항목</v>
      </c>
      <c r="Q46" s="915" t="str">
        <f>lang!B368</f>
        <v>진폭(붉은색)</v>
      </c>
      <c r="R46" s="916"/>
      <c r="S46" s="917"/>
      <c r="T46" s="493" t="str">
        <f>lang!B370</f>
        <v>비고</v>
      </c>
    </row>
    <row r="47" spans="3:20" ht="18" customHeight="1">
      <c r="C47" s="984"/>
      <c r="D47" s="966"/>
      <c r="E47" s="966"/>
      <c r="F47" s="355"/>
      <c r="G47" s="355"/>
      <c r="H47" s="356"/>
      <c r="I47" s="356"/>
      <c r="J47" s="930"/>
      <c r="K47" s="930"/>
      <c r="L47" s="989"/>
      <c r="M47" s="918">
        <f>hist!M2</f>
        <v>2.7156750000000001</v>
      </c>
      <c r="N47" s="919"/>
      <c r="O47" s="451"/>
      <c r="P47" s="491" t="s">
        <v>1101</v>
      </c>
      <c r="Q47" s="920">
        <f>hist!M3</f>
        <v>1.248407</v>
      </c>
      <c r="R47" s="919"/>
      <c r="S47" s="451"/>
      <c r="T47" s="452"/>
    </row>
    <row r="48" spans="3:20" ht="18" customHeight="1">
      <c r="C48" s="984"/>
      <c r="D48" s="966"/>
      <c r="E48" s="966"/>
      <c r="F48" s="355"/>
      <c r="G48" s="355"/>
      <c r="H48" s="356"/>
      <c r="I48" s="356"/>
      <c r="J48" s="930"/>
      <c r="K48" s="930"/>
      <c r="L48" s="989"/>
      <c r="M48" s="921">
        <f>hist!N2</f>
        <v>0.47032499999999999</v>
      </c>
      <c r="N48" s="922"/>
      <c r="O48" s="451"/>
      <c r="P48" s="491" t="s">
        <v>1102</v>
      </c>
      <c r="Q48" s="919">
        <f>hist!N3</f>
        <v>0.67335</v>
      </c>
      <c r="R48" s="922"/>
      <c r="S48" s="451"/>
      <c r="T48" s="452"/>
    </row>
    <row r="49" spans="3:20" ht="22.5" customHeight="1" thickBot="1">
      <c r="C49" s="985"/>
      <c r="D49" s="987" t="str">
        <f>lang!B353</f>
        <v>저활력도 (0%)</v>
      </c>
      <c r="E49" s="987"/>
      <c r="F49" s="987"/>
      <c r="G49" s="987"/>
      <c r="H49" s="987"/>
      <c r="I49" s="987"/>
      <c r="J49" s="987"/>
      <c r="K49" s="987"/>
      <c r="L49" s="990"/>
      <c r="M49" s="923">
        <f>hist!O2</f>
        <v>0.22120600000000001</v>
      </c>
      <c r="N49" s="924"/>
      <c r="O49" s="453"/>
      <c r="P49" s="454" t="s">
        <v>1588</v>
      </c>
      <c r="Q49" s="925">
        <f>hist!O3</f>
        <v>0.45340000000000003</v>
      </c>
      <c r="R49" s="924"/>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10" t="str">
        <f>lang!B371</f>
        <v>히스토그램 분석</v>
      </c>
      <c r="N50" s="911"/>
      <c r="O50" s="911"/>
      <c r="P50" s="911"/>
      <c r="Q50" s="911"/>
      <c r="R50" s="911"/>
      <c r="S50" s="911"/>
      <c r="T50" s="912"/>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 ref="T31:T36"/>
    <mergeCell ref="C3:P4"/>
    <mergeCell ref="L7:M7"/>
    <mergeCell ref="N7:O7"/>
    <mergeCell ref="P7:Q7"/>
    <mergeCell ref="L8:M8"/>
    <mergeCell ref="N8:O8"/>
    <mergeCell ref="P8:Q8"/>
    <mergeCell ref="Q3:T4"/>
    <mergeCell ref="R7:T7"/>
    <mergeCell ref="R8:T8"/>
    <mergeCell ref="C7:E11"/>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M50:T50"/>
    <mergeCell ref="M46:O46"/>
    <mergeCell ref="Q46:S46"/>
    <mergeCell ref="M47:N47"/>
    <mergeCell ref="Q47:R47"/>
    <mergeCell ref="M48:N48"/>
    <mergeCell ref="Q48:R48"/>
    <mergeCell ref="M49:N49"/>
    <mergeCell ref="Q49:R49"/>
  </mergeCells>
  <phoneticPr fontId="27" type="noConversion"/>
  <printOptions horizontalCentered="1" verticalCentered="1"/>
  <pageMargins left="0.25" right="0.25" top="0.75" bottom="0.75" header="0.3" footer="0.3"/>
  <pageSetup paperSize="9" scale="96"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993" t="str">
        <f>lang!B534</f>
        <v>무드 미터 (MOOD METER)</v>
      </c>
      <c r="D3" s="993"/>
      <c r="E3" s="993"/>
      <c r="F3" s="993"/>
      <c r="G3" s="993"/>
      <c r="H3" s="993"/>
      <c r="I3" s="993"/>
      <c r="J3" s="993"/>
      <c r="K3" s="993"/>
      <c r="L3" s="993"/>
      <c r="M3" s="993"/>
      <c r="N3" s="993"/>
    </row>
    <row r="4" spans="3:14" ht="15" customHeight="1">
      <c r="C4" s="994"/>
      <c r="D4" s="994"/>
      <c r="E4" s="994"/>
      <c r="F4" s="994"/>
      <c r="G4" s="994"/>
      <c r="H4" s="994"/>
      <c r="I4" s="415"/>
      <c r="J4" s="414"/>
      <c r="K4" s="414"/>
      <c r="L4" s="414"/>
      <c r="M4" s="414"/>
      <c r="N4" s="414"/>
    </row>
    <row r="5" spans="3:14" ht="15" customHeight="1">
      <c r="C5" s="995" t="str">
        <f>lang!B535</f>
        <v>활력높음 High Energy</v>
      </c>
      <c r="D5" s="996" t="str">
        <f>lang!B540</f>
        <v>격분한</v>
      </c>
      <c r="E5" s="997" t="str">
        <f>lang!B545</f>
        <v>뚜껑열리는</v>
      </c>
      <c r="F5" s="998" t="str">
        <f>lang!B550</f>
        <v>스트레스</v>
      </c>
      <c r="G5" s="999" t="str">
        <f>lang!B555</f>
        <v>초조한</v>
      </c>
      <c r="H5" s="1000" t="str">
        <f>lang!B560</f>
        <v>충격받은</v>
      </c>
      <c r="I5" s="415"/>
      <c r="J5" s="1001" t="str">
        <f>lang!B565</f>
        <v>놀란</v>
      </c>
      <c r="K5" s="1002" t="str">
        <f>lang!B570</f>
        <v>낙관적인</v>
      </c>
      <c r="L5" s="1003" t="str">
        <f>lang!B575</f>
        <v>흥겨운</v>
      </c>
      <c r="M5" s="1004" t="str">
        <f>lang!B580</f>
        <v>아주 신나는</v>
      </c>
      <c r="N5" s="1005" t="str">
        <f>lang!B585</f>
        <v>황홀한</v>
      </c>
    </row>
    <row r="6" spans="3:14" ht="15" customHeight="1">
      <c r="C6" s="995"/>
      <c r="D6" s="996"/>
      <c r="E6" s="997"/>
      <c r="F6" s="998"/>
      <c r="G6" s="999"/>
      <c r="H6" s="1000"/>
      <c r="I6" s="415"/>
      <c r="J6" s="1001"/>
      <c r="K6" s="1002"/>
      <c r="L6" s="1003"/>
      <c r="M6" s="1004"/>
      <c r="N6" s="1005"/>
    </row>
    <row r="7" spans="3:14" ht="15" customHeight="1">
      <c r="C7" s="995"/>
      <c r="D7" s="996" t="str">
        <f>lang!B541</f>
        <v>격노한</v>
      </c>
      <c r="E7" s="997" t="str">
        <f>lang!B546</f>
        <v>몹시 화가 난</v>
      </c>
      <c r="F7" s="998" t="str">
        <f>lang!B551</f>
        <v>좌절한</v>
      </c>
      <c r="G7" s="999" t="str">
        <f>lang!B556</f>
        <v>신경이 날카로운</v>
      </c>
      <c r="H7" s="1000" t="str">
        <f>lang!B561</f>
        <v>망연자실한</v>
      </c>
      <c r="I7" s="415"/>
      <c r="J7" s="1001" t="str">
        <f>lang!B566</f>
        <v>들뜬</v>
      </c>
      <c r="K7" s="1002" t="str">
        <f>lang!B571</f>
        <v>쾌활한</v>
      </c>
      <c r="L7" s="1003" t="str">
        <f>lang!B576</f>
        <v>동기 부여된</v>
      </c>
      <c r="M7" s="1004" t="str">
        <f>lang!B581</f>
        <v>영감을 받은</v>
      </c>
      <c r="N7" s="1005" t="str">
        <f>lang!B586</f>
        <v>의기양양한</v>
      </c>
    </row>
    <row r="8" spans="3:14" ht="15" customHeight="1">
      <c r="C8" s="995"/>
      <c r="D8" s="996"/>
      <c r="E8" s="997"/>
      <c r="F8" s="998"/>
      <c r="G8" s="999"/>
      <c r="H8" s="1000"/>
      <c r="I8" s="415"/>
      <c r="J8" s="1001"/>
      <c r="K8" s="1002"/>
      <c r="L8" s="1003"/>
      <c r="M8" s="1004"/>
      <c r="N8" s="1005"/>
    </row>
    <row r="9" spans="3:14" ht="15" customHeight="1">
      <c r="C9" s="995"/>
      <c r="D9" s="996" t="str">
        <f>lang!B542</f>
        <v>약이 오른</v>
      </c>
      <c r="E9" s="997" t="str">
        <f>lang!B547</f>
        <v>겁먹은</v>
      </c>
      <c r="F9" s="998" t="str">
        <f>lang!B552</f>
        <v>화난</v>
      </c>
      <c r="G9" s="999" t="str">
        <f>lang!B557</f>
        <v>긴장한</v>
      </c>
      <c r="H9" s="1000" t="str">
        <f>lang!B562</f>
        <v>안절부절한</v>
      </c>
      <c r="I9" s="415"/>
      <c r="J9" s="1001" t="str">
        <f>lang!B567</f>
        <v>기운이 넘치는</v>
      </c>
      <c r="K9" s="1002" t="str">
        <f>lang!B572</f>
        <v>활발한</v>
      </c>
      <c r="L9" s="1003" t="str">
        <f>lang!B577</f>
        <v>흥분한</v>
      </c>
      <c r="M9" s="1004" t="str">
        <f>lang!B582</f>
        <v>낙천적인</v>
      </c>
      <c r="N9" s="1005" t="str">
        <f>lang!B587</f>
        <v>열광하는</v>
      </c>
    </row>
    <row r="10" spans="3:14" ht="15" customHeight="1">
      <c r="C10" s="995"/>
      <c r="D10" s="996"/>
      <c r="E10" s="997"/>
      <c r="F10" s="998"/>
      <c r="G10" s="999"/>
      <c r="H10" s="1000"/>
      <c r="I10" s="415"/>
      <c r="J10" s="1001"/>
      <c r="K10" s="1002"/>
      <c r="L10" s="1003"/>
      <c r="M10" s="1004"/>
      <c r="N10" s="1005"/>
    </row>
    <row r="11" spans="3:14" ht="15" customHeight="1">
      <c r="C11" s="995"/>
      <c r="D11" s="996" t="str">
        <f>lang!B543</f>
        <v>불안한</v>
      </c>
      <c r="E11" s="997" t="str">
        <f>lang!B548</f>
        <v>우려하는</v>
      </c>
      <c r="F11" s="998" t="str">
        <f>lang!B553</f>
        <v>근심하는</v>
      </c>
      <c r="G11" s="999" t="str">
        <f>lang!B558</f>
        <v>짜증 나는</v>
      </c>
      <c r="H11" s="1000" t="str">
        <f>lang!B563</f>
        <v>거슬리는</v>
      </c>
      <c r="I11" s="415"/>
      <c r="J11" s="1001" t="str">
        <f>lang!B568</f>
        <v>기꺼이</v>
      </c>
      <c r="K11" s="1002" t="str">
        <f>lang!B573</f>
        <v>기쁜</v>
      </c>
      <c r="L11" s="1003" t="str">
        <f>lang!B578</f>
        <v>행복한</v>
      </c>
      <c r="M11" s="1004" t="str">
        <f>lang!B583</f>
        <v>자랑스러운</v>
      </c>
      <c r="N11" s="1005" t="str">
        <f>lang!B588</f>
        <v>짜릿한</v>
      </c>
    </row>
    <row r="12" spans="3:14" ht="15" customHeight="1">
      <c r="C12" s="995"/>
      <c r="D12" s="996"/>
      <c r="E12" s="997"/>
      <c r="F12" s="998"/>
      <c r="G12" s="999"/>
      <c r="H12" s="1000"/>
      <c r="I12" s="415"/>
      <c r="J12" s="1001"/>
      <c r="K12" s="1002"/>
      <c r="L12" s="1003"/>
      <c r="M12" s="1004"/>
      <c r="N12" s="1005"/>
    </row>
    <row r="13" spans="3:14" ht="15" customHeight="1">
      <c r="C13" s="995"/>
      <c r="D13" s="996" t="str">
        <f>lang!B544</f>
        <v>불쾌한</v>
      </c>
      <c r="E13" s="997" t="str">
        <f>lang!B549</f>
        <v>골치아픈</v>
      </c>
      <c r="F13" s="998" t="str">
        <f>lang!B554</f>
        <v>염려하는</v>
      </c>
      <c r="G13" s="999" t="str">
        <f>lang!B559</f>
        <v>마음이 불편한</v>
      </c>
      <c r="H13" s="1000" t="str">
        <f>lang!B564</f>
        <v>언짢은</v>
      </c>
      <c r="I13" s="415"/>
      <c r="J13" s="1001" t="str">
        <f>lang!B569</f>
        <v>유쾌한</v>
      </c>
      <c r="K13" s="1002" t="str">
        <f>lang!B574</f>
        <v>즐거운</v>
      </c>
      <c r="L13" s="1003" t="str">
        <f>lang!B579</f>
        <v>희망 찬</v>
      </c>
      <c r="M13" s="1004" t="str">
        <f>lang!B584</f>
        <v>재미있는</v>
      </c>
      <c r="N13" s="1005" t="str">
        <f>lang!B589</f>
        <v>행복이 넘치는</v>
      </c>
    </row>
    <row r="14" spans="3:14" ht="15" customHeight="1">
      <c r="C14" s="995"/>
      <c r="D14" s="996"/>
      <c r="E14" s="997"/>
      <c r="F14" s="998"/>
      <c r="G14" s="999"/>
      <c r="H14" s="1000"/>
      <c r="I14" s="415"/>
      <c r="J14" s="1001"/>
      <c r="K14" s="1002"/>
      <c r="L14" s="1003"/>
      <c r="M14" s="1004"/>
      <c r="N14" s="1005"/>
    </row>
    <row r="15" spans="3:14" ht="3" customHeight="1">
      <c r="C15" s="416"/>
      <c r="D15" s="414"/>
      <c r="E15" s="414"/>
      <c r="F15" s="414"/>
      <c r="G15" s="414"/>
      <c r="H15" s="415"/>
      <c r="I15" s="415"/>
      <c r="J15" s="414"/>
      <c r="K15" s="414"/>
      <c r="L15" s="414"/>
      <c r="M15" s="414"/>
      <c r="N15" s="414"/>
    </row>
    <row r="16" spans="3:14" ht="15" customHeight="1">
      <c r="C16" s="995" t="str">
        <f>lang!B536</f>
        <v>활력낮음 Low Energy</v>
      </c>
      <c r="D16" s="1006" t="str">
        <f>lang!B590</f>
        <v>역겨운</v>
      </c>
      <c r="E16" s="1007" t="str">
        <f>lang!B595</f>
        <v>침울한</v>
      </c>
      <c r="F16" s="1008" t="str">
        <f>lang!B600</f>
        <v>실망스러운</v>
      </c>
      <c r="G16" s="1009" t="str">
        <f>lang!B605</f>
        <v>의욕 없는</v>
      </c>
      <c r="H16" s="1010" t="str">
        <f>lang!B610</f>
        <v>냉담한</v>
      </c>
      <c r="I16" s="415"/>
      <c r="J16" s="1011" t="str">
        <f>lang!B615</f>
        <v>속 편한</v>
      </c>
      <c r="K16" s="1012" t="str">
        <f>lang!B620</f>
        <v>태평한</v>
      </c>
      <c r="L16" s="1013" t="str">
        <f>lang!B625</f>
        <v>자족하는</v>
      </c>
      <c r="M16" s="1014" t="str">
        <f>lang!B630</f>
        <v>다정한</v>
      </c>
      <c r="N16" s="1015" t="str">
        <f>lang!B635</f>
        <v>충만한</v>
      </c>
    </row>
    <row r="17" spans="3:14" ht="15" customHeight="1">
      <c r="C17" s="995"/>
      <c r="D17" s="1006"/>
      <c r="E17" s="1007"/>
      <c r="F17" s="1008"/>
      <c r="G17" s="1009"/>
      <c r="H17" s="1010"/>
      <c r="I17" s="414"/>
      <c r="J17" s="1011"/>
      <c r="K17" s="1012"/>
      <c r="L17" s="1013"/>
      <c r="M17" s="1014"/>
      <c r="N17" s="1015"/>
    </row>
    <row r="18" spans="3:14" ht="15" customHeight="1">
      <c r="C18" s="995"/>
      <c r="D18" s="1006" t="str">
        <f>lang!B591</f>
        <v>비관적인</v>
      </c>
      <c r="E18" s="1007" t="str">
        <f>lang!B596</f>
        <v>시무룩한</v>
      </c>
      <c r="F18" s="1008" t="str">
        <f>lang!B601</f>
        <v>의욕을 꺽는</v>
      </c>
      <c r="G18" s="1009" t="str">
        <f>lang!B606</f>
        <v>슬픈</v>
      </c>
      <c r="H18" s="1010" t="str">
        <f>lang!B611</f>
        <v>지루한</v>
      </c>
      <c r="I18" s="414"/>
      <c r="J18" s="1011" t="str">
        <f>lang!B616</f>
        <v>침착한</v>
      </c>
      <c r="K18" s="1012" t="str">
        <f>lang!B621</f>
        <v>안심하는</v>
      </c>
      <c r="L18" s="1013" t="str">
        <f>lang!B626</f>
        <v>만족스러운</v>
      </c>
      <c r="M18" s="1014" t="str">
        <f>lang!B631</f>
        <v>감사하는</v>
      </c>
      <c r="N18" s="1015" t="str">
        <f>lang!B636</f>
        <v>감동적인</v>
      </c>
    </row>
    <row r="19" spans="3:14" ht="15" customHeight="1">
      <c r="C19" s="995"/>
      <c r="D19" s="1006"/>
      <c r="E19" s="1007"/>
      <c r="F19" s="1008"/>
      <c r="G19" s="1009"/>
      <c r="H19" s="1010"/>
      <c r="I19" s="414"/>
      <c r="J19" s="1011"/>
      <c r="K19" s="1012"/>
      <c r="L19" s="1013"/>
      <c r="M19" s="1014"/>
      <c r="N19" s="1015"/>
    </row>
    <row r="20" spans="3:14" ht="15" customHeight="1">
      <c r="C20" s="995"/>
      <c r="D20" s="1006" t="str">
        <f>lang!B592</f>
        <v>답답한</v>
      </c>
      <c r="E20" s="1007" t="str">
        <f>lang!B597</f>
        <v>비참한</v>
      </c>
      <c r="F20" s="1008" t="str">
        <f>lang!B602</f>
        <v>쓸쓸한</v>
      </c>
      <c r="G20" s="1009" t="str">
        <f>lang!B607</f>
        <v>좌절된</v>
      </c>
      <c r="H20" s="1010" t="str">
        <f>lang!B612</f>
        <v>피곤한</v>
      </c>
      <c r="I20" s="414"/>
      <c r="J20" s="1011" t="str">
        <f>lang!B617</f>
        <v>여유로운</v>
      </c>
      <c r="K20" s="1012" t="str">
        <f>lang!B622</f>
        <v>차분한</v>
      </c>
      <c r="L20" s="1013" t="str">
        <f>lang!B627</f>
        <v>휴식하는</v>
      </c>
      <c r="M20" s="1014" t="str">
        <f>lang!B632</f>
        <v>축복받은</v>
      </c>
      <c r="N20" s="1015" t="str">
        <f>lang!B637</f>
        <v>안정적인</v>
      </c>
    </row>
    <row r="21" spans="3:14" ht="15" customHeight="1">
      <c r="C21" s="995"/>
      <c r="D21" s="1006"/>
      <c r="E21" s="1007"/>
      <c r="F21" s="1008"/>
      <c r="G21" s="1009"/>
      <c r="H21" s="1010"/>
      <c r="I21" s="414"/>
      <c r="J21" s="1011"/>
      <c r="K21" s="1012"/>
      <c r="L21" s="1013"/>
      <c r="M21" s="1014"/>
      <c r="N21" s="1015"/>
    </row>
    <row r="22" spans="3:14" ht="15" customHeight="1">
      <c r="C22" s="995"/>
      <c r="D22" s="1006" t="str">
        <f>lang!B593</f>
        <v>의기소침한</v>
      </c>
      <c r="E22" s="1007" t="str">
        <f>lang!B598</f>
        <v>우울한</v>
      </c>
      <c r="F22" s="1008" t="str">
        <f>lang!B603</f>
        <v>시무룩한</v>
      </c>
      <c r="G22" s="1009" t="str">
        <f>lang!B608</f>
        <v>기진맥진한</v>
      </c>
      <c r="H22" s="1010" t="str">
        <f>lang!B613</f>
        <v>지친</v>
      </c>
      <c r="I22" s="414"/>
      <c r="J22" s="1011" t="str">
        <f>lang!B618</f>
        <v>한가로운</v>
      </c>
      <c r="K22" s="1012" t="str">
        <f>lang!B623</f>
        <v>생각에 잠긴</v>
      </c>
      <c r="L22" s="1013" t="str">
        <f>lang!B628</f>
        <v>평화로운</v>
      </c>
      <c r="M22" s="1014" t="str">
        <f>lang!B633</f>
        <v>편안한</v>
      </c>
      <c r="N22" s="1015" t="str">
        <f>lang!B638</f>
        <v>근심 걱정 없는</v>
      </c>
    </row>
    <row r="23" spans="3:14" ht="15" customHeight="1">
      <c r="C23" s="995"/>
      <c r="D23" s="1006"/>
      <c r="E23" s="1007"/>
      <c r="F23" s="1008"/>
      <c r="G23" s="1009"/>
      <c r="H23" s="1010"/>
      <c r="I23" s="414"/>
      <c r="J23" s="1011"/>
      <c r="K23" s="1012"/>
      <c r="L23" s="1013"/>
      <c r="M23" s="1014"/>
      <c r="N23" s="1015"/>
    </row>
    <row r="24" spans="3:14" ht="15" customHeight="1">
      <c r="C24" s="995"/>
      <c r="D24" s="1006" t="str">
        <f>lang!B594</f>
        <v>절망한</v>
      </c>
      <c r="E24" s="1007" t="str">
        <f>lang!B599</f>
        <v>심각한</v>
      </c>
      <c r="F24" s="1008" t="str">
        <f>lang!B604</f>
        <v>고독한</v>
      </c>
      <c r="G24" s="1009" t="str">
        <f>lang!B609</f>
        <v>힘이 다 빠진</v>
      </c>
      <c r="H24" s="1010" t="str">
        <f>lang!B614</f>
        <v>진이 빠진</v>
      </c>
      <c r="I24" s="414"/>
      <c r="J24" s="1011" t="str">
        <f>lang!B619</f>
        <v>나른한</v>
      </c>
      <c r="K24" s="1012" t="str">
        <f>lang!B624</f>
        <v>안일한</v>
      </c>
      <c r="L24" s="1013" t="str">
        <f>lang!B629</f>
        <v>고요한</v>
      </c>
      <c r="M24" s="1014" t="str">
        <f>lang!B634</f>
        <v>안락한</v>
      </c>
      <c r="N24" s="1015" t="str">
        <f>lang!B639</f>
        <v>평온한</v>
      </c>
    </row>
    <row r="25" spans="3:14" ht="15" customHeight="1">
      <c r="C25" s="995"/>
      <c r="D25" s="1006"/>
      <c r="E25" s="1007"/>
      <c r="F25" s="1008"/>
      <c r="G25" s="1009"/>
      <c r="H25" s="1010"/>
      <c r="I25" s="414"/>
      <c r="J25" s="1011"/>
      <c r="K25" s="1012"/>
      <c r="L25" s="1013"/>
      <c r="M25" s="1014"/>
      <c r="N25" s="1015"/>
    </row>
    <row r="26" spans="3:14">
      <c r="C26" s="413"/>
      <c r="D26" s="1028" t="str">
        <f>lang!B538</f>
        <v>쾌적함 낮음 Low Pleasantness</v>
      </c>
      <c r="E26" s="1028"/>
      <c r="F26" s="1028"/>
      <c r="G26" s="1028"/>
      <c r="H26" s="1028"/>
      <c r="I26" s="414"/>
      <c r="J26" s="1028" t="str">
        <f>lang!B537</f>
        <v>쾌적함 높음 High Pleasantness</v>
      </c>
      <c r="K26" s="1028"/>
      <c r="L26" s="1028"/>
      <c r="M26" s="1028"/>
      <c r="N26" s="1028"/>
    </row>
    <row r="28" spans="3:14" ht="16.8" thickBot="1"/>
    <row r="29" spans="3:14" ht="16.8" thickBot="1">
      <c r="D29" s="1016" t="str">
        <f>lang!B539</f>
        <v>검사 결과 설명</v>
      </c>
      <c r="E29" s="1017"/>
      <c r="F29" s="1017"/>
      <c r="G29" s="1017"/>
      <c r="H29" s="1017"/>
      <c r="I29" s="1017"/>
      <c r="J29" s="1017"/>
      <c r="K29" s="1017"/>
      <c r="L29" s="1017"/>
      <c r="M29" s="1017"/>
      <c r="N29" s="1018"/>
    </row>
    <row r="30" spans="3:14" ht="4.5" customHeight="1" thickBot="1"/>
    <row r="31" spans="3:14">
      <c r="D31" s="1019"/>
      <c r="E31" s="1020"/>
      <c r="F31" s="1020"/>
      <c r="G31" s="1020"/>
      <c r="H31" s="1020"/>
      <c r="I31" s="1020"/>
      <c r="J31" s="1020"/>
      <c r="K31" s="1020"/>
      <c r="L31" s="1020"/>
      <c r="M31" s="1020"/>
      <c r="N31" s="1021"/>
    </row>
    <row r="32" spans="3:14">
      <c r="D32" s="1022"/>
      <c r="E32" s="1023"/>
      <c r="F32" s="1023"/>
      <c r="G32" s="1023"/>
      <c r="H32" s="1023"/>
      <c r="I32" s="1023"/>
      <c r="J32" s="1023"/>
      <c r="K32" s="1023"/>
      <c r="L32" s="1023"/>
      <c r="M32" s="1023"/>
      <c r="N32" s="1024"/>
    </row>
    <row r="33" spans="4:14">
      <c r="D33" s="1022"/>
      <c r="E33" s="1023"/>
      <c r="F33" s="1023"/>
      <c r="G33" s="1023"/>
      <c r="H33" s="1023"/>
      <c r="I33" s="1023"/>
      <c r="J33" s="1023"/>
      <c r="K33" s="1023"/>
      <c r="L33" s="1023"/>
      <c r="M33" s="1023"/>
      <c r="N33" s="1024"/>
    </row>
    <row r="34" spans="4:14">
      <c r="D34" s="1022"/>
      <c r="E34" s="1023"/>
      <c r="F34" s="1023"/>
      <c r="G34" s="1023"/>
      <c r="H34" s="1023"/>
      <c r="I34" s="1023"/>
      <c r="J34" s="1023"/>
      <c r="K34" s="1023"/>
      <c r="L34" s="1023"/>
      <c r="M34" s="1023"/>
      <c r="N34" s="1024"/>
    </row>
    <row r="35" spans="4:14">
      <c r="D35" s="1022"/>
      <c r="E35" s="1023"/>
      <c r="F35" s="1023"/>
      <c r="G35" s="1023"/>
      <c r="H35" s="1023"/>
      <c r="I35" s="1023"/>
      <c r="J35" s="1023"/>
      <c r="K35" s="1023"/>
      <c r="L35" s="1023"/>
      <c r="M35" s="1023"/>
      <c r="N35" s="1024"/>
    </row>
    <row r="36" spans="4:14">
      <c r="D36" s="1022"/>
      <c r="E36" s="1023"/>
      <c r="F36" s="1023"/>
      <c r="G36" s="1023"/>
      <c r="H36" s="1023"/>
      <c r="I36" s="1023"/>
      <c r="J36" s="1023"/>
      <c r="K36" s="1023"/>
      <c r="L36" s="1023"/>
      <c r="M36" s="1023"/>
      <c r="N36" s="1024"/>
    </row>
    <row r="37" spans="4:14">
      <c r="D37" s="1022"/>
      <c r="E37" s="1023"/>
      <c r="F37" s="1023"/>
      <c r="G37" s="1023"/>
      <c r="H37" s="1023"/>
      <c r="I37" s="1023"/>
      <c r="J37" s="1023"/>
      <c r="K37" s="1023"/>
      <c r="L37" s="1023"/>
      <c r="M37" s="1023"/>
      <c r="N37" s="1024"/>
    </row>
    <row r="38" spans="4:14">
      <c r="D38" s="1022"/>
      <c r="E38" s="1023"/>
      <c r="F38" s="1023"/>
      <c r="G38" s="1023"/>
      <c r="H38" s="1023"/>
      <c r="I38" s="1023"/>
      <c r="J38" s="1023"/>
      <c r="K38" s="1023"/>
      <c r="L38" s="1023"/>
      <c r="M38" s="1023"/>
      <c r="N38" s="1024"/>
    </row>
    <row r="39" spans="4:14">
      <c r="D39" s="1022"/>
      <c r="E39" s="1023"/>
      <c r="F39" s="1023"/>
      <c r="G39" s="1023"/>
      <c r="H39" s="1023"/>
      <c r="I39" s="1023"/>
      <c r="J39" s="1023"/>
      <c r="K39" s="1023"/>
      <c r="L39" s="1023"/>
      <c r="M39" s="1023"/>
      <c r="N39" s="1024"/>
    </row>
    <row r="40" spans="4:14">
      <c r="D40" s="1022"/>
      <c r="E40" s="1023"/>
      <c r="F40" s="1023"/>
      <c r="G40" s="1023"/>
      <c r="H40" s="1023"/>
      <c r="I40" s="1023"/>
      <c r="J40" s="1023"/>
      <c r="K40" s="1023"/>
      <c r="L40" s="1023"/>
      <c r="M40" s="1023"/>
      <c r="N40" s="1024"/>
    </row>
    <row r="41" spans="4:14">
      <c r="D41" s="1022"/>
      <c r="E41" s="1023"/>
      <c r="F41" s="1023"/>
      <c r="G41" s="1023"/>
      <c r="H41" s="1023"/>
      <c r="I41" s="1023"/>
      <c r="J41" s="1023"/>
      <c r="K41" s="1023"/>
      <c r="L41" s="1023"/>
      <c r="M41" s="1023"/>
      <c r="N41" s="1024"/>
    </row>
    <row r="42" spans="4:14">
      <c r="D42" s="1022"/>
      <c r="E42" s="1023"/>
      <c r="F42" s="1023"/>
      <c r="G42" s="1023"/>
      <c r="H42" s="1023"/>
      <c r="I42" s="1023"/>
      <c r="J42" s="1023"/>
      <c r="K42" s="1023"/>
      <c r="L42" s="1023"/>
      <c r="M42" s="1023"/>
      <c r="N42" s="1024"/>
    </row>
    <row r="43" spans="4:14">
      <c r="D43" s="1022"/>
      <c r="E43" s="1023"/>
      <c r="F43" s="1023"/>
      <c r="G43" s="1023"/>
      <c r="H43" s="1023"/>
      <c r="I43" s="1023"/>
      <c r="J43" s="1023"/>
      <c r="K43" s="1023"/>
      <c r="L43" s="1023"/>
      <c r="M43" s="1023"/>
      <c r="N43" s="1024"/>
    </row>
    <row r="44" spans="4:14">
      <c r="D44" s="1022"/>
      <c r="E44" s="1023"/>
      <c r="F44" s="1023"/>
      <c r="G44" s="1023"/>
      <c r="H44" s="1023"/>
      <c r="I44" s="1023"/>
      <c r="J44" s="1023"/>
      <c r="K44" s="1023"/>
      <c r="L44" s="1023"/>
      <c r="M44" s="1023"/>
      <c r="N44" s="1024"/>
    </row>
    <row r="45" spans="4:14">
      <c r="D45" s="1022"/>
      <c r="E45" s="1023"/>
      <c r="F45" s="1023"/>
      <c r="G45" s="1023"/>
      <c r="H45" s="1023"/>
      <c r="I45" s="1023"/>
      <c r="J45" s="1023"/>
      <c r="K45" s="1023"/>
      <c r="L45" s="1023"/>
      <c r="M45" s="1023"/>
      <c r="N45" s="1024"/>
    </row>
    <row r="46" spans="4:14" ht="16.8" thickBot="1">
      <c r="D46" s="1025"/>
      <c r="E46" s="1026"/>
      <c r="F46" s="1026"/>
      <c r="G46" s="1026"/>
      <c r="H46" s="1026"/>
      <c r="I46" s="1026"/>
      <c r="J46" s="1026"/>
      <c r="K46" s="1026"/>
      <c r="L46" s="1026"/>
      <c r="M46" s="1026"/>
      <c r="N46" s="1027"/>
    </row>
  </sheetData>
  <mergeCells count="108">
    <mergeCell ref="D29:N29"/>
    <mergeCell ref="D31:N46"/>
    <mergeCell ref="J24:J25"/>
    <mergeCell ref="K24:K25"/>
    <mergeCell ref="L24:L25"/>
    <mergeCell ref="M24:M25"/>
    <mergeCell ref="N24:N25"/>
    <mergeCell ref="D26:H26"/>
    <mergeCell ref="J26:N26"/>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67"/>
      <c r="D1" s="1068"/>
      <c r="E1" s="1068"/>
      <c r="F1" s="1068"/>
      <c r="G1" s="1068"/>
      <c r="H1" s="1068"/>
      <c r="I1" s="1068"/>
      <c r="L1" s="2"/>
      <c r="M1" s="2"/>
      <c r="N1" s="2"/>
      <c r="O1" s="2"/>
      <c r="P1" s="2"/>
    </row>
    <row r="2" spans="2:119">
      <c r="B2" s="1069" t="str">
        <f>lang!B2</f>
        <v>정신기능상태 측정 결과표</v>
      </c>
      <c r="C2" s="1070"/>
      <c r="D2" s="1070"/>
      <c r="E2" s="1070"/>
      <c r="F2" s="1070"/>
      <c r="G2" s="1070"/>
      <c r="H2" s="1070"/>
      <c r="I2" s="1070"/>
      <c r="J2" s="1070"/>
      <c r="K2" s="1071"/>
      <c r="CG2" t="s">
        <v>1875</v>
      </c>
      <c r="CJ2" t="s">
        <v>1874</v>
      </c>
    </row>
    <row r="3" spans="2:119" ht="31.5" customHeight="1" thickBot="1">
      <c r="B3" s="1072"/>
      <c r="C3" s="1073"/>
      <c r="D3" s="1073"/>
      <c r="E3" s="1073"/>
      <c r="F3" s="1073"/>
      <c r="G3" s="1073"/>
      <c r="H3" s="1073"/>
      <c r="I3" s="1073"/>
      <c r="J3" s="1073"/>
      <c r="K3" s="1074"/>
      <c r="Z3" s="1029" t="s">
        <v>2129</v>
      </c>
      <c r="AA3" s="1029"/>
      <c r="AB3" s="1029" t="s">
        <v>2130</v>
      </c>
      <c r="AC3" s="1029"/>
      <c r="AD3" s="1029" t="s">
        <v>2131</v>
      </c>
      <c r="AE3" s="1029"/>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081" t="str">
        <f>FH_info!B2</f>
        <v>vision^IB4i^1^5^</v>
      </c>
      <c r="D4" s="1082"/>
      <c r="E4" s="1082"/>
      <c r="F4" s="1083"/>
      <c r="G4" s="38" t="str">
        <f>lang!B27</f>
        <v>ID</v>
      </c>
      <c r="H4" s="1081"/>
      <c r="I4" s="1082"/>
      <c r="J4" s="1082"/>
      <c r="K4" s="1084"/>
      <c r="AF4" s="169" t="str">
        <f>'Report-뇌피로'!K7</f>
        <v>5</v>
      </c>
      <c r="AG4" s="168" t="s">
        <v>1049</v>
      </c>
      <c r="AZ4" t="s">
        <v>1092</v>
      </c>
      <c r="BK4" t="s">
        <v>1096</v>
      </c>
      <c r="BV4" t="s">
        <v>1094</v>
      </c>
      <c r="CG4" s="305">
        <f>IF(SUM($AY$7:$AY$13)&gt;0,HLOOKUP(1,$BV$6:$CE$8,3,FALSE),"")</f>
        <v>5</v>
      </c>
      <c r="CH4" s="305">
        <f>IF(SUM($AY$7:$AY$13)&gt;0,HLOOKUP(2,$BV$6:$CE$8,3,FALSE),"")</f>
        <v>1</v>
      </c>
      <c r="CI4" t="s">
        <v>1570</v>
      </c>
      <c r="CJ4" s="426">
        <f>DK17*100</f>
        <v>82.735948562032462</v>
      </c>
      <c r="CK4" s="422">
        <f>info!W21</f>
        <v>87.372052922277106</v>
      </c>
      <c r="CL4">
        <f>100-M!B19*100</f>
        <v>69.446300000000008</v>
      </c>
      <c r="DA4" s="250"/>
      <c r="DB4" s="251"/>
      <c r="DC4" s="252"/>
      <c r="DD4" s="1043" t="s">
        <v>1209</v>
      </c>
      <c r="DE4" s="1044"/>
      <c r="DF4" s="1045"/>
      <c r="DG4" s="1046"/>
      <c r="DH4" s="1047" t="s">
        <v>1210</v>
      </c>
      <c r="DI4" s="1048"/>
      <c r="DJ4" s="1048"/>
      <c r="DK4" s="1048"/>
      <c r="DL4" s="1049"/>
      <c r="DO4" t="str">
        <f>lang!B360</f>
        <v>중립</v>
      </c>
    </row>
    <row r="5" spans="2:119" ht="17.25" customHeight="1" thickBot="1">
      <c r="B5" s="36" t="str">
        <f>lang!B25</f>
        <v>성별</v>
      </c>
      <c r="C5" s="1060"/>
      <c r="D5" s="1061"/>
      <c r="E5" s="1061"/>
      <c r="F5" s="1062"/>
      <c r="G5" s="39" t="str">
        <f>lang!B28</f>
        <v>날자</v>
      </c>
      <c r="H5" s="1085">
        <f>FH_info!A2</f>
        <v>45854.539027777777</v>
      </c>
      <c r="I5" s="1086"/>
      <c r="J5" s="1086"/>
      <c r="K5" s="1087"/>
      <c r="M5" s="9" t="s">
        <v>5</v>
      </c>
      <c r="N5" s="10"/>
      <c r="O5" s="10"/>
      <c r="P5" s="10"/>
      <c r="Q5" s="10"/>
      <c r="R5" s="10"/>
      <c r="S5" s="10"/>
      <c r="T5" s="10"/>
      <c r="U5" s="1129" t="s">
        <v>2155</v>
      </c>
      <c r="V5" s="1130"/>
      <c r="W5" s="1130"/>
      <c r="X5" s="11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053" t="s">
        <v>1211</v>
      </c>
      <c r="DC5" s="1054"/>
      <c r="DD5" s="1055" t="s">
        <v>1212</v>
      </c>
      <c r="DE5" s="1046"/>
      <c r="DF5" s="1056" t="s">
        <v>1213</v>
      </c>
      <c r="DG5" s="1054"/>
      <c r="DH5" s="1050"/>
      <c r="DI5" s="1051"/>
      <c r="DJ5" s="1051"/>
      <c r="DK5" s="1051"/>
      <c r="DL5" s="1052"/>
    </row>
    <row r="6" spans="2:119" ht="45.3" thickBot="1">
      <c r="B6" s="37" t="str">
        <f>lang!B26</f>
        <v>나이</v>
      </c>
      <c r="C6" s="1057"/>
      <c r="D6" s="1058"/>
      <c r="E6" s="1058"/>
      <c r="F6" s="1063"/>
      <c r="G6" s="40" t="str">
        <f>lang!B29</f>
        <v>Σ Vi</v>
      </c>
      <c r="H6" s="1057">
        <f>M!B17*1</f>
        <v>13.194699999999999</v>
      </c>
      <c r="I6" s="1058"/>
      <c r="J6" s="1058"/>
      <c r="K6" s="1059"/>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033" t="str">
        <f>lang!B256</f>
        <v>정상/휴식 집단</v>
      </c>
      <c r="CO6" s="1034"/>
      <c r="CP6" s="1034"/>
      <c r="CQ6" s="1035"/>
      <c r="CR6" s="461" t="str">
        <f>lang!B258</f>
        <v>힐링/치유 집단</v>
      </c>
      <c r="CS6" s="1033" t="str">
        <f>lang!B257</f>
        <v>정상/휴식 집단</v>
      </c>
      <c r="CT6" s="1034"/>
      <c r="CU6" s="1034"/>
      <c r="CV6" s="1035"/>
      <c r="CW6" s="1036" t="str">
        <f>lang!B258</f>
        <v>힐링/치유 집단</v>
      </c>
      <c r="CX6" s="1037"/>
      <c r="CY6" s="103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100" t="str">
        <f>lang!B30</f>
        <v>10 매개변수 측정값</v>
      </c>
      <c r="C7" s="1101"/>
      <c r="D7" s="1102"/>
      <c r="E7" s="1102"/>
      <c r="F7" s="1102"/>
      <c r="G7" s="1102"/>
      <c r="H7" s="1102"/>
      <c r="I7" s="1102"/>
      <c r="J7" s="1102"/>
      <c r="K7" s="1103"/>
      <c r="L7" s="1">
        <f>IF(M!B5="","",IF(N7&lt;U7,1,IF(N7&lt;V7,2,IF(N7&lt;W7,3,IF(N7&lt;X7,4,5)))))</f>
        <v>4</v>
      </c>
      <c r="M7" s="162" t="str">
        <f>lang!B14</f>
        <v>적극/공격성</v>
      </c>
      <c r="N7" s="48">
        <f>IF(M!B5="","",M!B5*1)</f>
        <v>47.7181</v>
      </c>
      <c r="O7" s="48">
        <f>M!C5*1</f>
        <v>1.6553899999999999</v>
      </c>
      <c r="P7" s="48">
        <f>M!D5*1</f>
        <v>3.4691000000000001</v>
      </c>
      <c r="Q7" s="48">
        <f>M!E5*1</f>
        <v>20</v>
      </c>
      <c r="R7" s="48">
        <f>IF(M!B5="","",M!F5*1)</f>
        <v>44.614699999999999</v>
      </c>
      <c r="S7" s="48">
        <f>M!G5*1</f>
        <v>50</v>
      </c>
      <c r="T7" s="48">
        <f>IF(M!B5="","",M!H5*1)</f>
        <v>59.6511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1.4892796934054995</v>
      </c>
      <c r="AI7" s="98">
        <v>2.5024862326905418E-2</v>
      </c>
      <c r="AJ7" s="98">
        <v>-7.7313821231156016E-2</v>
      </c>
      <c r="AK7" s="98">
        <v>0.50012525104428274</v>
      </c>
      <c r="AL7" s="98">
        <v>-8.545985269705475E-2</v>
      </c>
      <c r="AM7" s="98">
        <f>$AH7*AI7+$AH8*AI8+$AH9*AI9+$AH10*AI10+$AH11*AI11+$AH12*AI12+$AH13*AI13+$AH14*AI14+$AH15*AI15+$AH16*AI16</f>
        <v>4.2622451551018363</v>
      </c>
      <c r="AN7" s="98">
        <f t="shared" ref="AN7:AP7" si="2">$AH7*AJ7+$AH8*AJ8+$AH9*AJ9+$AH10*AJ10+$AH11*AJ11+$AH12*AJ12+$AH13*AJ13+$AH14*AJ14+$AH15*AJ15+$AH16*AJ16</f>
        <v>-0.94071251369181441</v>
      </c>
      <c r="AO7" s="98">
        <f t="shared" si="2"/>
        <v>2.1694621404565546</v>
      </c>
      <c r="AP7" s="98">
        <f t="shared" si="2"/>
        <v>0.38390595770383174</v>
      </c>
      <c r="AQ7" s="335">
        <f>IF(SUM(N7:N16)&gt;0, 0.8608*AM7+0.333*AN7+0.104*AO7+1.129*AP7,"")</f>
        <v>4.0147372513073938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47.7181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299.45204155500005</v>
      </c>
      <c r="BL7" s="56">
        <f t="shared" ref="BL7:BT7" si="3">BB7*$AY7+BB8*$AY8+BB9*$AY9+BB10*$AY10+BB11*$AY11+BB12*$AY12+BB13*$AY13+BB14</f>
        <v>285.41047645799989</v>
      </c>
      <c r="BM7" s="56">
        <f t="shared" si="3"/>
        <v>268.09067769499995</v>
      </c>
      <c r="BN7" s="56">
        <f t="shared" si="3"/>
        <v>298.10274687499992</v>
      </c>
      <c r="BO7" s="56">
        <f t="shared" si="3"/>
        <v>316.3499745040001</v>
      </c>
      <c r="BP7" s="56">
        <f t="shared" si="3"/>
        <v>264.87709649300007</v>
      </c>
      <c r="BQ7" s="56">
        <f t="shared" si="3"/>
        <v>270.93991781499994</v>
      </c>
      <c r="BR7" s="56">
        <f t="shared" si="3"/>
        <v>268.28314641999998</v>
      </c>
      <c r="BS7" s="56">
        <f t="shared" si="3"/>
        <v>280.132708347</v>
      </c>
      <c r="BT7" s="56">
        <f t="shared" si="3"/>
        <v>241.36115530900003</v>
      </c>
      <c r="BU7" s="56">
        <f>EXP(BK7)+EXP(BL7)+EXP(BM7)+EXP(BN7)+EXP(BO7)+EXP(BP7)+EXP(BQ7)+EXP(BR7)+EXP(BS7)+EXP(BT7)</f>
        <v>2.4493356427452236E+137</v>
      </c>
      <c r="BV7" s="56">
        <f>IF(SUM($AY$7:$AY$13)&gt;0,EXP(BK7)/$BU$7,"")</f>
        <v>4.5848057445506716E-8</v>
      </c>
      <c r="BW7" s="56">
        <f t="shared" ref="BW7:CE7" si="4">IF(SUM($AY$7:$AY$13)&gt;0,EXP(BL7)/$BU$7,"")</f>
        <v>3.6571830703708704E-14</v>
      </c>
      <c r="BX7" s="56">
        <f t="shared" si="4"/>
        <v>1.0996479533081416E-21</v>
      </c>
      <c r="BY7" s="56">
        <f t="shared" si="4"/>
        <v>1.1894048514769691E-8</v>
      </c>
      <c r="BZ7" s="56">
        <f t="shared" si="4"/>
        <v>0.99999994225785727</v>
      </c>
      <c r="CA7" s="56">
        <f t="shared" si="4"/>
        <v>4.4219424599201656E-23</v>
      </c>
      <c r="CB7" s="56">
        <f t="shared" si="4"/>
        <v>1.8996033726398018E-20</v>
      </c>
      <c r="CC7" s="56">
        <f t="shared" si="4"/>
        <v>1.3330356848024882E-21</v>
      </c>
      <c r="CD7" s="56">
        <f t="shared" si="4"/>
        <v>1.8665564695532175E-16</v>
      </c>
      <c r="CE7" s="56">
        <f t="shared" si="4"/>
        <v>2.7087541774181183E-33</v>
      </c>
      <c r="CF7" s="418" t="s">
        <v>1870</v>
      </c>
      <c r="CG7" s="221">
        <f>IF(SUM($AY$7:$AY$13)&gt;0,HLOOKUP(1,$BV$6:$CE$7,2,FALSE),"")</f>
        <v>0.99999994225785727</v>
      </c>
      <c r="CH7" s="221">
        <f>IF(SUM($AY$7:$AY$13)&gt;0,HLOOKUP(2,$BV$6:$CE$7,2,FALSE),"")</f>
        <v>4.5848057445506716E-8</v>
      </c>
      <c r="CI7" s="425" t="str">
        <f>"( "&amp;IF(CG7&lt;&gt;"",ROUND(CG7*100,0),"")&amp;" , "&amp;IF(CH7&lt;&gt;"",ROUND(CH7*100,0),"")&amp;" )"</f>
        <v>( 100 , 0 )</v>
      </c>
      <c r="CJ7" s="420">
        <f>CG7</f>
        <v>0.99999994225785727</v>
      </c>
      <c r="CK7" s="420">
        <f>CH7</f>
        <v>4.5848057445506716E-8</v>
      </c>
      <c r="CL7" s="425" t="str">
        <f>CI7</f>
        <v>( 100 , 0 )</v>
      </c>
      <c r="CN7" s="1040" t="s">
        <v>1268</v>
      </c>
      <c r="CO7" s="1040"/>
      <c r="CP7" s="1040"/>
      <c r="CQ7" s="1040"/>
      <c r="CR7" s="1041" t="s">
        <v>1269</v>
      </c>
      <c r="CS7" s="1041"/>
      <c r="CT7" s="1041"/>
      <c r="CU7" s="1041"/>
      <c r="CV7" s="1042" t="s">
        <v>1270</v>
      </c>
      <c r="CW7" s="1042"/>
      <c r="DA7" s="224" t="s">
        <v>1084</v>
      </c>
      <c r="DB7" s="260">
        <v>36.336111111111101</v>
      </c>
      <c r="DC7" s="261">
        <v>6.8347156464076955</v>
      </c>
      <c r="DD7" s="260">
        <v>44.171249999999944</v>
      </c>
      <c r="DE7" s="261">
        <v>50.226530612244851</v>
      </c>
      <c r="DF7" s="262">
        <v>1.1463737914256851</v>
      </c>
      <c r="DG7" s="263">
        <v>2.032333197129351</v>
      </c>
      <c r="DH7" s="264">
        <v>1</v>
      </c>
      <c r="DI7" s="285">
        <f>N7</f>
        <v>47.7181</v>
      </c>
      <c r="DJ7" s="265">
        <f>(DI7-$DB7)/$DC7</f>
        <v>1.665320033448829</v>
      </c>
      <c r="DK7" s="266">
        <f>IF(DH7=1,(DJ7-DF7)^2,0)</f>
        <v>0.26930520210994341</v>
      </c>
      <c r="DL7" s="267">
        <f>IF(DH7=1,(DJ7-DG7)^2,0)</f>
        <v>0.13469866231478567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14.3109</v>
      </c>
      <c r="O8" s="48">
        <f>M!C6*1</f>
        <v>1.1114299999999999</v>
      </c>
      <c r="P8" s="48">
        <f>M!D6*1</f>
        <v>7.76633</v>
      </c>
      <c r="Q8" s="48">
        <f>M!E6*1</f>
        <v>20</v>
      </c>
      <c r="R8" s="48">
        <f>IF(M!B6="","",M!F6*1)</f>
        <v>12.65</v>
      </c>
      <c r="S8" s="48">
        <f>M!G6*1</f>
        <v>40</v>
      </c>
      <c r="T8" s="48">
        <f>IF(M!B6="","",M!H6*1)</f>
        <v>17.921099999999999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-6.1661562916384209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14.3109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14.3109</v>
      </c>
      <c r="DJ8" s="265">
        <f t="shared" ref="DJ8:DJ14" si="8">(DI8-$DB8)/$DC8</f>
        <v>-2.4323884904727895</v>
      </c>
      <c r="DK8" s="273">
        <f t="shared" ref="DK8:DK14" si="9">IF(DH8=1,(DJ8-DF8)^2,0)</f>
        <v>0.90202297025237577</v>
      </c>
      <c r="DL8" s="274">
        <f t="shared" ref="DL8:DL14" si="10">IF(DH8=1,(DJ8-DG8)^2,0)</f>
        <v>7.3110193957363085</v>
      </c>
    </row>
    <row r="9" spans="2:119" s="5" customFormat="1" ht="24.75" customHeight="1" thickBot="1">
      <c r="B9" s="62" t="str">
        <f>CONCATENATE(M7,"
(20 ~ 50)")</f>
        <v>적극/공격성
(20 ~ 50)</v>
      </c>
      <c r="C9" s="63">
        <f>R7</f>
        <v>44.614699999999999</v>
      </c>
      <c r="D9" s="64">
        <f>N7</f>
        <v>47.7181</v>
      </c>
      <c r="E9" s="65">
        <f>T7</f>
        <v>59.6511</v>
      </c>
      <c r="F9" s="65">
        <f>P7</f>
        <v>3.4691000000000001</v>
      </c>
      <c r="G9" s="66" t="str">
        <f>CONCATENATE(M8,"
(20 ~ 40)")</f>
        <v>스트레스
(20 ~ 40)</v>
      </c>
      <c r="H9" s="63">
        <f>R8</f>
        <v>12.65</v>
      </c>
      <c r="I9" s="67">
        <f>N8</f>
        <v>14.3109</v>
      </c>
      <c r="J9" s="63">
        <f>T8</f>
        <v>17.921099999999999</v>
      </c>
      <c r="K9" s="68">
        <f>P8</f>
        <v>7.76633</v>
      </c>
      <c r="L9" s="1">
        <f>IF(M!B7="","",IF(N9&lt;U9,1,IF(N9&lt;V9,2,IF(N9&lt;W9,3,IF(N9&lt;X9,4,5)))))</f>
        <v>1</v>
      </c>
      <c r="M9" s="162" t="str">
        <f>lang!B16</f>
        <v>불안</v>
      </c>
      <c r="N9" s="48">
        <f>IF(M!B7="","",M!B7*1)</f>
        <v>14.2066</v>
      </c>
      <c r="O9" s="48">
        <f>M!C7*1</f>
        <v>6.4947699999999999</v>
      </c>
      <c r="P9" s="48">
        <f>M!D7*1</f>
        <v>45.716500000000003</v>
      </c>
      <c r="Q9" s="48">
        <f>M!E7*1</f>
        <v>15</v>
      </c>
      <c r="R9" s="48">
        <f>IF(M!B7="","",M!F7*1)</f>
        <v>5.9983000000000004</v>
      </c>
      <c r="S9" s="48">
        <f>M!G7*1</f>
        <v>40</v>
      </c>
      <c r="T9" s="48">
        <f>IF(M!B7="","",M!H7*1)</f>
        <v>32.116799999999998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-1.2757291087605103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14.2066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14.2066</v>
      </c>
      <c r="DJ9" s="265">
        <f t="shared" si="8"/>
        <v>-1.9405957831271059</v>
      </c>
      <c r="DK9" s="273">
        <f t="shared" si="9"/>
        <v>0.5218765567772593</v>
      </c>
      <c r="DL9" s="274">
        <f t="shared" si="10"/>
        <v>4.4052990697025391</v>
      </c>
      <c r="DM9"/>
      <c r="DN9"/>
    </row>
    <row r="10" spans="2:119" s="4" customFormat="1" ht="30.3" thickBot="1">
      <c r="B10" s="57" t="str">
        <f>CONCATENATE(M9,"
(15 ~ 40)")</f>
        <v>불안
(15 ~ 40)</v>
      </c>
      <c r="C10" s="17">
        <f>R9</f>
        <v>5.9983000000000004</v>
      </c>
      <c r="D10" s="41">
        <f>N9</f>
        <v>14.2066</v>
      </c>
      <c r="E10" s="43">
        <f>T9</f>
        <v>32.116799999999998</v>
      </c>
      <c r="F10" s="43">
        <f>P9</f>
        <v>45.716500000000003</v>
      </c>
      <c r="G10" s="59" t="str">
        <f>CONCATENATE(M10,"
(20 ~ 50)")</f>
        <v>의심
(20 ~ 50)</v>
      </c>
      <c r="H10" s="17">
        <f>R10</f>
        <v>22.9832</v>
      </c>
      <c r="I10" s="42">
        <f>N10</f>
        <v>25.942499999999999</v>
      </c>
      <c r="J10" s="17">
        <f>T10</f>
        <v>30.749700000000001</v>
      </c>
      <c r="K10" s="18">
        <f>P10</f>
        <v>8.2971299999999992</v>
      </c>
      <c r="L10" s="1">
        <f>IF(M!B8="","",IF(N10&lt;U10,1,IF(N10&lt;V10,2,IF(N10&lt;W10,3,IF(N10&lt;X10,4,5)))))</f>
        <v>3</v>
      </c>
      <c r="M10" s="162" t="str">
        <f>lang!B17</f>
        <v>의심</v>
      </c>
      <c r="N10" s="48">
        <f>IF(M!B8="","",M!B8*1)</f>
        <v>25.942499999999999</v>
      </c>
      <c r="O10" s="48">
        <f>M!C8*1</f>
        <v>2.1524800000000002</v>
      </c>
      <c r="P10" s="48">
        <f>M!D8*1</f>
        <v>8.2971299999999992</v>
      </c>
      <c r="Q10" s="48">
        <f>M!E8*1</f>
        <v>20</v>
      </c>
      <c r="R10" s="48">
        <f>IF(M!B8="","",M!F8*1)</f>
        <v>22.9832</v>
      </c>
      <c r="S10" s="48">
        <f>M!G8*1</f>
        <v>50</v>
      </c>
      <c r="T10" s="48">
        <f>IF(M!B8="","",M!H8*1)</f>
        <v>30.749700000000001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-1.3412596969124095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73.9619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73.9619</v>
      </c>
      <c r="DJ10" s="265">
        <f t="shared" si="8"/>
        <v>0.89790686285967858</v>
      </c>
      <c r="DK10" s="273">
        <f t="shared" si="9"/>
        <v>1.3349041693918311</v>
      </c>
      <c r="DL10" s="274">
        <f t="shared" si="10"/>
        <v>6.0621311743638069</v>
      </c>
      <c r="DM10"/>
      <c r="DN10"/>
    </row>
    <row r="11" spans="2:119" s="4" customFormat="1" ht="24.75" customHeight="1" thickBot="1">
      <c r="B11" s="57" t="str">
        <f>CONCATENATE(M11,"
(50 ~ 100)")</f>
        <v>밸런스
(50 ~ 100)</v>
      </c>
      <c r="C11" s="17">
        <f>R11</f>
        <v>60.4649</v>
      </c>
      <c r="D11" s="42">
        <f>N11</f>
        <v>73.9619</v>
      </c>
      <c r="E11" s="17">
        <f>T11</f>
        <v>81.5428</v>
      </c>
      <c r="F11" s="17">
        <f>P11</f>
        <v>5.4363000000000001</v>
      </c>
      <c r="G11" s="59" t="str">
        <f>CONCATENATE(M12,"
(40 ~ 100)")</f>
        <v>카리스마
(40 ~ 100)</v>
      </c>
      <c r="H11" s="17">
        <f>R12</f>
        <v>82.015900000000002</v>
      </c>
      <c r="I11" s="42">
        <f>N12</f>
        <v>84.5077</v>
      </c>
      <c r="J11" s="17">
        <f>T12</f>
        <v>86.886600000000001</v>
      </c>
      <c r="K11" s="18">
        <f>P12</f>
        <v>1.3748199999999999</v>
      </c>
      <c r="L11" s="1">
        <f>IF(M!B9="","",IF(N11&lt;U11,1,IF(N11&lt;V11,2,IF(N11&lt;W11,3,IF(N11&lt;X11,4,5)))))</f>
        <v>4</v>
      </c>
      <c r="M11" s="162" t="str">
        <f>lang!B18</f>
        <v>밸런스</v>
      </c>
      <c r="N11" s="48">
        <f>IF(M!B9="","",M!B9*1)</f>
        <v>73.9619</v>
      </c>
      <c r="O11" s="48">
        <f>M!C9*1</f>
        <v>4.0207899999999999</v>
      </c>
      <c r="P11" s="48">
        <f>M!D9*1</f>
        <v>5.4363000000000001</v>
      </c>
      <c r="Q11" s="48">
        <f>M!E9*1</f>
        <v>50</v>
      </c>
      <c r="R11" s="48">
        <f>IF(M!B9="","",M!F9*1)</f>
        <v>60.4649</v>
      </c>
      <c r="S11" s="48">
        <f>M!G9*1</f>
        <v>100</v>
      </c>
      <c r="T11" s="48">
        <f>IF(M!B9="","",M!H9*1)</f>
        <v>81.5428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0.68452818151675221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84.5077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84.5077</v>
      </c>
      <c r="DJ11" s="265">
        <f t="shared" si="8"/>
        <v>1.2957680666215021</v>
      </c>
      <c r="DK11" s="273">
        <f t="shared" si="9"/>
        <v>8.1422867785022002E-2</v>
      </c>
      <c r="DL11" s="274">
        <f t="shared" si="10"/>
        <v>2.7960509314786615</v>
      </c>
      <c r="DM11"/>
      <c r="DN11"/>
    </row>
    <row r="12" spans="2:119" s="4" customFormat="1" ht="24.75" customHeight="1" thickBot="1">
      <c r="B12" s="57" t="str">
        <f>CONCATENATE(M13,"
(10 ~ 50)")</f>
        <v>에너지
(10 ~ 50)</v>
      </c>
      <c r="C12" s="17">
        <f>R13</f>
        <v>38.3384</v>
      </c>
      <c r="D12" s="41">
        <f>N13</f>
        <v>45.267200000000003</v>
      </c>
      <c r="E12" s="43">
        <f>T13</f>
        <v>51.484900000000003</v>
      </c>
      <c r="F12" s="43">
        <f>P13</f>
        <v>7.7405099999999996</v>
      </c>
      <c r="G12" s="59" t="str">
        <f>CONCATENATE(M14,"
(50 ~ 100)")</f>
        <v>자기조절
(50 ~ 100)</v>
      </c>
      <c r="H12" s="17">
        <f>R14</f>
        <v>72.979200000000006</v>
      </c>
      <c r="I12" s="42">
        <f>N14</f>
        <v>79.142799999999994</v>
      </c>
      <c r="J12" s="17">
        <f>T14</f>
        <v>83.113200000000006</v>
      </c>
      <c r="K12" s="18">
        <f>P14</f>
        <v>2.6755200000000001</v>
      </c>
      <c r="L12" s="1">
        <f>IF(M!B10="","",IF(N12&lt;U12,1,IF(N12&lt;V12,2,IF(N12&lt;W12,3,IF(N12&lt;X12,4,5)))))</f>
        <v>5</v>
      </c>
      <c r="M12" s="162" t="str">
        <f>lang!B19</f>
        <v>카리스마</v>
      </c>
      <c r="N12" s="48">
        <f>IF(M!B10="","",M!B10*1)</f>
        <v>84.5077</v>
      </c>
      <c r="O12" s="48">
        <f>M!C10*1</f>
        <v>1.1618299999999999</v>
      </c>
      <c r="P12" s="48">
        <f>M!D10*1</f>
        <v>1.3748199999999999</v>
      </c>
      <c r="Q12" s="48">
        <f>M!E10*1</f>
        <v>40</v>
      </c>
      <c r="R12" s="48">
        <f>IF(M!B10="","",M!F10*1)</f>
        <v>82.015900000000002</v>
      </c>
      <c r="S12" s="48">
        <f>M!G10*1</f>
        <v>100</v>
      </c>
      <c r="T12" s="48">
        <f>IF(M!B10="","",M!H10*1)</f>
        <v>86.886600000000001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1.6716133253518579</v>
      </c>
      <c r="AI12" s="98">
        <v>0.31913434649697919</v>
      </c>
      <c r="AJ12" s="98">
        <v>3.8587997439955973E-2</v>
      </c>
      <c r="AK12" s="98">
        <v>1.0272327081707585E-2</v>
      </c>
      <c r="AL12" s="98">
        <v>1.9404033844491575E-2</v>
      </c>
      <c r="AM12" s="101"/>
      <c r="AN12" s="101"/>
      <c r="AO12" s="101"/>
      <c r="AP12" s="101"/>
      <c r="AX12" s="171"/>
      <c r="AY12" s="219">
        <f>N13</f>
        <v>45.267200000000003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45.267200000000003</v>
      </c>
      <c r="DJ12" s="265">
        <f t="shared" si="8"/>
        <v>4.2754703160658662</v>
      </c>
      <c r="DK12" s="273">
        <f t="shared" si="9"/>
        <v>5.7009830793365373</v>
      </c>
      <c r="DL12" s="274">
        <f t="shared" si="10"/>
        <v>15.477058474195301</v>
      </c>
      <c r="DM12"/>
      <c r="DN12"/>
    </row>
    <row r="13" spans="2:119" ht="24.75" customHeight="1" thickBot="1">
      <c r="B13" s="58" t="str">
        <f>CONCATENATE(M15,"
(10 ~ 25)")</f>
        <v>억제
(10 ~ 25)</v>
      </c>
      <c r="C13" s="44">
        <f>R15</f>
        <v>16.480799999999999</v>
      </c>
      <c r="D13" s="45">
        <f>N15</f>
        <v>22.5107</v>
      </c>
      <c r="E13" s="46">
        <f>T15</f>
        <v>36.722499999999997</v>
      </c>
      <c r="F13" s="46">
        <f>P15</f>
        <v>15.297499999999999</v>
      </c>
      <c r="G13" s="60" t="str">
        <f>CONCATENATE(M16,"
(10 ~ 50)")</f>
        <v>신경성
(10 ~ 50)</v>
      </c>
      <c r="H13" s="44">
        <f>R16</f>
        <v>1.68086</v>
      </c>
      <c r="I13" s="45">
        <f>N16</f>
        <v>34.435699999999997</v>
      </c>
      <c r="J13" s="46">
        <f>T16</f>
        <v>49.573599999999999</v>
      </c>
      <c r="K13" s="47">
        <f>P16</f>
        <v>34.173499999999997</v>
      </c>
      <c r="L13" s="1">
        <f>IF(M!B11="","",IF(N13&lt;U13,1,IF(N13&lt;V13,2,IF(N13&lt;W13,3,IF(N13&lt;X13,4,5)))))</f>
        <v>5</v>
      </c>
      <c r="M13" s="162" t="str">
        <f>lang!B20</f>
        <v>에너지</v>
      </c>
      <c r="N13" s="48">
        <f>IF(M!B11="","",M!B11*1)</f>
        <v>45.267200000000003</v>
      </c>
      <c r="O13" s="48">
        <f>M!C11*1</f>
        <v>3.5039199999999999</v>
      </c>
      <c r="P13" s="48">
        <f>M!D11*1</f>
        <v>7.7405099999999996</v>
      </c>
      <c r="Q13" s="48">
        <f>M!E11*1</f>
        <v>10</v>
      </c>
      <c r="R13" s="48">
        <f>IF(M!B11="","",M!F11*1)</f>
        <v>38.3384</v>
      </c>
      <c r="S13" s="48">
        <f>M!G11*1</f>
        <v>50</v>
      </c>
      <c r="T13" s="48">
        <f>IF(M!B11="","",M!H11*1)</f>
        <v>51.484900000000003</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5.5235293648281694</v>
      </c>
      <c r="AI13" s="98">
        <v>0.16093442074971984</v>
      </c>
      <c r="AJ13" s="98">
        <v>-1.0988594420247608E-2</v>
      </c>
      <c r="AK13" s="98">
        <v>0.37151940745754808</v>
      </c>
      <c r="AL13" s="98">
        <v>8.9062029657998948E-2</v>
      </c>
      <c r="AM13" s="96"/>
      <c r="AN13" s="96"/>
      <c r="AO13" s="96"/>
      <c r="AP13" s="96"/>
      <c r="AX13" s="171"/>
      <c r="AY13" s="219">
        <f>info!W36</f>
        <v>60.154499999999999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34.435699999999997</v>
      </c>
      <c r="DJ13" s="265">
        <f t="shared" si="8"/>
        <v>0.42634041209343654</v>
      </c>
      <c r="DK13" s="273">
        <f>IF(DH13=1,(DJ13-DF13)^2,0)</f>
        <v>1.8208054609960227E-4</v>
      </c>
      <c r="DL13" s="274">
        <f t="shared" si="10"/>
        <v>0.630848349761989</v>
      </c>
    </row>
    <row r="14" spans="2:119" ht="24.75" customHeight="1" thickBot="1">
      <c r="B14" s="1078" t="str">
        <f>lang!B3</f>
        <v>감정심리 차트</v>
      </c>
      <c r="C14" s="1079"/>
      <c r="D14" s="1079"/>
      <c r="E14" s="1079"/>
      <c r="F14" s="1080"/>
      <c r="G14" s="1075" t="str">
        <f>lang!B4</f>
        <v>평군값-감정변이도 분포율</v>
      </c>
      <c r="H14" s="1076"/>
      <c r="I14" s="1076"/>
      <c r="J14" s="1076"/>
      <c r="K14" s="1077"/>
      <c r="L14" s="1">
        <f>IF(M!B12="","",IF(N14&lt;U14,1,IF(N14&lt;V14,2,IF(N14&lt;W14,3,IF(N14&lt;X14,4,5)))))</f>
        <v>4</v>
      </c>
      <c r="M14" s="162" t="str">
        <f>lang!B21</f>
        <v>자기조절</v>
      </c>
      <c r="N14" s="48">
        <f>IF(M!B12="","",M!B12*1)</f>
        <v>79.142799999999994</v>
      </c>
      <c r="O14" s="48">
        <f>M!C12*1</f>
        <v>2.11748</v>
      </c>
      <c r="P14" s="48">
        <f>M!D12*1</f>
        <v>2.6755200000000001</v>
      </c>
      <c r="Q14" s="48">
        <f>M!E12*1</f>
        <v>50</v>
      </c>
      <c r="R14" s="48">
        <f>IF(M!B12="","",M!F12*1)</f>
        <v>72.979200000000006</v>
      </c>
      <c r="S14" s="48">
        <f>M!G12*1</f>
        <v>100</v>
      </c>
      <c r="T14" s="48">
        <f>IF(M!B12="","",M!H12*1)</f>
        <v>83.113200000000006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1.7800086534960897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61.826400000000007</v>
      </c>
      <c r="DJ14" s="265">
        <f t="shared" si="8"/>
        <v>0.51954238868715064</v>
      </c>
      <c r="DK14" s="279">
        <f t="shared" si="9"/>
        <v>0.34715775299260787</v>
      </c>
      <c r="DL14" s="280">
        <f t="shared" si="10"/>
        <v>7.0708420523470359</v>
      </c>
    </row>
    <row r="15" spans="2:119" ht="24.75" customHeight="1" thickBot="1">
      <c r="B15" s="28"/>
      <c r="C15" s="19"/>
      <c r="D15" s="19"/>
      <c r="E15" s="19"/>
      <c r="F15" s="19"/>
      <c r="G15" s="1047"/>
      <c r="H15" s="1048"/>
      <c r="I15" s="1048"/>
      <c r="J15" s="1048"/>
      <c r="K15" s="1049"/>
      <c r="L15" s="513">
        <f>IF(M!B13="","",IF(N15&lt;U15,2,IF(N15&lt;V15,2,IF(N15&lt;W15,3,IF(N15&lt;X15,4,4)))))</f>
        <v>3</v>
      </c>
      <c r="M15" s="162" t="str">
        <f>lang!B22</f>
        <v>억제</v>
      </c>
      <c r="N15" s="48">
        <f>IF(M!B13="","",M!B13*1)</f>
        <v>22.5107</v>
      </c>
      <c r="O15" s="48">
        <f>M!C13*1</f>
        <v>3.4435699999999998</v>
      </c>
      <c r="P15" s="48">
        <f>M!D13*1</f>
        <v>15.297499999999999</v>
      </c>
      <c r="Q15" s="48">
        <f>M!E13*1</f>
        <v>10</v>
      </c>
      <c r="R15" s="48">
        <f>IF(M!B13="","",M!F13*1)</f>
        <v>16.480799999999999</v>
      </c>
      <c r="S15" s="48">
        <f>M!G13*1</f>
        <v>25</v>
      </c>
      <c r="T15" s="48">
        <f>IF(M!B13="","",M!H13*1)</f>
        <v>36.722499999999997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0.81738912631694349</v>
      </c>
      <c r="AI15" s="98">
        <v>-8.3250321124619289E-2</v>
      </c>
      <c r="AJ15" s="98">
        <v>-0.44690513063775733</v>
      </c>
      <c r="AK15" s="98">
        <v>0.12052818186953573</v>
      </c>
      <c r="AL15" s="98">
        <v>-2.4174505446491225E-2</v>
      </c>
      <c r="AM15" s="96"/>
      <c r="AN15" s="96"/>
      <c r="AO15" s="96"/>
      <c r="AP15" s="96"/>
      <c r="AX15" s="171"/>
      <c r="AY15" s="50">
        <f>SUM(AY7:AY14)</f>
        <v>340.12689999999998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9.1578546791916775</v>
      </c>
      <c r="DL15" s="281">
        <f>IF(SUM($DI$7:$DI$14)&gt;0,SUM(DL7:DL14),0)</f>
        <v>43.887948109900421</v>
      </c>
      <c r="DM15" t="s">
        <v>1206</v>
      </c>
    </row>
    <row r="16" spans="2:119" ht="24.75" customHeight="1" thickBot="1">
      <c r="B16" s="20"/>
      <c r="C16"/>
      <c r="D16"/>
      <c r="E16"/>
      <c r="F16"/>
      <c r="G16" s="1121"/>
      <c r="H16" s="843"/>
      <c r="I16" s="843"/>
      <c r="J16" s="843"/>
      <c r="K16" s="844"/>
      <c r="L16" s="1">
        <f>IF(M!B14="","",IF(N16&lt;U16,1,IF(N16&lt;V16,2,IF(N16&lt;W16,3,IF(N16&lt;X16,4,5)))))</f>
        <v>3</v>
      </c>
      <c r="M16" s="162" t="str">
        <f>lang!B23</f>
        <v>신경성</v>
      </c>
      <c r="N16" s="370">
        <f>IF(M!B14="","",IF(M!B14&gt;100, 100, M!B14*1))</f>
        <v>34.435699999999997</v>
      </c>
      <c r="O16" s="48">
        <f>M!C14*1</f>
        <v>11.767899999999999</v>
      </c>
      <c r="P16" s="48">
        <f>M!D14*1</f>
        <v>34.173499999999997</v>
      </c>
      <c r="Q16" s="48">
        <f>M!E14*1</f>
        <v>10</v>
      </c>
      <c r="R16" s="48">
        <f>IF(M!B14="","",M!F14*1)</f>
        <v>1.68086</v>
      </c>
      <c r="S16" s="48">
        <f>M!G14*1</f>
        <v>50</v>
      </c>
      <c r="T16" s="48">
        <f>IF(M!B14="","",M!H14*1)</f>
        <v>49.573599999999999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0.2294690475836752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0.10919587993377784</v>
      </c>
      <c r="DL16" s="281">
        <f>IF(DL15&gt;0,1/DL15,0)</f>
        <v>2.2785298540179782E-2</v>
      </c>
      <c r="DM16" t="s">
        <v>1207</v>
      </c>
    </row>
    <row r="17" spans="2:117" ht="21" customHeight="1" thickBot="1">
      <c r="B17" s="20"/>
      <c r="C17"/>
      <c r="D17"/>
      <c r="E17"/>
      <c r="F17"/>
      <c r="G17" s="1121"/>
      <c r="H17" s="843"/>
      <c r="I17" s="843"/>
      <c r="J17" s="843"/>
      <c r="K17" s="844"/>
      <c r="M17" s="163" t="str">
        <f>lang!B7</f>
        <v>긍정감정</v>
      </c>
      <c r="N17" s="54">
        <f>SUM(N11:N14)/4</f>
        <v>70.719899999999996</v>
      </c>
      <c r="O17" s="16">
        <f>N17/(N17+N18+N19)</f>
        <v>0.56694922642626877</v>
      </c>
      <c r="P17" s="54">
        <f>SUM(P11:P14)/4</f>
        <v>4.3067874999999995</v>
      </c>
      <c r="Q17" s="16">
        <f>P17/(P17+P18+P19)</f>
        <v>9.4958218361872265E-2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0.82735948562032458</v>
      </c>
      <c r="DL17" s="283"/>
      <c r="DM17" s="284" t="s">
        <v>1208</v>
      </c>
    </row>
    <row r="18" spans="2:117" ht="21" customHeight="1">
      <c r="B18" s="20"/>
      <c r="C18"/>
      <c r="D18"/>
      <c r="E18"/>
      <c r="F18"/>
      <c r="G18" s="1121"/>
      <c r="H18" s="843"/>
      <c r="I18" s="843"/>
      <c r="J18" s="843"/>
      <c r="K18" s="844"/>
      <c r="M18" s="163" t="str">
        <f>lang!B8</f>
        <v>부정감정</v>
      </c>
      <c r="N18" s="14">
        <f>SUM(N7:N10)/4</f>
        <v>25.544524999999997</v>
      </c>
      <c r="O18" s="16">
        <f>N18/(N17+N18+N19)</f>
        <v>0.20478604591036587</v>
      </c>
      <c r="P18" s="14">
        <f>SUM(P7:P10)/4</f>
        <v>16.312265</v>
      </c>
      <c r="Q18" s="16">
        <f>P18/(P17+P18+P19)</f>
        <v>0.35966102851527421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121"/>
      <c r="H19" s="843"/>
      <c r="I19" s="843"/>
      <c r="J19" s="843"/>
      <c r="K19" s="844"/>
      <c r="M19" s="163" t="str">
        <f>lang!B9</f>
        <v>생리감정</v>
      </c>
      <c r="N19" s="14">
        <f>(N15+N16)/2</f>
        <v>28.473199999999999</v>
      </c>
      <c r="O19" s="16">
        <f>N19/(N17+N18+N19)</f>
        <v>0.22826472766336542</v>
      </c>
      <c r="P19" s="14">
        <f>(P15+P16)/2</f>
        <v>24.735499999999998</v>
      </c>
      <c r="Q19" s="16">
        <f>P19/(P17+P18+P19)</f>
        <v>0.5453807531228535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121"/>
      <c r="H20" s="843"/>
      <c r="I20" s="843"/>
      <c r="J20" s="843"/>
      <c r="K20" s="844"/>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121"/>
      <c r="H21" s="843"/>
      <c r="I21" s="843"/>
      <c r="J21" s="843"/>
      <c r="K21" s="844"/>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122"/>
      <c r="H22" s="1123"/>
      <c r="I22" s="1123"/>
      <c r="J22" s="1123"/>
      <c r="K22" s="112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64" t="str">
        <f>lang!B5</f>
        <v>주파수 히스토그램</v>
      </c>
      <c r="C23" s="1065"/>
      <c r="D23" s="1065"/>
      <c r="E23" s="1065"/>
      <c r="F23" s="1066"/>
      <c r="G23" s="1118" t="str">
        <f>lang!B6</f>
        <v>I-E 그래프</v>
      </c>
      <c r="H23" s="1119"/>
      <c r="I23" s="1119"/>
      <c r="J23" s="1119"/>
      <c r="K23" s="1120"/>
      <c r="M23" s="11"/>
      <c r="O23" s="13"/>
      <c r="Q23"/>
      <c r="T23"/>
    </row>
    <row r="24" spans="2:117" ht="15" customHeight="1" thickBot="1">
      <c r="B24" s="33" t="str">
        <f>lang!B10</f>
        <v>평균값(Mf)</v>
      </c>
      <c r="C24" s="30">
        <f>FH_info!F2*1</f>
        <v>2.7156799999999999</v>
      </c>
      <c r="D24" s="34" t="str">
        <f>lang!B11</f>
        <v>편차</v>
      </c>
      <c r="E24" s="1127">
        <f>FH_info!G2*1</f>
        <v>0.47032499999999999</v>
      </c>
      <c r="F24" s="1128"/>
      <c r="G24" s="1125" t="str">
        <f>lang!B12</f>
        <v>정보(I)변화량</v>
      </c>
      <c r="H24" s="1126"/>
      <c r="I24" s="51" t="str">
        <f ca="1">CONCATENATE(info!N7,"-",info!N8)</f>
        <v>35.7-55.1</v>
      </c>
      <c r="J24" s="32" t="str">
        <f>lang!B13</f>
        <v>Kcal/분</v>
      </c>
      <c r="K24" s="31" t="str">
        <f ca="1">CONCATENATE(info!N5,"-",info!N6)</f>
        <v>5.2-5.9</v>
      </c>
      <c r="M24" s="11"/>
      <c r="O24" s="13"/>
      <c r="Q24"/>
      <c r="T24"/>
    </row>
    <row r="25" spans="2:117" ht="156.75" customHeight="1" thickBot="1">
      <c r="B25" s="1111" ph="1"/>
      <c r="C25" s="1112" ph="1"/>
      <c r="D25" s="1112" ph="1"/>
      <c r="E25" s="1113" ph="1"/>
      <c r="F25" s="29" ph="1"/>
      <c r="G25" s="1114"/>
      <c r="H25" s="1115"/>
      <c r="I25" s="1115"/>
      <c r="J25" s="1116"/>
      <c r="K25" s="1117"/>
      <c r="M25" s="11"/>
      <c r="O25" s="13"/>
      <c r="P25" s="13"/>
      <c r="Q25"/>
      <c r="T25"/>
    </row>
    <row r="26" spans="2:117" ht="15" customHeight="1" thickBot="1">
      <c r="B26" s="1094" t="str">
        <f>CONCATENATE( lang!B31," ",ROUND(100-FH_info!L2,0),"%]")</f>
        <v>외향성-심리안정성 결과 [품질 [ 0%]</v>
      </c>
      <c r="C26" s="1095"/>
      <c r="D26" s="1095"/>
      <c r="E26" s="1095"/>
      <c r="F26" s="1095"/>
      <c r="G26" s="1095"/>
      <c r="H26" s="1095"/>
      <c r="I26" s="1095"/>
      <c r="J26" s="1095"/>
      <c r="K26" s="1096"/>
      <c r="M26"/>
      <c r="O26" s="13"/>
      <c r="Q26"/>
      <c r="T26"/>
      <c r="AQ26" s="287" t="s">
        <v>2168</v>
      </c>
      <c r="CG26" s="287" t="s">
        <v>1875</v>
      </c>
    </row>
    <row r="27" spans="2:117" ht="16.8" thickBot="1">
      <c r="B27" s="1108" t="str">
        <f>lang!B32</f>
        <v>외향성</v>
      </c>
      <c r="C27" s="1109"/>
      <c r="D27" s="1110"/>
      <c r="E27" s="1094">
        <f>M!B18*100</f>
        <v>61.826400000000007</v>
      </c>
      <c r="F27" s="1096"/>
      <c r="G27" s="1108" t="str">
        <f>lang!B33</f>
        <v>정서안정성</v>
      </c>
      <c r="H27" s="1109"/>
      <c r="I27" s="1110"/>
      <c r="J27" s="1016">
        <f>M!B19*100</f>
        <v>30.553699999999999</v>
      </c>
      <c r="K27" s="1018"/>
      <c r="M27"/>
      <c r="Q27"/>
      <c r="T27"/>
      <c r="AQ27" s="1132" t="s">
        <v>2172</v>
      </c>
      <c r="AR27" s="1133" t="s">
        <v>2181</v>
      </c>
      <c r="AS27" s="505" t="s">
        <v>2174</v>
      </c>
      <c r="AT27" s="506" t="s">
        <v>2175</v>
      </c>
      <c r="CG27" t="s">
        <v>2097</v>
      </c>
      <c r="CJ27" s="287" t="s">
        <v>2029</v>
      </c>
    </row>
    <row r="28" spans="2:117" ht="24.75" customHeight="1">
      <c r="B28" s="1097" t="str">
        <f>lang!B34</f>
        <v>당신의 정신기능상태의 측정 결과는</v>
      </c>
      <c r="C28" s="1098"/>
      <c r="D28" s="1098"/>
      <c r="E28" s="1098"/>
      <c r="F28" s="1098"/>
      <c r="G28" s="1098"/>
      <c r="H28" s="1098"/>
      <c r="I28" s="1098"/>
      <c r="J28" s="1098"/>
      <c r="K28" s="1099"/>
      <c r="AQ28" s="1132"/>
      <c r="AR28" s="11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132"/>
      <c r="AR29" s="11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132"/>
      <c r="AR30" s="1134"/>
      <c r="AS30" s="510" t="s">
        <v>2184</v>
      </c>
      <c r="AT30" s="511" t="s">
        <v>1637</v>
      </c>
      <c r="CG30" t="s">
        <v>2100</v>
      </c>
      <c r="CJ30" t="s">
        <v>2024</v>
      </c>
    </row>
    <row r="31" spans="2:117" ht="21" customHeight="1">
      <c r="B31" s="1104" t="str">
        <f>lang!B37</f>
        <v>의 견</v>
      </c>
      <c r="C31" s="1105"/>
      <c r="D31" s="1106"/>
      <c r="E31" s="1106"/>
      <c r="F31" s="1106"/>
      <c r="G31" s="1106"/>
      <c r="H31" s="1106"/>
      <c r="I31" s="1106"/>
      <c r="J31" s="1106"/>
      <c r="K31" s="1107"/>
      <c r="M31"/>
      <c r="Q31"/>
      <c r="T31"/>
      <c r="W31" s="23"/>
      <c r="X31" s="23"/>
      <c r="CJ31" t="s">
        <v>2025</v>
      </c>
    </row>
    <row r="32" spans="2:117" ht="18" customHeight="1">
      <c r="B32" s="1088"/>
      <c r="C32" s="1089"/>
      <c r="D32" s="1089"/>
      <c r="E32" s="1089"/>
      <c r="F32" s="1089"/>
      <c r="G32" s="1089"/>
      <c r="H32" s="1089"/>
      <c r="I32" s="1089"/>
      <c r="J32" s="1089"/>
      <c r="K32" s="1090"/>
      <c r="M32"/>
      <c r="Q32"/>
      <c r="T32"/>
      <c r="W32" s="23"/>
      <c r="X32" s="23"/>
    </row>
    <row r="33" spans="2:91" ht="20.25" customHeight="1">
      <c r="B33" s="1088"/>
      <c r="C33" s="1089"/>
      <c r="D33" s="1089"/>
      <c r="E33" s="1089"/>
      <c r="F33" s="1089"/>
      <c r="G33" s="1089"/>
      <c r="H33" s="1089"/>
      <c r="I33" s="1089"/>
      <c r="J33" s="1089"/>
      <c r="K33" s="1090"/>
      <c r="M33"/>
      <c r="Q33"/>
      <c r="T33"/>
      <c r="W33" s="23"/>
      <c r="X33" s="23"/>
    </row>
    <row r="34" spans="2:91" ht="35.25" customHeight="1" thickBot="1">
      <c r="B34" s="1091"/>
      <c r="C34" s="1092"/>
      <c r="D34" s="1092"/>
      <c r="E34" s="1092"/>
      <c r="F34" s="1092"/>
      <c r="G34" s="1092"/>
      <c r="H34" s="1092"/>
      <c r="I34" s="1092"/>
      <c r="J34" s="1092"/>
      <c r="K34" s="1093"/>
      <c r="M34"/>
      <c r="Q34"/>
      <c r="T34"/>
      <c r="W34" s="23"/>
      <c r="X34" s="23"/>
      <c r="AQ34" s="287" t="s">
        <v>2180</v>
      </c>
    </row>
    <row r="35" spans="2:91" ht="33.6" customHeight="1" thickBot="1">
      <c r="M35"/>
      <c r="Q35"/>
      <c r="T35"/>
      <c r="U35" s="287" t="s">
        <v>2168</v>
      </c>
      <c r="W35" s="23"/>
      <c r="X35" s="23"/>
      <c r="Y35" t="s">
        <v>2169</v>
      </c>
      <c r="AQ35" s="1132" t="s">
        <v>2172</v>
      </c>
      <c r="AR35" s="11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132"/>
      <c r="AR36" s="11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132"/>
      <c r="AR37" s="11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132"/>
      <c r="AR38" s="11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039" t="s">
        <v>2104</v>
      </c>
      <c r="CL55" s="103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031" t="s">
        <v>2111</v>
      </c>
      <c r="CM65" s="473" t="s">
        <v>2112</v>
      </c>
    </row>
    <row r="66" spans="26:91">
      <c r="CJ66" s="1"/>
      <c r="CK66" s="474"/>
      <c r="CL66" s="1032"/>
      <c r="CM66" s="473" t="s">
        <v>2076</v>
      </c>
    </row>
    <row r="67" spans="26:91" ht="33">
      <c r="Z67" s="490" t="s">
        <v>2128</v>
      </c>
      <c r="AA67" s="1029" t="s">
        <v>2129</v>
      </c>
      <c r="AB67" s="1029"/>
      <c r="AC67" s="1029" t="s">
        <v>2130</v>
      </c>
      <c r="AD67" s="1029"/>
      <c r="AE67" s="1029" t="s">
        <v>2131</v>
      </c>
      <c r="AF67" s="1029"/>
      <c r="AG67" s="1030" t="s">
        <v>2132</v>
      </c>
      <c r="AH67" s="1030"/>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03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03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U5:X5"/>
    <mergeCell ref="AQ27:AQ30"/>
    <mergeCell ref="AR27:AR30"/>
    <mergeCell ref="AQ35:AQ38"/>
    <mergeCell ref="AR35:AR38"/>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H6:K6"/>
    <mergeCell ref="C5:F5"/>
    <mergeCell ref="C6:F6"/>
    <mergeCell ref="B23:F23"/>
    <mergeCell ref="C1:I1"/>
    <mergeCell ref="B2:K3"/>
    <mergeCell ref="G14:K14"/>
    <mergeCell ref="B14:F14"/>
    <mergeCell ref="C4:F4"/>
    <mergeCell ref="H4:K4"/>
    <mergeCell ref="H5:K5"/>
    <mergeCell ref="DD4:DG4"/>
    <mergeCell ref="DH4:DL5"/>
    <mergeCell ref="DB5:DC5"/>
    <mergeCell ref="DD5:DE5"/>
    <mergeCell ref="DF5:DG5"/>
    <mergeCell ref="CL75:CL76"/>
    <mergeCell ref="CN6:CQ6"/>
    <mergeCell ref="CS6:CV6"/>
    <mergeCell ref="CW6:CY6"/>
    <mergeCell ref="CK55:CL55"/>
    <mergeCell ref="CL65:CL66"/>
    <mergeCell ref="CN7:CQ7"/>
    <mergeCell ref="CR7:CU7"/>
    <mergeCell ref="CV7:CW7"/>
    <mergeCell ref="AA67:AB67"/>
    <mergeCell ref="AC67:AD67"/>
    <mergeCell ref="AE67:AF67"/>
    <mergeCell ref="AG67:AH67"/>
    <mergeCell ref="Z3:AA3"/>
    <mergeCell ref="AB3:AC3"/>
    <mergeCell ref="AD3:AE3"/>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5.1814200000000001</v>
      </c>
      <c r="H2" s="50">
        <f>IF(FT!B2&lt;&gt;"",FT!B2*100,"")</f>
        <v>44.1511</v>
      </c>
      <c r="I2" s="50">
        <f>(IF(G2&lt;&gt;"",1,""))</f>
        <v>1</v>
      </c>
      <c r="J2" t="str">
        <f>IF(FT!B2&lt;&gt;"",FT!E2,"")</f>
        <v>0 [0.000000]</v>
      </c>
      <c r="K2">
        <f>IF(FT!B2&lt;&gt;"",IF(FT!C2&lt;&gt;"",FT!C2,F2/$M$3*$M$4),"")</f>
        <v>0</v>
      </c>
      <c r="L2" t="s">
        <v>52</v>
      </c>
      <c r="M2">
        <f>FH_info!E2</f>
        <v>4.9234099999999996</v>
      </c>
      <c r="N2" s="75">
        <f>LOOKUP(O3,A2:A1000,B2:B1000)</f>
        <v>2.7995860784313722</v>
      </c>
      <c r="O2" s="50">
        <f>MAX(C2:C1000)</f>
        <v>1</v>
      </c>
      <c r="P2" t="s">
        <v>60</v>
      </c>
      <c r="Q2" t="s">
        <v>61</v>
      </c>
      <c r="R2" t="s">
        <v>62</v>
      </c>
      <c r="S2" t="s">
        <v>63</v>
      </c>
      <c r="T2" t="s">
        <v>64</v>
      </c>
      <c r="V2" s="50">
        <f>FT!G2*10</f>
        <v>5.3865400000000001</v>
      </c>
      <c r="W2" s="50">
        <f>FT!H2*100</f>
        <v>47.546300000000002</v>
      </c>
      <c r="Y2">
        <f>IF(I2=1,H2/G2,"")</f>
        <v>8.5210424941425327</v>
      </c>
      <c r="Z2">
        <f>AVERAGE(Y2:Y2000)</f>
        <v>8.8852569618507697</v>
      </c>
      <c r="AB2" s="843" t="s">
        <v>450</v>
      </c>
      <c r="AC2" s="843"/>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5.1876800000000003</v>
      </c>
      <c r="H3" s="50">
        <f>IF(FT!B3&lt;&gt;"",FT!B3*100,"")</f>
        <v>44.479100000000003</v>
      </c>
      <c r="I3" s="50">
        <f t="shared" ref="I3:I66" si="2">(IF(G3&lt;&gt;"",1,""))</f>
        <v>1</v>
      </c>
      <c r="J3" t="str">
        <f>IF(FT!B3&lt;&gt;"",FT!E3,"")</f>
        <v>0 [0.358031]</v>
      </c>
      <c r="K3">
        <f>IF(FT!B3&lt;&gt;"",IF(FT!C3&lt;&gt;"",FT!C3,F3/$M$3*$M$4),"")</f>
        <v>0.35803099999999999</v>
      </c>
      <c r="L3" t="s">
        <v>53</v>
      </c>
      <c r="M3">
        <f>SUM(I2:I2005)</f>
        <v>146</v>
      </c>
      <c r="O3" s="104">
        <f>MATCH(O2,C2:C1000,0)-1</f>
        <v>145</v>
      </c>
      <c r="P3">
        <v>0</v>
      </c>
      <c r="Q3">
        <v>0</v>
      </c>
      <c r="R3">
        <f>IF(S4=0,M3,0)</f>
        <v>146</v>
      </c>
      <c r="S3">
        <f t="array" ref="S3">MAX(IF(ft_nq=0,row_n))</f>
        <v>1998</v>
      </c>
      <c r="T3">
        <f>R3-Q3</f>
        <v>146</v>
      </c>
      <c r="V3" s="50">
        <f>FT!G3*10</f>
        <v>5.2705400000000004</v>
      </c>
      <c r="W3" s="50">
        <f>FT!H3*100</f>
        <v>41.843299999999999</v>
      </c>
      <c r="Y3" s="75">
        <f t="shared" ref="Y3:Y66" si="3">IF(I3=1,H3/G3,"")</f>
        <v>8.573986830336489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5.1988199999999996</v>
      </c>
      <c r="H4" s="50">
        <f>IF(FT!B4&lt;&gt;"",FT!B4*100,"")</f>
        <v>44.781300000000002</v>
      </c>
      <c r="I4" s="50">
        <f t="shared" si="2"/>
        <v>1</v>
      </c>
      <c r="J4" t="str">
        <f>IF(FT!B4&lt;&gt;"",FT!E4,"")</f>
        <v>0 [0.766893]</v>
      </c>
      <c r="K4">
        <f>IF(FT!B4&lt;&gt;"",IF(FT!C4&lt;&gt;"",FT!C4,F4/$M$3*$M$4),"")</f>
        <v>0.76689300000000005</v>
      </c>
      <c r="L4" t="s">
        <v>246</v>
      </c>
      <c r="M4">
        <f>IF(M2&lt;&gt;0,M3/M2*2,0)</f>
        <v>59.308487410148665</v>
      </c>
      <c r="P4">
        <f>P3+1</f>
        <v>1</v>
      </c>
      <c r="Q4">
        <v>0</v>
      </c>
      <c r="R4">
        <f>IF(S4=1998,0,S4)</f>
        <v>0</v>
      </c>
      <c r="S4">
        <f t="array" ref="S4">MAX(IF(ft_nq=P4,row_n))</f>
        <v>0</v>
      </c>
      <c r="T4">
        <f>R4-Q4+1</f>
        <v>1</v>
      </c>
      <c r="V4" t="s">
        <v>209</v>
      </c>
      <c r="W4" s="23">
        <f>IF(ISERROR(V3-V2)=FALSE,(V3-V2)*10,0)</f>
        <v>-1.1599999999999966</v>
      </c>
      <c r="Y4" s="75">
        <f t="shared" si="3"/>
        <v>8.6137431186307669</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0</v>
      </c>
      <c r="AM4">
        <f t="shared" si="4"/>
        <v>0</v>
      </c>
      <c r="AN4">
        <f t="shared" si="4"/>
        <v>0</v>
      </c>
      <c r="AO4">
        <f t="shared" si="4"/>
        <v>1</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0.34860392815826158</v>
      </c>
      <c r="E5" s="50">
        <f t="shared" si="1"/>
        <v>2.2686280082898476E-5</v>
      </c>
      <c r="F5">
        <f t="shared" si="6"/>
        <v>3</v>
      </c>
      <c r="G5" s="50">
        <f>IF(FT!A5&lt;&gt;"",FT!A5*10,"")</f>
        <v>5.2140299999999993</v>
      </c>
      <c r="H5" s="50">
        <f>IF(FT!B5&lt;&gt;"",FT!B5*100,"")</f>
        <v>45.132199999999997</v>
      </c>
      <c r="I5" s="50">
        <f t="shared" si="2"/>
        <v>1</v>
      </c>
      <c r="J5" t="str">
        <f>IF(FT!B5&lt;&gt;"",FT!E5,"")</f>
        <v>0 [1.173464]</v>
      </c>
      <c r="K5">
        <f>IF(FT!B5&lt;&gt;"",IF(FT!C5&lt;&gt;"",FT!C5,F5/$M$3*$M$4),"")</f>
        <v>1.1734599999999999</v>
      </c>
      <c r="L5" t="s">
        <v>54</v>
      </c>
      <c r="M5" s="52">
        <f ca="1">IF(M3&gt;0,MIN(FT_E),0)</f>
        <v>5.1814200000000001</v>
      </c>
      <c r="N5" s="52">
        <f ca="1">IF(M3&gt;0,ROUND(M5,1),0)</f>
        <v>5.2</v>
      </c>
      <c r="P5">
        <f t="shared" ref="P5:P27" si="10">P4+1</f>
        <v>2</v>
      </c>
      <c r="Q5">
        <f>IF(S5=1998,0,R4)</f>
        <v>0</v>
      </c>
      <c r="R5">
        <f>IF(S5=1998,0,S5)</f>
        <v>0</v>
      </c>
      <c r="S5">
        <f t="array" ref="S5">MAX(IF(ft_nq=P5,row_n))</f>
        <v>0</v>
      </c>
      <c r="T5">
        <f t="shared" ref="T5:T27" si="11">R5-Q5+1</f>
        <v>1</v>
      </c>
      <c r="V5" t="s">
        <v>210</v>
      </c>
      <c r="W5" s="23">
        <f>IF(ISERROR(W3-W2)=FALSE,W3-W2,0)</f>
        <v>-5.703000000000003</v>
      </c>
      <c r="Y5" s="75">
        <f t="shared" si="3"/>
        <v>8.655914906511855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5.2316099999999999</v>
      </c>
      <c r="H6" s="50">
        <f>IF(FT!B6&lt;&gt;"",FT!B6*100,"")</f>
        <v>45.520300000000006</v>
      </c>
      <c r="I6" s="50">
        <f t="shared" si="2"/>
        <v>1</v>
      </c>
      <c r="J6" t="str">
        <f>IF(FT!B6&lt;&gt;"",FT!E6,"")</f>
        <v>0 [1.571126]</v>
      </c>
      <c r="K6">
        <f>IF(FT!B6&lt;&gt;"",IF(FT!C6&lt;&gt;"",FT!C6,F6/$M$3*$M$4),"")</f>
        <v>1.5711299999999999</v>
      </c>
      <c r="L6" t="s">
        <v>55</v>
      </c>
      <c r="M6" s="52">
        <f ca="1">IF(M3&gt;0,MAX(FT_E),0)</f>
        <v>5.935550000000001</v>
      </c>
      <c r="N6" s="52">
        <f ca="1">IF(M3&gt;0,ROUND(M6,1),0)</f>
        <v>5.9</v>
      </c>
      <c r="P6">
        <f t="shared" si="10"/>
        <v>3</v>
      </c>
      <c r="Q6">
        <f t="shared" ref="Q6:Q27" si="12">IF(S6=1998,0,R5)</f>
        <v>0</v>
      </c>
      <c r="R6">
        <f t="shared" ref="R6:R27" si="13">IF(S6=1998,0,S6)</f>
        <v>0</v>
      </c>
      <c r="S6">
        <f t="array" ref="S6">MAX(IF(ft_nq=P6,row_n))</f>
        <v>0</v>
      </c>
      <c r="T6">
        <f t="shared" si="11"/>
        <v>1</v>
      </c>
      <c r="V6" t="s">
        <v>211</v>
      </c>
      <c r="W6" s="23">
        <f>IF(W4&lt;&gt;0,W5/W4,0)</f>
        <v>4.916379310344845</v>
      </c>
      <c r="Y6" s="75">
        <f t="shared" si="3"/>
        <v>8.7010117344373921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5.2475700000000005</v>
      </c>
      <c r="H7" s="50">
        <f>IF(FT!B7&lt;&gt;"",FT!B7*100,"")</f>
        <v>45.759599999999999</v>
      </c>
      <c r="I7" s="50">
        <f t="shared" si="2"/>
        <v>1</v>
      </c>
      <c r="J7" t="str">
        <f>IF(FT!B7&lt;&gt;"",FT!E7,"")</f>
        <v>0 [1.983445]</v>
      </c>
      <c r="K7">
        <f>IF(FT!B7&lt;&gt;"",IF(FT!C7&lt;&gt;"",FT!C7,F7/$M$3*$M$4),"")</f>
        <v>1.9834499999999999</v>
      </c>
      <c r="L7" t="s">
        <v>56</v>
      </c>
      <c r="M7" s="366">
        <f ca="1">IF(M3&gt;0,MIN(FT_PH),0)</f>
        <v>35.736899999999999</v>
      </c>
      <c r="N7" s="52">
        <f ca="1">IF(M3&gt;0,ROUND(M7,1),0)</f>
        <v>35.700000000000003</v>
      </c>
      <c r="P7">
        <f t="shared" si="10"/>
        <v>4</v>
      </c>
      <c r="Q7">
        <f t="shared" si="12"/>
        <v>0</v>
      </c>
      <c r="R7">
        <f t="shared" si="13"/>
        <v>0</v>
      </c>
      <c r="S7">
        <f t="array" ref="S7">MAX(IF(ft_nq=P7,row_n))</f>
        <v>0</v>
      </c>
      <c r="T7">
        <f t="shared" si="11"/>
        <v>1</v>
      </c>
      <c r="V7" t="s">
        <v>212</v>
      </c>
      <c r="W7" s="23">
        <f>DEGREES(ATAN(W6))</f>
        <v>78.502782915404438</v>
      </c>
      <c r="X7" s="106">
        <v>0.05</v>
      </c>
      <c r="Y7" s="75">
        <f t="shared" si="3"/>
        <v>8.7201504696459491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0.58597738936573662</v>
      </c>
      <c r="E8" s="50">
        <f t="shared" si="1"/>
        <v>4.239235128206329E-5</v>
      </c>
      <c r="F8">
        <f t="shared" si="6"/>
        <v>6</v>
      </c>
      <c r="G8" s="50">
        <f>IF(FT!A8&lt;&gt;"",FT!A8*10,"")</f>
        <v>5.2645099999999996</v>
      </c>
      <c r="H8" s="50">
        <f>IF(FT!B8&lt;&gt;"",FT!B8*100,"")</f>
        <v>45.951999999999998</v>
      </c>
      <c r="I8" s="50">
        <f t="shared" si="2"/>
        <v>1</v>
      </c>
      <c r="J8" t="str">
        <f>IF(FT!B8&lt;&gt;"",FT!E8,"")</f>
        <v>0 [2.390283]</v>
      </c>
      <c r="K8">
        <f>IF(FT!B8&lt;&gt;"",IF(FT!C8&lt;&gt;"",FT!C8,F8/$M$3*$M$4),"")</f>
        <v>2.3902800000000002</v>
      </c>
      <c r="L8" t="s">
        <v>57</v>
      </c>
      <c r="M8" s="52">
        <f ca="1">IF(M3&gt;0,MAX(FT_PH),0)</f>
        <v>55.148099999999999</v>
      </c>
      <c r="N8" s="52">
        <f ca="1">IF(M3&gt;0,ROUND(M8,1),0)</f>
        <v>55.1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8.7286376129972219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5.2809499999999998</v>
      </c>
      <c r="H9" s="50">
        <f>IF(FT!B9&lt;&gt;"",FT!B9*100,"")</f>
        <v>46.172999999999995</v>
      </c>
      <c r="I9" s="50">
        <f t="shared" si="2"/>
        <v>1</v>
      </c>
      <c r="J9" t="str">
        <f>IF(FT!B9&lt;&gt;"",FT!E9,"")</f>
        <v>0 [2.799286]</v>
      </c>
      <c r="K9">
        <f>IF(FT!B9&lt;&gt;"",IF(FT!C9&lt;&gt;"",FT!C9,F9/$M$3*$M$4),"")</f>
        <v>2.7992900000000001</v>
      </c>
      <c r="L9" t="s">
        <v>222</v>
      </c>
      <c r="M9" s="74">
        <f ca="1">IF(M3&gt;0,IF(COUNT(FT_E)&gt;0,AVERAGE(FT_E),0),0)</f>
        <v>5.5557078082191804</v>
      </c>
      <c r="N9" s="365">
        <f ca="1">IF(M3&gt;0,IF(COUNT(FT_PH)&gt;0,AVERAGE(FT_PH),0),0)</f>
        <v>49.461154109589025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8.743313229627244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0.65954684226973137</v>
      </c>
      <c r="E10" s="50">
        <f t="shared" si="1"/>
        <v>6.3640932711193118E-5</v>
      </c>
      <c r="F10">
        <f t="shared" si="6"/>
        <v>8</v>
      </c>
      <c r="G10" s="50">
        <f>IF(FT!A10&lt;&gt;"",FT!A10*10,"")</f>
        <v>5.2976599999999996</v>
      </c>
      <c r="H10" s="50">
        <f>IF(FT!B10&lt;&gt;"",FT!B10*100,"")</f>
        <v>46.456800000000001</v>
      </c>
      <c r="I10" s="50">
        <f t="shared" si="2"/>
        <v>1</v>
      </c>
      <c r="J10" t="str">
        <f>IF(FT!B10&lt;&gt;"",FT!E10,"")</f>
        <v>0 [3.200539]</v>
      </c>
      <c r="K10">
        <f>IF(FT!B10&lt;&gt;"",IF(FT!C10&lt;&gt;"",FT!C10,F10/$M$3*$M$4),"")</f>
        <v>3.2005400000000002</v>
      </c>
      <c r="M10">
        <v>2</v>
      </c>
      <c r="P10">
        <f t="shared" si="10"/>
        <v>7</v>
      </c>
      <c r="Q10">
        <f t="shared" si="12"/>
        <v>0</v>
      </c>
      <c r="R10">
        <f t="shared" si="13"/>
        <v>0</v>
      </c>
      <c r="S10">
        <f t="array" ref="S10">MAX(IF(ft_nq=P10,row_n))</f>
        <v>0</v>
      </c>
      <c r="T10">
        <f t="shared" si="11"/>
        <v>1</v>
      </c>
      <c r="V10" t="s">
        <v>215</v>
      </c>
      <c r="X10" s="71" t="s">
        <v>270</v>
      </c>
      <c r="Y10" s="75">
        <f t="shared" si="3"/>
        <v>8.7693056934571114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5.314449999999999</v>
      </c>
      <c r="H11" s="50">
        <f>IF(FT!B11&lt;&gt;"",FT!B11*100,"")</f>
        <v>46.692999999999998</v>
      </c>
      <c r="I11" s="50">
        <f t="shared" si="2"/>
        <v>1</v>
      </c>
      <c r="J11" t="str">
        <f>IF(FT!B11&lt;&gt;"",FT!E11,"")</f>
        <v>0 [3.616346]</v>
      </c>
      <c r="K11">
        <f>IF(FT!B11&lt;&gt;"",IF(FT!C11&lt;&gt;"",FT!C11,F11/$M$3*$M$4),"")</f>
        <v>3.6163500000000002</v>
      </c>
      <c r="M11" s="49">
        <f>MAX(IF(ft_nq=1,row_n))</f>
        <v>0</v>
      </c>
      <c r="P11">
        <f t="shared" si="10"/>
        <v>8</v>
      </c>
      <c r="Q11">
        <f t="shared" si="12"/>
        <v>0</v>
      </c>
      <c r="R11">
        <f t="shared" si="13"/>
        <v>0</v>
      </c>
      <c r="S11">
        <f t="array" ref="S11">MAX(IF(ft_nq=P11,row_n))</f>
        <v>0</v>
      </c>
      <c r="T11">
        <f t="shared" si="11"/>
        <v>1</v>
      </c>
      <c r="V11" s="71" t="s">
        <v>216</v>
      </c>
      <c r="W11" s="23">
        <f>FT!H11*100</f>
        <v>35.736899999999999</v>
      </c>
      <c r="Y11" s="75">
        <f t="shared" si="3"/>
        <v>8.7860455926765724</v>
      </c>
      <c r="AB11" s="1">
        <v>80</v>
      </c>
      <c r="AC11" s="1">
        <v>90</v>
      </c>
      <c r="AD11" s="1">
        <f t="shared" si="7"/>
        <v>1</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5.3335400000000002</v>
      </c>
      <c r="H12" s="50">
        <f>IF(FT!B12&lt;&gt;"",FT!B12*100,"")</f>
        <v>46.867599999999996</v>
      </c>
      <c r="I12" s="50">
        <f t="shared" si="2"/>
        <v>1</v>
      </c>
      <c r="J12" t="str">
        <f>IF(FT!B12&lt;&gt;"",FT!E12,"")</f>
        <v>0 [4.012355]</v>
      </c>
      <c r="K12">
        <f>IF(FT!B12&lt;&gt;"",IF(FT!C12&lt;&gt;"",FT!C12,F12/$M$3*$M$4),"")</f>
        <v>4.0123600000000001</v>
      </c>
      <c r="M12">
        <f>M11+1</f>
        <v>1</v>
      </c>
      <c r="P12">
        <f t="shared" si="10"/>
        <v>9</v>
      </c>
      <c r="Q12">
        <f t="shared" si="12"/>
        <v>0</v>
      </c>
      <c r="R12">
        <f t="shared" si="13"/>
        <v>0</v>
      </c>
      <c r="S12">
        <f t="array" ref="S12">MAX(IF(ft_nq=P12,row_n))</f>
        <v>0</v>
      </c>
      <c r="T12">
        <f t="shared" si="11"/>
        <v>1</v>
      </c>
      <c r="V12" s="71" t="s">
        <v>217</v>
      </c>
      <c r="W12" s="23">
        <f>FT!H12*100</f>
        <v>55.148099999999999</v>
      </c>
      <c r="Y12" s="75">
        <f t="shared" si="3"/>
        <v>8.7873344907884814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0.63433311342078502</v>
      </c>
      <c r="E13" s="50">
        <f t="shared" si="1"/>
        <v>1.1522836836240688E-4</v>
      </c>
      <c r="F13">
        <f t="shared" si="6"/>
        <v>11</v>
      </c>
      <c r="G13" s="50">
        <f>IF(FT!A13&lt;&gt;"",FT!A13*10,"")</f>
        <v>5.3522800000000004</v>
      </c>
      <c r="H13" s="50">
        <f>IF(FT!B13&lt;&gt;"",FT!B13*100,"")</f>
        <v>47.056799999999996</v>
      </c>
      <c r="I13" s="50">
        <f t="shared" si="2"/>
        <v>1</v>
      </c>
      <c r="J13" t="str">
        <f>IF(FT!B13&lt;&gt;"",FT!E13,"")</f>
        <v>0 [4.417979]</v>
      </c>
      <c r="K13">
        <f>IF(FT!B13&lt;&gt;"",IF(FT!C13&lt;&gt;"",FT!C13,F13/$M$3*$M$4),"")</f>
        <v>4.41798</v>
      </c>
      <c r="M13" s="49">
        <f t="array" ref="M13">MAX(IF(ft_nq=2,row_n))</f>
        <v>0</v>
      </c>
      <c r="P13">
        <f t="shared" si="10"/>
        <v>10</v>
      </c>
      <c r="Q13">
        <f t="shared" si="12"/>
        <v>0</v>
      </c>
      <c r="R13">
        <f t="shared" si="13"/>
        <v>0</v>
      </c>
      <c r="S13">
        <f t="array" ref="S13">MAX(IF(ft_nq=P13,row_n))</f>
        <v>0</v>
      </c>
      <c r="T13">
        <f t="shared" si="11"/>
        <v>1</v>
      </c>
      <c r="V13" s="71" t="s">
        <v>219</v>
      </c>
      <c r="W13">
        <f>FT!H13</f>
        <v>145</v>
      </c>
      <c r="Y13" s="75">
        <f t="shared" si="3"/>
        <v>8.7919167158668809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5.3695899999999996</v>
      </c>
      <c r="H14" s="50">
        <f>IF(FT!B14&lt;&gt;"",FT!B14*100,"")</f>
        <v>47.295500000000004</v>
      </c>
      <c r="I14" s="50">
        <f t="shared" si="2"/>
        <v>1</v>
      </c>
      <c r="J14" t="str">
        <f>IF(FT!B14&lt;&gt;"",FT!E14,"")</f>
        <v>0 [4.825884]</v>
      </c>
      <c r="K14">
        <f>IF(FT!B14&lt;&gt;"",IF(FT!C14&lt;&gt;"",FT!C14,F14/$M$3*$M$4),"")</f>
        <v>4.8258799999999997</v>
      </c>
      <c r="M14">
        <f>M13+1</f>
        <v>1</v>
      </c>
      <c r="P14">
        <f t="shared" si="10"/>
        <v>11</v>
      </c>
      <c r="Q14">
        <f t="shared" si="12"/>
        <v>0</v>
      </c>
      <c r="R14">
        <f t="shared" si="13"/>
        <v>0</v>
      </c>
      <c r="S14">
        <f t="array" ref="S14">MAX(IF(ft_nq=P14,row_n))</f>
        <v>0</v>
      </c>
      <c r="T14">
        <f t="shared" si="11"/>
        <v>1</v>
      </c>
      <c r="V14" s="71" t="s">
        <v>221</v>
      </c>
      <c r="W14">
        <f>FT!H14</f>
        <v>60</v>
      </c>
      <c r="Y14" s="75">
        <f t="shared" si="3"/>
        <v>8.8080281734732093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0.62070661128621363</v>
      </c>
      <c r="E15" s="50">
        <f t="shared" si="1"/>
        <v>1.6938471460455832E-4</v>
      </c>
      <c r="F15">
        <f t="shared" si="6"/>
        <v>13</v>
      </c>
      <c r="G15" s="50">
        <f>IF(FT!A15&lt;&gt;"",FT!A15*10,"")</f>
        <v>5.3865400000000001</v>
      </c>
      <c r="H15" s="50">
        <f>IF(FT!B15&lt;&gt;"",FT!B15*100,"")</f>
        <v>47.546300000000002</v>
      </c>
      <c r="I15" s="50">
        <f t="shared" si="2"/>
        <v>1</v>
      </c>
      <c r="J15" t="str">
        <f>IF(FT!B15&lt;&gt;"",FT!E15,"")</f>
        <v>0 [5.237091]</v>
      </c>
      <c r="K15">
        <f>IF(FT!B15&lt;&gt;"",IF(FT!C15&lt;&gt;"",FT!C15,F15/$M$3*$M$4),"")</f>
        <v>5.2370900000000002</v>
      </c>
      <c r="M15">
        <f t="array" ref="M15">MAX(IF(ft_nq=3,row_n))</f>
        <v>0</v>
      </c>
      <c r="P15">
        <f t="shared" si="10"/>
        <v>12</v>
      </c>
      <c r="Q15">
        <f t="shared" si="12"/>
        <v>0</v>
      </c>
      <c r="R15">
        <f t="shared" si="13"/>
        <v>0</v>
      </c>
      <c r="S15">
        <f t="array" ref="S15">MAX(IF(ft_nq=P15,row_n))</f>
        <v>0</v>
      </c>
      <c r="T15">
        <f t="shared" si="11"/>
        <v>1</v>
      </c>
      <c r="V15" s="23">
        <f>FT!G15*10</f>
        <v>5.2747599999999997</v>
      </c>
      <c r="W15" s="23">
        <f>FT!H15*100</f>
        <v>35.736899999999999</v>
      </c>
      <c r="Y15" s="75">
        <f t="shared" si="3"/>
        <v>8.8268721665484708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5.4002300000000005</v>
      </c>
      <c r="H16" s="50">
        <f>IF(FT!B16&lt;&gt;"",FT!B16*100,"")</f>
        <v>47.828099999999999</v>
      </c>
      <c r="I16" s="50">
        <f t="shared" si="2"/>
        <v>1</v>
      </c>
      <c r="J16" t="str">
        <f>IF(FT!B16&lt;&gt;"",FT!E16,"")</f>
        <v>0 [5.637910]</v>
      </c>
      <c r="K16">
        <f>IF(FT!B16&lt;&gt;"",IF(FT!C16&lt;&gt;"",FT!C16,F16/$M$3*$M$4),"")</f>
        <v>5.6379099999999998</v>
      </c>
      <c r="M16">
        <f>M15+1</f>
        <v>1</v>
      </c>
      <c r="P16">
        <f t="shared" si="10"/>
        <v>13</v>
      </c>
      <c r="Q16">
        <f t="shared" si="12"/>
        <v>0</v>
      </c>
      <c r="R16">
        <f t="shared" si="13"/>
        <v>0</v>
      </c>
      <c r="S16">
        <f t="array" ref="S16">MAX(IF(ft_nq=P16,row_n))</f>
        <v>0</v>
      </c>
      <c r="T16">
        <f t="shared" si="11"/>
        <v>1</v>
      </c>
      <c r="V16" s="23">
        <f>FT!G16*10</f>
        <v>5.7749600000000001</v>
      </c>
      <c r="W16" s="23">
        <f>FT!H16*100</f>
        <v>55.148099999999999</v>
      </c>
      <c r="Y16" s="75">
        <f t="shared" si="3"/>
        <v>8.8566783266638627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영감을 받은</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5.4170700000000007</v>
      </c>
      <c r="H17" s="50">
        <f>IF(FT!B17&lt;&gt;"",FT!B17*100,"")</f>
        <v>48.118400000000001</v>
      </c>
      <c r="I17" s="50">
        <f t="shared" si="2"/>
        <v>1</v>
      </c>
      <c r="J17" t="str">
        <f>IF(FT!B17&lt;&gt;"",FT!E17,"")</f>
        <v>0 [6.047918]</v>
      </c>
      <c r="K17">
        <f>IF(FT!B17&lt;&gt;"",IF(FT!C17&lt;&gt;"",FT!C17,F17/$M$3*$M$4),"")</f>
        <v>6.0479200000000004</v>
      </c>
      <c r="M17">
        <f>M3+1</f>
        <v>147</v>
      </c>
      <c r="P17">
        <f t="shared" si="10"/>
        <v>14</v>
      </c>
      <c r="Q17">
        <f t="shared" si="12"/>
        <v>0</v>
      </c>
      <c r="R17">
        <f t="shared" si="13"/>
        <v>0</v>
      </c>
      <c r="S17">
        <f t="array" ref="S17">MAX(IF(ft_nq=P17,row_n))</f>
        <v>0</v>
      </c>
      <c r="T17">
        <f t="shared" si="11"/>
        <v>1</v>
      </c>
      <c r="V17" t="s">
        <v>1522</v>
      </c>
      <c r="Y17" s="75">
        <f t="shared" si="3"/>
        <v>8.8827355009257758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9" t="s">
        <v>257</v>
      </c>
      <c r="CK17" s="1146" t="s">
        <v>258</v>
      </c>
      <c r="CL17" s="1146" t="s">
        <v>259</v>
      </c>
      <c r="CM17" s="1146" t="s">
        <v>260</v>
      </c>
      <c r="CN17" s="1146" t="s">
        <v>261</v>
      </c>
      <c r="CO17" s="1146" t="s">
        <v>262</v>
      </c>
      <c r="CP17" s="1146" t="s">
        <v>263</v>
      </c>
      <c r="CQ17" s="1146" t="s">
        <v>264</v>
      </c>
    </row>
    <row r="18" spans="1:120">
      <c r="A18" s="50">
        <f t="shared" si="5"/>
        <v>16</v>
      </c>
      <c r="B18" s="50">
        <f t="shared" si="0"/>
        <v>0.3089198431372549</v>
      </c>
      <c r="C18" s="50">
        <f>IF(FH!$C$2&gt;0,FH!A18/FH!$C$2,0)</f>
        <v>0</v>
      </c>
      <c r="D18" s="50">
        <f>IF(hist!$D$2&gt;0,hist!B18/hist!$D$2,0)</f>
        <v>0.63021201656162873</v>
      </c>
      <c r="E18" s="50">
        <f t="shared" si="1"/>
        <v>2.9716369761879154E-4</v>
      </c>
      <c r="F18">
        <f t="shared" si="6"/>
        <v>16</v>
      </c>
      <c r="G18" s="50">
        <f>IF(FT!A18&lt;&gt;"",FT!A18*10,"")</f>
        <v>5.4354300000000002</v>
      </c>
      <c r="H18" s="50">
        <f>IF(FT!B18&lt;&gt;"",FT!B18*100,"")</f>
        <v>48.430800000000005</v>
      </c>
      <c r="I18" s="50">
        <f t="shared" si="2"/>
        <v>1</v>
      </c>
      <c r="J18" t="str">
        <f>IF(FT!B18&lt;&gt;"",FT!E18,"")</f>
        <v>0 [6.443855]</v>
      </c>
      <c r="K18">
        <f>IF(FT!B18&lt;&gt;"",IF(FT!C18&lt;&gt;"",FT!C18,F18/$M$3*$M$4),"")</f>
        <v>6.4438500000000003</v>
      </c>
      <c r="P18">
        <f t="shared" si="10"/>
        <v>15</v>
      </c>
      <c r="Q18">
        <f t="shared" si="12"/>
        <v>0</v>
      </c>
      <c r="R18">
        <f t="shared" si="13"/>
        <v>0</v>
      </c>
      <c r="S18">
        <f t="array" ref="S18">MAX(IF(ft_nq=P18,row_n))</f>
        <v>0</v>
      </c>
      <c r="T18">
        <f t="shared" si="11"/>
        <v>1</v>
      </c>
      <c r="V18" s="288">
        <f>M!B18*100</f>
        <v>61.826400000000007</v>
      </c>
      <c r="W18" s="287">
        <f>100-M!B19*100</f>
        <v>69.446300000000008</v>
      </c>
      <c r="X18" t="str">
        <f>"(" &amp; ROUND(V18,1) &amp; " , " &amp; ROUND(100-W18,1) &amp; ")"</f>
        <v>(61.8 , 30.6)</v>
      </c>
      <c r="Y18" s="75">
        <f t="shared" si="3"/>
        <v>8.910205816283165</v>
      </c>
      <c r="Z18">
        <f>M!B18*100</f>
        <v>61.826400000000007</v>
      </c>
      <c r="AA18">
        <f>100-M!B19*100</f>
        <v>69.446300000000008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50"/>
      <c r="CK18" s="1147"/>
      <c r="CL18" s="1147"/>
      <c r="CM18" s="1147"/>
      <c r="CN18" s="1147"/>
      <c r="CO18" s="1147"/>
      <c r="CP18" s="1147"/>
      <c r="CQ18" s="1147"/>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5.4564199999999996</v>
      </c>
      <c r="H19" s="50">
        <f>IF(FT!B19&lt;&gt;"",FT!B19*100,"")</f>
        <v>48.691699999999997</v>
      </c>
      <c r="I19" s="50">
        <f t="shared" si="2"/>
        <v>1</v>
      </c>
      <c r="J19" t="str">
        <f>IF(FT!B19&lt;&gt;"",FT!E19,"")</f>
        <v>0 [6.855040]</v>
      </c>
      <c r="K19">
        <f>IF(FT!B19&lt;&gt;"",IF(FT!C19&lt;&gt;"",FT!C19,F19/$M$3*$M$4),"")</f>
        <v>6.8550399999999998</v>
      </c>
      <c r="P19">
        <f t="shared" si="10"/>
        <v>16</v>
      </c>
      <c r="Q19">
        <f t="shared" si="12"/>
        <v>0</v>
      </c>
      <c r="R19">
        <f t="shared" si="13"/>
        <v>0</v>
      </c>
      <c r="S19">
        <f t="array" ref="S19">MAX(IF(ft_nq=P19,row_n))</f>
        <v>0</v>
      </c>
      <c r="T19">
        <f t="shared" si="11"/>
        <v>1</v>
      </c>
      <c r="V19" t="s">
        <v>1521</v>
      </c>
      <c r="Y19" s="75">
        <f t="shared" si="3"/>
        <v>8.9237448730119748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50"/>
      <c r="CK19" s="1147"/>
      <c r="CL19" s="1147"/>
      <c r="CM19" s="1147"/>
      <c r="CN19" s="1147"/>
      <c r="CO19" s="1147"/>
      <c r="CP19" s="1147"/>
      <c r="CQ19" s="1147"/>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5.4787799999999995</v>
      </c>
      <c r="H20" s="50">
        <f>IF(FT!B20&lt;&gt;"",FT!B20*100,"")</f>
        <v>48.8902</v>
      </c>
      <c r="I20" s="50">
        <f t="shared" si="2"/>
        <v>1</v>
      </c>
      <c r="J20" t="str">
        <f>IF(FT!B20&lt;&gt;"",FT!E20,"")</f>
        <v>0 [7.262633]</v>
      </c>
      <c r="K20">
        <f>IF(FT!B20&lt;&gt;"",IF(FT!C20&lt;&gt;"",FT!C20,F20/$M$3*$M$4),"")</f>
        <v>7.2626299999999997</v>
      </c>
      <c r="P20">
        <f t="shared" si="10"/>
        <v>17</v>
      </c>
      <c r="Q20">
        <f t="shared" si="12"/>
        <v>0</v>
      </c>
      <c r="R20">
        <f t="shared" si="13"/>
        <v>0</v>
      </c>
      <c r="S20">
        <f t="array" ref="S20">MAX(IF(ft_nq=P20,row_n))</f>
        <v>0</v>
      </c>
      <c r="T20">
        <f t="shared" si="11"/>
        <v>1</v>
      </c>
      <c r="V20" s="56">
        <v>50</v>
      </c>
      <c r="W20">
        <v>50</v>
      </c>
      <c r="Y20" s="75">
        <f t="shared" si="3"/>
        <v>8.9235559741402284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50"/>
      <c r="CK20" s="1147"/>
      <c r="CL20" s="1147"/>
      <c r="CM20" s="1147"/>
      <c r="CN20" s="1147"/>
      <c r="CO20" s="1147"/>
      <c r="CP20" s="1147"/>
      <c r="CQ20" s="1147"/>
    </row>
    <row r="21" spans="1:120">
      <c r="A21" s="50">
        <f t="shared" si="5"/>
        <v>19</v>
      </c>
      <c r="B21" s="50">
        <f t="shared" si="0"/>
        <v>0.36684231372549014</v>
      </c>
      <c r="C21" s="50">
        <f>IF(FH!$C$2&gt;0,FH!A21/FH!$C$2,0)</f>
        <v>0</v>
      </c>
      <c r="D21" s="50">
        <f>IF(hist!$D$2&gt;0,hist!B21/hist!$D$2,0)</f>
        <v>0.6458847584944678</v>
      </c>
      <c r="E21" s="50">
        <f t="shared" si="1"/>
        <v>5.1155989191839816E-4</v>
      </c>
      <c r="F21">
        <f t="shared" si="6"/>
        <v>19</v>
      </c>
      <c r="G21" s="50">
        <f>IF(FT!A21&lt;&gt;"",FT!A21*10,"")</f>
        <v>5.5026699999999993</v>
      </c>
      <c r="H21" s="50">
        <f>IF(FT!B21&lt;&gt;"",FT!B21*100,"")</f>
        <v>49.049700000000001</v>
      </c>
      <c r="I21" s="50">
        <f t="shared" si="2"/>
        <v>1</v>
      </c>
      <c r="J21" t="str">
        <f>IF(FT!B21&lt;&gt;"",FT!E21,"")</f>
        <v>0 [7.669972]</v>
      </c>
      <c r="K21">
        <f>IF(FT!B21&lt;&gt;"",IF(FT!C21&lt;&gt;"",FT!C21,F21/$M$3*$M$4),"")</f>
        <v>7.6699700000000002</v>
      </c>
      <c r="P21">
        <f t="shared" si="10"/>
        <v>18</v>
      </c>
      <c r="Q21">
        <f t="shared" si="12"/>
        <v>0</v>
      </c>
      <c r="R21">
        <f t="shared" si="13"/>
        <v>0</v>
      </c>
      <c r="S21">
        <f t="array" ref="S21">MAX(IF(ft_nq=P21,row_n))</f>
        <v>0</v>
      </c>
      <c r="T21">
        <f t="shared" si="11"/>
        <v>1</v>
      </c>
      <c r="V21" s="288">
        <f>Measurement!DK17*100</f>
        <v>82.735948562032462</v>
      </c>
      <c r="W21" s="287">
        <f>'R3'!I3</f>
        <v>87.372052922277106</v>
      </c>
      <c r="X21" t="str">
        <f>"(" &amp; ROUND(V21,1) &amp; " , " &amp; ROUND(W21,1) &amp; ")" &amp; CHAR(10) &amp; AR26</f>
        <v>(82.7 , 87.4)
영감을 받은</v>
      </c>
      <c r="Y21" s="75">
        <f t="shared" si="3"/>
        <v>8.9138000279864151</v>
      </c>
      <c r="AA21">
        <f>100-M!B19*100</f>
        <v>69.446300000000008</v>
      </c>
      <c r="AC21">
        <f>'R3'!I3</f>
        <v>87.372052922277106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50"/>
      <c r="CK21" s="1147"/>
      <c r="CL21" s="1147"/>
      <c r="CM21" s="1147"/>
      <c r="CN21" s="1147"/>
      <c r="CO21" s="1147"/>
      <c r="CP21" s="1147"/>
      <c r="CQ21" s="1147"/>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5.5266000000000002</v>
      </c>
      <c r="H22" s="50">
        <f>IF(FT!B22&lt;&gt;"",FT!B22*100,"")</f>
        <v>49.227499999999999</v>
      </c>
      <c r="I22" s="50">
        <f t="shared" si="2"/>
        <v>1</v>
      </c>
      <c r="J22" t="str">
        <f>IF(FT!B22&lt;&gt;"",FT!E22,"")</f>
        <v>0 [8.076329]</v>
      </c>
      <c r="K22">
        <f>IF(FT!B22&lt;&gt;"",IF(FT!C22&lt;&gt;"",FT!C22,F22/$M$3*$M$4),"")</f>
        <v>8.0763300000000005</v>
      </c>
      <c r="P22">
        <f t="shared" si="10"/>
        <v>19</v>
      </c>
      <c r="Q22">
        <f t="shared" si="12"/>
        <v>0</v>
      </c>
      <c r="R22">
        <f t="shared" si="13"/>
        <v>0</v>
      </c>
      <c r="S22">
        <f t="array" ref="S22">MAX(IF(ft_nq=P22,row_n))</f>
        <v>0</v>
      </c>
      <c r="T22">
        <f t="shared" si="11"/>
        <v>1</v>
      </c>
      <c r="V22" s="300">
        <f>X23</f>
        <v>90</v>
      </c>
      <c r="W22" s="300">
        <f>X23</f>
        <v>90</v>
      </c>
      <c r="X22" t="s">
        <v>1188</v>
      </c>
      <c r="Y22" s="75">
        <f t="shared" si="3"/>
        <v>8.9073752397495749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50"/>
      <c r="CK22" s="1147"/>
      <c r="CL22" s="1147"/>
      <c r="CM22" s="1147"/>
      <c r="CN22" s="1147"/>
      <c r="CO22" s="1147"/>
      <c r="CP22" s="1147"/>
      <c r="CQ22" s="1147"/>
    </row>
    <row r="23" spans="1:120">
      <c r="A23" s="50">
        <f t="shared" si="5"/>
        <v>21</v>
      </c>
      <c r="B23" s="50">
        <f t="shared" si="0"/>
        <v>0.40545729411764703</v>
      </c>
      <c r="C23" s="50">
        <f>IF(FH!$C$2&gt;0,FH!A23/FH!$C$2,0)</f>
        <v>0</v>
      </c>
      <c r="D23" s="50">
        <f>IF(hist!$D$2&gt;0,hist!B23/hist!$D$2,0)</f>
        <v>0.6580680937634058</v>
      </c>
      <c r="E23" s="50">
        <f t="shared" si="1"/>
        <v>7.2710399246906645E-4</v>
      </c>
      <c r="F23">
        <f t="shared" si="6"/>
        <v>21</v>
      </c>
      <c r="G23" s="50">
        <f>IF(FT!A23&lt;&gt;"",FT!A23*10,"")</f>
        <v>5.5510700000000002</v>
      </c>
      <c r="H23" s="50">
        <f>IF(FT!B23&lt;&gt;"",FT!B23*100,"")</f>
        <v>49.397799999999997</v>
      </c>
      <c r="I23" s="50">
        <f t="shared" si="2"/>
        <v>1</v>
      </c>
      <c r="J23" t="str">
        <f>IF(FT!B23&lt;&gt;"",FT!E23,"")</f>
        <v>0 [8.488023]</v>
      </c>
      <c r="K23">
        <f>IF(FT!B23&lt;&gt;"",IF(FT!C23&lt;&gt;"",FT!C23,F23/$M$3*$M$4),"")</f>
        <v>8.4880200000000006</v>
      </c>
      <c r="P23">
        <f t="shared" si="10"/>
        <v>20</v>
      </c>
      <c r="Q23">
        <f t="shared" si="12"/>
        <v>0</v>
      </c>
      <c r="R23">
        <f t="shared" si="13"/>
        <v>0</v>
      </c>
      <c r="S23">
        <f t="array" ref="S23">MAX(IF(ft_nq=P23,row_n))</f>
        <v>0</v>
      </c>
      <c r="T23">
        <f t="shared" si="11"/>
        <v>1</v>
      </c>
      <c r="V23" s="300">
        <f>100-X23</f>
        <v>10</v>
      </c>
      <c r="W23" s="300">
        <f>X23</f>
        <v>90</v>
      </c>
      <c r="X23">
        <v>90</v>
      </c>
      <c r="Y23" s="75">
        <f t="shared" si="3"/>
        <v>8.8987888821434424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51"/>
      <c r="CK23" s="1148"/>
      <c r="CL23" s="1148"/>
      <c r="CM23" s="1148"/>
      <c r="CN23" s="1148"/>
      <c r="CO23" s="1148"/>
      <c r="CP23" s="1148"/>
      <c r="CQ23" s="1148"/>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5.5787500000000003</v>
      </c>
      <c r="H24" s="50">
        <f>IF(FT!B24&lt;&gt;"",FT!B24*100,"")</f>
        <v>49.578299999999999</v>
      </c>
      <c r="I24" s="50">
        <f t="shared" si="2"/>
        <v>1</v>
      </c>
      <c r="J24" t="str">
        <f>IF(FT!B24&lt;&gt;"",FT!E24,"")</f>
        <v>0 [8.899364]</v>
      </c>
      <c r="K24">
        <f>IF(FT!B24&lt;&gt;"",IF(FT!C24&lt;&gt;"",FT!C24,F24/$M$3*$M$4),"")</f>
        <v>8.8993599999999997</v>
      </c>
      <c r="P24">
        <f t="shared" si="10"/>
        <v>21</v>
      </c>
      <c r="Q24">
        <f t="shared" si="12"/>
        <v>0</v>
      </c>
      <c r="R24">
        <f t="shared" si="13"/>
        <v>0</v>
      </c>
      <c r="S24">
        <f t="array" ref="S24">MAX(IF(ft_nq=P24,row_n))</f>
        <v>0</v>
      </c>
      <c r="T24">
        <f t="shared" si="11"/>
        <v>1</v>
      </c>
      <c r="V24" s="300">
        <f>100-X23</f>
        <v>10</v>
      </c>
      <c r="W24" s="300">
        <f>100-X23</f>
        <v>10</v>
      </c>
      <c r="Y24" s="75">
        <f t="shared" si="3"/>
        <v>8.8869908133542452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5.6048200000000001</v>
      </c>
      <c r="H25" s="50">
        <f>IF(FT!B25&lt;&gt;"",FT!B25*100,"")</f>
        <v>49.779299999999999</v>
      </c>
      <c r="I25" s="50">
        <f t="shared" si="2"/>
        <v>1</v>
      </c>
      <c r="J25" t="str">
        <f>IF(FT!B25&lt;&gt;"",FT!E25,"")</f>
        <v>0 [9.302836]</v>
      </c>
      <c r="K25">
        <f>IF(FT!B25&lt;&gt;"",IF(FT!C25&lt;&gt;"",FT!C25,F25/$M$3*$M$4),"")</f>
        <v>9.3028399999999998</v>
      </c>
      <c r="P25">
        <f t="shared" si="10"/>
        <v>22</v>
      </c>
      <c r="Q25">
        <f t="shared" si="12"/>
        <v>0</v>
      </c>
      <c r="R25">
        <f t="shared" si="13"/>
        <v>0</v>
      </c>
      <c r="S25">
        <f t="array" ref="S25">MAX(IF(ft_nq=P25,row_n))</f>
        <v>0</v>
      </c>
      <c r="T25">
        <f t="shared" si="11"/>
        <v>1</v>
      </c>
      <c r="V25" s="300">
        <f>X23</f>
        <v>90</v>
      </c>
      <c r="W25" s="300">
        <f>100-X23</f>
        <v>10</v>
      </c>
      <c r="Y25" s="75">
        <f t="shared" si="3"/>
        <v>8.8815162663564564</v>
      </c>
    </row>
    <row r="26" spans="1:120">
      <c r="A26" s="50">
        <f t="shared" si="5"/>
        <v>24</v>
      </c>
      <c r="B26" s="50">
        <f t="shared" si="0"/>
        <v>0.46337976470588232</v>
      </c>
      <c r="C26" s="50">
        <f>IF(FH!$C$2&gt;0,FH!A26/FH!$C$2,0)</f>
        <v>0</v>
      </c>
      <c r="D26" s="50">
        <f>IF(hist!$D$2&gt;0,hist!B26/hist!$D$2,0)</f>
        <v>0.66012435804526115</v>
      </c>
      <c r="E26" s="50">
        <f t="shared" si="1"/>
        <v>1.2128188079122912E-3</v>
      </c>
      <c r="F26">
        <f t="shared" si="6"/>
        <v>24</v>
      </c>
      <c r="G26" s="50">
        <f>IF(FT!A26&lt;&gt;"",FT!A26*10,"")</f>
        <v>5.6312199999999999</v>
      </c>
      <c r="H26" s="50">
        <f>IF(FT!B26&lt;&gt;"",FT!B26*100,"")</f>
        <v>49.978999999999999</v>
      </c>
      <c r="I26" s="50">
        <f t="shared" si="2"/>
        <v>1</v>
      </c>
      <c r="J26" t="str">
        <f>IF(FT!B26&lt;&gt;"",FT!E26,"")</f>
        <v>0 [9.706322]</v>
      </c>
      <c r="K26">
        <f>IF(FT!B26&lt;&gt;"",IF(FT!C26&lt;&gt;"",FT!C26,F26/$M$3*$M$4),"")</f>
        <v>9.7063199999999998</v>
      </c>
      <c r="P26">
        <f t="shared" si="10"/>
        <v>23</v>
      </c>
      <c r="Q26">
        <f t="shared" si="12"/>
        <v>0</v>
      </c>
      <c r="R26">
        <f t="shared" si="13"/>
        <v>0</v>
      </c>
      <c r="S26">
        <f t="array" ref="S26">MAX(IF(ft_nq=P26,row_n))</f>
        <v>0</v>
      </c>
      <c r="T26">
        <f t="shared" si="11"/>
        <v>1</v>
      </c>
      <c r="V26" s="300">
        <f>X23</f>
        <v>90</v>
      </c>
      <c r="W26" s="300">
        <f>X23</f>
        <v>90</v>
      </c>
      <c r="Y26" s="75">
        <f t="shared" si="3"/>
        <v>8.8753414002649507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5.6542599999999998</v>
      </c>
      <c r="H27" s="50">
        <f>IF(FT!B27&lt;&gt;"",FT!B27*100,"")</f>
        <v>50.197800000000001</v>
      </c>
      <c r="I27" s="50">
        <f t="shared" si="2"/>
        <v>1</v>
      </c>
      <c r="J27" t="str">
        <f>IF(FT!B27&lt;&gt;"",FT!E27,"")</f>
        <v>0 [10.115936]</v>
      </c>
      <c r="K27">
        <f>IF(FT!B27&lt;&gt;"",IF(FT!C27&lt;&gt;"",FT!C27,F27/$M$3*$M$4),"")</f>
        <v>10.1159</v>
      </c>
      <c r="P27">
        <f t="shared" si="10"/>
        <v>24</v>
      </c>
      <c r="Q27">
        <f t="shared" si="12"/>
        <v>0</v>
      </c>
      <c r="R27">
        <f t="shared" si="13"/>
        <v>0</v>
      </c>
      <c r="S27">
        <f t="array" ref="S27">MAX(IF(ft_nq=P27,row_n))</f>
        <v>0</v>
      </c>
      <c r="T27">
        <f t="shared" si="11"/>
        <v>1</v>
      </c>
      <c r="V27" s="288">
        <v>60</v>
      </c>
      <c r="W27" s="288">
        <v>60</v>
      </c>
      <c r="X27" t="s">
        <v>1189</v>
      </c>
      <c r="Y27" s="75">
        <f t="shared" si="3"/>
        <v>8.8778726128618075</v>
      </c>
      <c r="AS27" t="s">
        <v>2144</v>
      </c>
    </row>
    <row r="28" spans="1:120">
      <c r="A28" s="50">
        <f t="shared" si="5"/>
        <v>26</v>
      </c>
      <c r="B28" s="50">
        <f t="shared" si="0"/>
        <v>0.50199474509803921</v>
      </c>
      <c r="C28" s="50">
        <f>IF(FH!$C$2&gt;0,FH!A28/FH!$C$2,0)</f>
        <v>0</v>
      </c>
      <c r="D28" s="50">
        <f>IF(hist!$D$2&gt;0,hist!B28/hist!$D$2,0)</f>
        <v>0.67154059872589456</v>
      </c>
      <c r="E28" s="50">
        <f t="shared" si="1"/>
        <v>1.6879584006191061E-3</v>
      </c>
      <c r="F28">
        <f t="shared" si="6"/>
        <v>26</v>
      </c>
      <c r="G28" s="50">
        <f>IF(FT!A28&lt;&gt;"",FT!A28*10,"")</f>
        <v>5.6772799999999997</v>
      </c>
      <c r="H28" s="50">
        <f>IF(FT!B28&lt;&gt;"",FT!B28*100,"")</f>
        <v>50.384300000000003</v>
      </c>
      <c r="I28" s="50">
        <f t="shared" si="2"/>
        <v>1</v>
      </c>
      <c r="J28" t="str">
        <f>IF(FT!B28&lt;&gt;"",FT!E28,"")</f>
        <v>0 [10.522652]</v>
      </c>
      <c r="K28">
        <f>IF(FT!B28&lt;&gt;"",IF(FT!C28&lt;&gt;"",FT!C28,F28/$M$3*$M$4),"")</f>
        <v>10.5227</v>
      </c>
      <c r="V28" s="288">
        <v>40</v>
      </c>
      <c r="W28" s="288">
        <v>60</v>
      </c>
      <c r="Y28" s="75">
        <f t="shared" si="3"/>
        <v>8.8747252205281413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5.6999500000000003</v>
      </c>
      <c r="H29" s="50">
        <f>IF(FT!B29&lt;&gt;"",FT!B29*100,"")</f>
        <v>50.5304</v>
      </c>
      <c r="I29" s="50">
        <f t="shared" si="2"/>
        <v>1</v>
      </c>
      <c r="J29" t="str">
        <f>IF(FT!B29&lt;&gt;"",FT!E29,"")</f>
        <v>0 [10.935407]</v>
      </c>
      <c r="K29">
        <f>IF(FT!B29&lt;&gt;"",IF(FT!C29&lt;&gt;"",FT!C29,F29/$M$3*$M$4),"")</f>
        <v>10.9354</v>
      </c>
      <c r="V29" s="288">
        <v>40</v>
      </c>
      <c r="W29" s="288">
        <v>40</v>
      </c>
      <c r="Y29" s="75">
        <f t="shared" si="3"/>
        <v>8.8650602198264892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5.7238900000000008</v>
      </c>
      <c r="H30" s="50">
        <f>IF(FT!B30&lt;&gt;"",FT!B30*100,"")</f>
        <v>50.619</v>
      </c>
      <c r="I30" s="50">
        <f t="shared" si="2"/>
        <v>1</v>
      </c>
      <c r="J30" t="str">
        <f>IF(FT!B30&lt;&gt;"",FT!E30,"")</f>
        <v>0 [11.331078]</v>
      </c>
      <c r="K30">
        <f>IF(FT!B30&lt;&gt;"",IF(FT!C30&lt;&gt;"",FT!C30,F30/$M$3*$M$4),"")</f>
        <v>11.331099999999999</v>
      </c>
      <c r="V30" s="288">
        <v>60</v>
      </c>
      <c r="W30" s="288">
        <v>40</v>
      </c>
      <c r="Y30" s="75">
        <f t="shared" si="3"/>
        <v>8.8434613523320671</v>
      </c>
      <c r="CJ30" s="76"/>
      <c r="CK30" s="76"/>
      <c r="CL30" s="76"/>
      <c r="CM30" s="76"/>
      <c r="CN30" s="1142"/>
      <c r="CO30" s="1142"/>
      <c r="CP30" s="1142"/>
      <c r="CQ30" s="82"/>
      <c r="CR30" s="82"/>
      <c r="CS30" s="76"/>
      <c r="CT30" s="1142"/>
      <c r="CU30" s="1142"/>
      <c r="CV30" s="1142"/>
      <c r="CW30" s="121"/>
      <c r="CX30" s="121"/>
      <c r="CY30" s="76"/>
      <c r="CZ30" s="1142"/>
      <c r="DA30" s="1142"/>
      <c r="DB30" s="1142"/>
      <c r="DC30" s="121"/>
      <c r="DD30" s="121"/>
      <c r="DE30" s="76"/>
      <c r="DF30" s="1142"/>
      <c r="DG30" s="1142"/>
      <c r="DH30" s="1142"/>
    </row>
    <row r="31" spans="1:120">
      <c r="A31" s="50">
        <f t="shared" si="5"/>
        <v>29</v>
      </c>
      <c r="B31" s="50">
        <f t="shared" si="0"/>
        <v>0.55991721568627451</v>
      </c>
      <c r="C31" s="50">
        <f>IF(FH!$C$2&gt;0,FH!A31/FH!$C$2,0)</f>
        <v>1.6493559951562029E-4</v>
      </c>
      <c r="D31" s="50">
        <f>IF(hist!$D$2&gt;0,hist!B31/hist!$D$2,0)</f>
        <v>0.69450422143666379</v>
      </c>
      <c r="E31" s="50">
        <f t="shared" si="1"/>
        <v>2.728096910809098E-3</v>
      </c>
      <c r="F31">
        <f t="shared" si="6"/>
        <v>29</v>
      </c>
      <c r="G31" s="50">
        <f>IF(FT!A31&lt;&gt;"",FT!A31*10,"")</f>
        <v>5.7489699999999999</v>
      </c>
      <c r="H31" s="50">
        <f>IF(FT!B31&lt;&gt;"",FT!B31*100,"")</f>
        <v>50.705299999999994</v>
      </c>
      <c r="I31" s="50">
        <f t="shared" si="2"/>
        <v>1</v>
      </c>
      <c r="J31" t="str">
        <f>IF(FT!B31&lt;&gt;"",FT!E31,"")</f>
        <v>0 [11.745123]</v>
      </c>
      <c r="K31">
        <f>IF(FT!B31&lt;&gt;"",IF(FT!C31&lt;&gt;"",FT!C31,F31/$M$3*$M$4),"")</f>
        <v>11.745100000000001</v>
      </c>
      <c r="V31" s="288">
        <v>60</v>
      </c>
      <c r="W31" s="288">
        <v>60</v>
      </c>
      <c r="Y31" s="75">
        <f t="shared" si="3"/>
        <v>8.8198929547379787</v>
      </c>
      <c r="CB31" t="str">
        <f ca="1">IF(W8=1,CB33,IF(W8=2,CB34,IF(W8=3,CB35,IF(W8=4,CB36,IF(W8=5,CB37,IF(W8=6,CB38,IF(W8=7,CB39,IF(W8=8,CB40,""))))))))</f>
        <v>심리적으로 기분이 낮은정서 상태이다. 에너지 대사량이 매우 크며 감소하고 있다.</v>
      </c>
      <c r="CJ31" s="143" t="s">
        <v>957</v>
      </c>
      <c r="CK31" s="1143" t="s">
        <v>958</v>
      </c>
      <c r="CL31" s="1144"/>
      <c r="CM31" s="1144"/>
      <c r="CN31" s="1145"/>
      <c r="CO31" s="1143" t="s">
        <v>959</v>
      </c>
      <c r="CP31" s="1144"/>
      <c r="CQ31" s="1144"/>
      <c r="CR31" s="1145"/>
      <c r="CS31" s="1143" t="s">
        <v>960</v>
      </c>
      <c r="CT31" s="1144"/>
      <c r="CU31" s="1144"/>
      <c r="CV31" s="1145"/>
      <c r="CW31" s="1143" t="s">
        <v>961</v>
      </c>
      <c r="CX31" s="1144"/>
      <c r="CY31" s="1144"/>
      <c r="CZ31" s="1145"/>
      <c r="DA31" s="1143" t="s">
        <v>962</v>
      </c>
      <c r="DB31" s="1144"/>
      <c r="DC31" s="1144"/>
      <c r="DD31" s="1145"/>
      <c r="DE31" s="1143" t="s">
        <v>963</v>
      </c>
      <c r="DF31" s="1144"/>
      <c r="DG31" s="1144"/>
      <c r="DH31" s="1145"/>
      <c r="DI31" s="1143" t="s">
        <v>964</v>
      </c>
      <c r="DJ31" s="1144"/>
      <c r="DK31" s="1144"/>
      <c r="DL31" s="1145"/>
      <c r="DM31" s="1143" t="s">
        <v>965</v>
      </c>
      <c r="DN31" s="1144"/>
      <c r="DO31" s="1144"/>
      <c r="DP31" s="1145"/>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5.7732600000000005</v>
      </c>
      <c r="H32" s="50">
        <f>IF(FT!B32&lt;&gt;"",FT!B32*100,"")</f>
        <v>50.799300000000002</v>
      </c>
      <c r="I32" s="50">
        <f t="shared" si="2"/>
        <v>1</v>
      </c>
      <c r="J32" t="str">
        <f>IF(FT!B32&lt;&gt;"",FT!E32,"")</f>
        <v>0 [12.160122]</v>
      </c>
      <c r="K32">
        <f>IF(FT!B32&lt;&gt;"",IF(FT!C32&lt;&gt;"",FT!C32,F32/$M$3*$M$4),"")</f>
        <v>12.1601</v>
      </c>
      <c r="Y32" s="75">
        <f t="shared" si="3"/>
        <v>8.7990667317945146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3.8484925356703536E-4</v>
      </c>
      <c r="D33" s="50">
        <f>IF(hist!$D$2&gt;0,hist!B33/hist!$D$2,0)</f>
        <v>0.72919347204784601</v>
      </c>
      <c r="E33" s="50">
        <f t="shared" si="1"/>
        <v>3.7178458896922669E-3</v>
      </c>
      <c r="F33">
        <f t="shared" si="6"/>
        <v>31</v>
      </c>
      <c r="G33" s="50">
        <f>IF(FT!A33&lt;&gt;"",FT!A33*10,"")</f>
        <v>5.7940199999999997</v>
      </c>
      <c r="H33" s="50">
        <f>IF(FT!B33&lt;&gt;"",FT!B33*100,"")</f>
        <v>50.939800000000005</v>
      </c>
      <c r="I33" s="50">
        <f t="shared" si="2"/>
        <v>1</v>
      </c>
      <c r="J33" t="str">
        <f>IF(FT!B33&lt;&gt;"",FT!E33,"")</f>
        <v>0 [12.557689]</v>
      </c>
      <c r="K33">
        <f>IF(FT!B33&lt;&gt;"",IF(FT!C33&lt;&gt;"",FT!C33,F33/$M$3*$M$4),"")</f>
        <v>12.557700000000001</v>
      </c>
      <c r="W33" s="23">
        <f>FH_info!G2</f>
        <v>0.47032499999999999</v>
      </c>
      <c r="Y33" s="75">
        <f t="shared" si="3"/>
        <v>8.7917887753235249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38"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52"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5.8129600000000003</v>
      </c>
      <c r="H34" s="50">
        <f>IF(FT!B34&lt;&gt;"",FT!B34*100,"")</f>
        <v>51.119499999999995</v>
      </c>
      <c r="I34" s="50">
        <f t="shared" si="2"/>
        <v>1</v>
      </c>
      <c r="J34" t="str">
        <f>IF(FT!B34&lt;&gt;"",FT!E34,"")</f>
        <v>0 [12.963613]</v>
      </c>
      <c r="K34">
        <f>IF(FT!B34&lt;&gt;"",IF(FT!C34&lt;&gt;"",FT!C34,F34/$M$3*$M$4),"")</f>
        <v>12.9636</v>
      </c>
      <c r="V34" t="s">
        <v>1253</v>
      </c>
      <c r="W34" s="23">
        <f>IF(FH_info!G2&lt;&gt;0,(1-FH_info!G2)*100,0)</f>
        <v>52.967500000000001</v>
      </c>
      <c r="X34" t="s">
        <v>1054</v>
      </c>
      <c r="Y34" s="75">
        <f t="shared" si="3"/>
        <v>8.7940567284137501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39"/>
      <c r="CK34" s="1136"/>
      <c r="CL34" s="1136"/>
      <c r="CM34" s="1136"/>
      <c r="CN34" s="1136"/>
      <c r="CO34" s="1136"/>
      <c r="CP34" s="1136"/>
      <c r="CQ34" s="1136"/>
      <c r="CR34" s="1136"/>
      <c r="CS34" s="1153"/>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5.8302500000000004</v>
      </c>
      <c r="H35" s="50">
        <f>IF(FT!B35&lt;&gt;"",FT!B35*100,"")</f>
        <v>51.3142</v>
      </c>
      <c r="I35" s="50">
        <f t="shared" si="2"/>
        <v>1</v>
      </c>
      <c r="J35" t="str">
        <f>IF(FT!B35&lt;&gt;"",FT!E35,"")</f>
        <v>0 [13.374739]</v>
      </c>
      <c r="K35">
        <f>IF(FT!B35&lt;&gt;"",IF(FT!C35&lt;&gt;"",FT!C35,F35/$M$3*$M$4),"")</f>
        <v>13.374700000000001</v>
      </c>
      <c r="V35" s="52">
        <f>IF(V36&gt;3,100,V36/3*100)</f>
        <v>90.522666666666666</v>
      </c>
      <c r="W35" s="23">
        <f>IF(FH_info!G2*1&lt;&gt;0,(1-NORMSDIST((FH_info!G2*1-0.5308)/0.1538))*100,0)</f>
        <v>65.291613193053223</v>
      </c>
      <c r="X35" t="s">
        <v>1053</v>
      </c>
      <c r="Y35" s="75">
        <f t="shared" si="3"/>
        <v>8.8013721538527498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40"/>
      <c r="CK35" s="1137"/>
      <c r="CL35" s="1137"/>
      <c r="CM35" s="1137"/>
      <c r="CN35" s="1137"/>
      <c r="CO35" s="1137"/>
      <c r="CP35" s="1137"/>
      <c r="CQ35" s="1137"/>
      <c r="CR35" s="1137"/>
      <c r="CS35" s="1154"/>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1.1868882432620005E-3</v>
      </c>
      <c r="D36" s="50">
        <f>IF(hist!$D$2&gt;0,hist!B36/hist!$D$2,0)</f>
        <v>0.76419506446344421</v>
      </c>
      <c r="E36" s="50">
        <f t="shared" si="1"/>
        <v>5.8222131217928776E-3</v>
      </c>
      <c r="F36">
        <f t="shared" si="6"/>
        <v>34</v>
      </c>
      <c r="G36" s="50">
        <f>IF(FT!A36&lt;&gt;"",FT!A36*10,"")</f>
        <v>5.84605</v>
      </c>
      <c r="H36" s="50">
        <f>IF(FT!B36&lt;&gt;"",FT!B36*100,"")</f>
        <v>51.525699999999993</v>
      </c>
      <c r="I36" s="50">
        <f t="shared" si="2"/>
        <v>1</v>
      </c>
      <c r="J36" t="str">
        <f>IF(FT!B36&lt;&gt;"",FT!E36,"")</f>
        <v>0 [13.773511]</v>
      </c>
      <c r="K36">
        <f>IF(FT!B36&lt;&gt;"",IF(FT!C36&lt;&gt;"",FT!C36,F36/$M$3*$M$4),"")</f>
        <v>13.7735</v>
      </c>
      <c r="R36" s="71" t="s">
        <v>2215</v>
      </c>
      <c r="S36" t="s">
        <v>1251</v>
      </c>
      <c r="U36" t="s">
        <v>386</v>
      </c>
      <c r="V36" s="495">
        <f>FH_info!F2*1</f>
        <v>2.7156799999999999</v>
      </c>
      <c r="W36" s="495">
        <f>IF(W34&gt;=60,30/40*(W34-60)+70,IF(W34&gt;=35,35/25*(W34-35)+35,IF(W34&gt;=0,W34,0)))</f>
        <v>60.154499999999999</v>
      </c>
      <c r="X36" s="23" t="s">
        <v>388</v>
      </c>
      <c r="Y36" s="75">
        <f t="shared" si="3"/>
        <v>8.8137631392136555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41"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5.85982</v>
      </c>
      <c r="H37" s="50">
        <f>IF(FT!B37&lt;&gt;"",FT!B37*100,"")</f>
        <v>51.768999999999998</v>
      </c>
      <c r="I37" s="50">
        <f t="shared" si="2"/>
        <v>1</v>
      </c>
      <c r="J37" t="str">
        <f>IF(FT!B37&lt;&gt;"",FT!E37,"")</f>
        <v>0 [14.187333]</v>
      </c>
      <c r="K37">
        <f>IF(FT!B37&lt;&gt;"",IF(FT!C37&lt;&gt;"",FT!C37,F37/$M$3*$M$4),"")</f>
        <v>14.1873</v>
      </c>
      <c r="R37" s="71" t="s">
        <v>2222</v>
      </c>
      <c r="S37" t="s">
        <v>2216</v>
      </c>
      <c r="U37" t="s">
        <v>458</v>
      </c>
      <c r="V37" s="130" t="str">
        <f>IF(V36&gt;=2.5,"v","")</f>
        <v>v</v>
      </c>
      <c r="W37" s="130" t="str">
        <f>IF(W36&gt;=60,"v","")</f>
        <v>v</v>
      </c>
      <c r="Y37" s="75">
        <f t="shared" si="3"/>
        <v>8.8345717103938348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41"/>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5.8743199999999991</v>
      </c>
      <c r="H38" s="50">
        <f>IF(FT!B38&lt;&gt;"",FT!B38*100,"")</f>
        <v>52.031499999999994</v>
      </c>
      <c r="I38" s="50">
        <f t="shared" si="2"/>
        <v>1</v>
      </c>
      <c r="J38" t="str">
        <f>IF(FT!B38&lt;&gt;"",FT!E38,"")</f>
        <v>0 [14.586852]</v>
      </c>
      <c r="K38">
        <f>IF(FT!B38&lt;&gt;"",IF(FT!C38&lt;&gt;"",FT!C38,F38/$M$3*$M$4),"")</f>
        <v>14.5869</v>
      </c>
      <c r="U38" t="s">
        <v>460</v>
      </c>
      <c r="V38" s="130" t="str">
        <f>IF(V36&gt;=1,IF(V36&lt;2.5,"v",""),"")</f>
        <v/>
      </c>
      <c r="W38" s="130" t="str">
        <f>IF(W36*1&gt;35,IF(W36&lt;60,"v",""),"")</f>
        <v/>
      </c>
      <c r="Y38" s="75">
        <f t="shared" si="3"/>
        <v>8.8574507347233382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41"/>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1.3776965160079834E-3</v>
      </c>
      <c r="D39" s="50">
        <f>IF(hist!$D$2&gt;0,hist!B39/hist!$D$2,0)</f>
        <v>0.79626762939978013</v>
      </c>
      <c r="E39" s="50">
        <f t="shared" si="1"/>
        <v>8.946723387532881E-3</v>
      </c>
      <c r="F39">
        <f t="shared" si="6"/>
        <v>37</v>
      </c>
      <c r="G39" s="50">
        <f>IF(FT!A39&lt;&gt;"",FT!A39*10,"")</f>
        <v>5.8859300000000001</v>
      </c>
      <c r="H39" s="50">
        <f>IF(FT!B39&lt;&gt;"",FT!B39*100,"")</f>
        <v>52.287399999999998</v>
      </c>
      <c r="I39" s="50">
        <f t="shared" si="2"/>
        <v>1</v>
      </c>
      <c r="J39" t="str">
        <f>IF(FT!B39&lt;&gt;"",FT!E39,"")</f>
        <v>0 [14.987002]</v>
      </c>
      <c r="K39">
        <f>IF(FT!B39&lt;&gt;"",IF(FT!C39&lt;&gt;"",FT!C39,F39/$M$3*$M$4),"")</f>
        <v>14.987</v>
      </c>
      <c r="U39" t="s">
        <v>462</v>
      </c>
      <c r="V39" s="131" t="str">
        <f>IF(V36&lt;1,"v","")</f>
        <v/>
      </c>
      <c r="W39" s="130" t="str">
        <f>IF(W36&lt;=35,"v","")</f>
        <v/>
      </c>
      <c r="Y39" s="75">
        <f t="shared" si="3"/>
        <v>8.8834559704243841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41"/>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5.8948900000000002</v>
      </c>
      <c r="H40" s="50">
        <f>IF(FT!B40&lt;&gt;"",FT!B40*100,"")</f>
        <v>52.535900000000005</v>
      </c>
      <c r="I40" s="50">
        <f t="shared" si="2"/>
        <v>1</v>
      </c>
      <c r="J40" t="str">
        <f>IF(FT!B40&lt;&gt;"",FT!E40,"")</f>
        <v>0 [15.396279]</v>
      </c>
      <c r="K40">
        <f>IF(FT!B40&lt;&gt;"",IF(FT!C40&lt;&gt;"",FT!C40,F40/$M$3*$M$4),"")</f>
        <v>15.3963</v>
      </c>
      <c r="V40" s="287" t="str">
        <f>IF(V36&lt;1,lang!B231,IF(V36&lt;2.5,lang!B230,lang!B229))</f>
        <v>높 음</v>
      </c>
      <c r="W40" s="287" t="str">
        <f>IF(W36&lt;=35,lang!B242,IF(W36&lt;60,lang!B241,lang!B240))</f>
        <v>높 음</v>
      </c>
      <c r="X40" t="s">
        <v>1055</v>
      </c>
      <c r="Y40" s="75">
        <f t="shared" si="3"/>
        <v>8.9121086228920312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38"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1.125440943487438E-3</v>
      </c>
      <c r="D41" s="50">
        <f>IF(hist!$D$2&gt;0,hist!B41/hist!$D$2,0)</f>
        <v>0.82835315230016426</v>
      </c>
      <c r="E41" s="50">
        <f t="shared" si="1"/>
        <v>1.1789105059485654E-2</v>
      </c>
      <c r="F41">
        <f t="shared" si="6"/>
        <v>39</v>
      </c>
      <c r="G41" s="50">
        <f>IF(FT!A41&lt;&gt;"",FT!A41*10,"")</f>
        <v>5.9068200000000006</v>
      </c>
      <c r="H41" s="50">
        <f>IF(FT!B41&lt;&gt;"",FT!B41*100,"")</f>
        <v>52.801600000000008</v>
      </c>
      <c r="I41" s="50">
        <f t="shared" si="2"/>
        <v>1</v>
      </c>
      <c r="J41" t="str">
        <f>IF(FT!B41&lt;&gt;"",FT!E41,"")</f>
        <v>0 [15.807264]</v>
      </c>
      <c r="K41">
        <f>IF(FT!B41&lt;&gt;"",IF(FT!C41&lt;&gt;"",FT!C41,F41/$M$3*$M$4),"")</f>
        <v>15.8073</v>
      </c>
      <c r="V41" t="s">
        <v>2216</v>
      </c>
      <c r="W41" s="287" t="s">
        <v>2154</v>
      </c>
      <c r="X41" t="s">
        <v>1056</v>
      </c>
      <c r="Y41" s="75">
        <f t="shared" si="3"/>
        <v>8.9390907459512903</v>
      </c>
      <c r="AA41" s="76" t="s">
        <v>2055</v>
      </c>
      <c r="AJ41" s="76"/>
      <c r="AK41" s="76" t="s">
        <v>2056</v>
      </c>
      <c r="AL41" s="76"/>
      <c r="AM41" s="76"/>
      <c r="CJ41" s="1139"/>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5.9158299999999997</v>
      </c>
      <c r="H42" s="50">
        <f>IF(FT!B42&lt;&gt;"",FT!B42*100,"")</f>
        <v>53.056000000000004</v>
      </c>
      <c r="I42" s="50">
        <f t="shared" si="2"/>
        <v>1</v>
      </c>
      <c r="J42" t="str">
        <f>IF(FT!B42&lt;&gt;"",FT!E42,"")</f>
        <v>0 [16.217847]</v>
      </c>
      <c r="K42">
        <f>IF(FT!B42&lt;&gt;"",IF(FT!C42&lt;&gt;"",FT!C42,F42/$M$3*$M$4),"")</f>
        <v>16.2178</v>
      </c>
      <c r="U42" t="s">
        <v>464</v>
      </c>
      <c r="V42" t="s">
        <v>273</v>
      </c>
      <c r="Y42" s="75">
        <f t="shared" si="3"/>
        <v>8.9684794863949779</v>
      </c>
      <c r="AA42" s="446" t="s">
        <v>2043</v>
      </c>
      <c r="AB42" s="76"/>
      <c r="AC42" s="76"/>
      <c r="AJ42" s="76"/>
      <c r="AK42" s="76"/>
      <c r="AL42" s="76"/>
      <c r="AM42" s="76"/>
      <c r="CJ42" s="1139"/>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5.9220300000000003</v>
      </c>
      <c r="H43" s="50">
        <f>IF(FT!B43&lt;&gt;"",FT!B43*100,"")</f>
        <v>53.265900000000002</v>
      </c>
      <c r="I43" s="50">
        <f t="shared" si="2"/>
        <v>1</v>
      </c>
      <c r="J43" t="str">
        <f>IF(FT!B43&lt;&gt;"",FT!E43,"")</f>
        <v>0 [16.619863]</v>
      </c>
      <c r="K43">
        <f>IF(FT!B43&lt;&gt;"",IF(FT!C43&lt;&gt;"",FT!C43,F43/$M$3*$M$4),"")</f>
        <v>16.619900000000001</v>
      </c>
      <c r="V43" s="287" t="str">
        <f>IF(M!B17="","",IF(W43&lt;5,CJ4,IF(W43&lt;10,CK4,IF(W43&lt;30,CL4,IF(W43&lt;40,CM4,CN4)))))</f>
        <v>보통</v>
      </c>
      <c r="W43" s="287">
        <f>IF(M!B17="","",M!B17*1)</f>
        <v>13.194699999999999</v>
      </c>
      <c r="Y43" s="75">
        <f t="shared" si="3"/>
        <v>8.9945339689261949</v>
      </c>
      <c r="AA43" s="447" t="s">
        <v>2044</v>
      </c>
      <c r="AB43" s="447" t="s">
        <v>1178</v>
      </c>
      <c r="AC43" s="76"/>
      <c r="AD43" s="446" t="s">
        <v>2045</v>
      </c>
      <c r="AJ43" s="76"/>
      <c r="AK43" s="76"/>
      <c r="AL43" s="76"/>
      <c r="AM43" s="76"/>
      <c r="CD43" s="76"/>
      <c r="CI43">
        <v>4</v>
      </c>
      <c r="CJ43" s="1141" t="s">
        <v>974</v>
      </c>
      <c r="CK43" s="1152"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1.9274818477267178E-3</v>
      </c>
      <c r="D44" s="50">
        <f>IF(hist!$D$2&gt;0,hist!B44/hist!$D$2,0)</f>
        <v>0.85562312432679</v>
      </c>
      <c r="E44" s="50">
        <f t="shared" si="1"/>
        <v>1.7553163979956189E-2</v>
      </c>
      <c r="F44">
        <f t="shared" si="6"/>
        <v>42</v>
      </c>
      <c r="G44" s="50">
        <f>IF(FT!A44&lt;&gt;"",FT!A44*10,"")</f>
        <v>5.9254700000000007</v>
      </c>
      <c r="H44" s="50">
        <f>IF(FT!B44&lt;&gt;"",FT!B44*100,"")</f>
        <v>53.440899999999999</v>
      </c>
      <c r="I44" s="50">
        <f t="shared" si="2"/>
        <v>1</v>
      </c>
      <c r="J44" t="str">
        <f>IF(FT!B44&lt;&gt;"",FT!E44,"")</f>
        <v>0 [17.028048]</v>
      </c>
      <c r="K44">
        <f>IF(FT!B44&lt;&gt;"",IF(FT!C44&lt;&gt;"",FT!C44,F44/$M$3*$M$4),"")</f>
        <v>17.027999999999999</v>
      </c>
      <c r="V44" s="287" t="str">
        <f>IF(M!B17="","",IF(W43&lt;5,CJ5,IF(W43&lt;10,CK5,IF(W43&lt;30,CL5,IF(W43&lt;40,CM5,CN5)))))</f>
        <v>감정변화가 안정된 정상적인 상태</v>
      </c>
      <c r="Y44" s="75">
        <f t="shared" si="3"/>
        <v>9.0188457624458476</v>
      </c>
      <c r="AA44" s="447" t="s">
        <v>2046</v>
      </c>
      <c r="AB44" s="447" t="s">
        <v>462</v>
      </c>
      <c r="AC44" s="76"/>
      <c r="AD44" s="446" t="s">
        <v>2047</v>
      </c>
      <c r="CJ44" s="1141"/>
      <c r="CK44" s="1153"/>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5.9291799999999997</v>
      </c>
      <c r="H45" s="50">
        <f>IF(FT!B45&lt;&gt;"",FT!B45*100,"")</f>
        <v>53.666499999999992</v>
      </c>
      <c r="I45" s="50">
        <f t="shared" si="2"/>
        <v>1</v>
      </c>
      <c r="J45" t="str">
        <f>IF(FT!B45&lt;&gt;"",FT!E45,"")</f>
        <v>0 [17.427373]</v>
      </c>
      <c r="K45">
        <f>IF(FT!B45&lt;&gt;"",IF(FT!C45&lt;&gt;"",FT!C45,F45/$M$3*$M$4),"")</f>
        <v>17.427399999999999</v>
      </c>
      <c r="V45" s="287">
        <f>IF(M!B17="","",IF(W43&lt;5,CJ3,IF(W43&lt;10,CK3,IF(W43&lt;30,CL3,IF(W43&lt;40,CM3,CN3)))))</f>
        <v>3</v>
      </c>
      <c r="Y45" s="75">
        <f t="shared" si="3"/>
        <v>9.0512516064616015</v>
      </c>
      <c r="AA45" s="447" t="s">
        <v>2048</v>
      </c>
      <c r="AB45" s="447" t="s">
        <v>460</v>
      </c>
      <c r="AC45" s="76"/>
      <c r="AD45" s="446" t="s">
        <v>2049</v>
      </c>
      <c r="CJ45" s="1141"/>
      <c r="CK45" s="1154"/>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1.2645038697726956E-3</v>
      </c>
      <c r="D46" s="50">
        <f>IF(hist!$D$2&gt;0,hist!B46/hist!$D$2,0)</f>
        <v>0.88802520986678479</v>
      </c>
      <c r="E46" s="50">
        <f t="shared" si="1"/>
        <v>2.2648425287834031E-2</v>
      </c>
      <c r="F46">
        <f t="shared" si="6"/>
        <v>44</v>
      </c>
      <c r="G46" s="50">
        <f>IF(FT!A46&lt;&gt;"",FT!A46*10,"")</f>
        <v>5.9329699999999992</v>
      </c>
      <c r="H46" s="50">
        <f>IF(FT!B46&lt;&gt;"",FT!B46*100,"")</f>
        <v>53.933</v>
      </c>
      <c r="I46" s="50">
        <f t="shared" si="2"/>
        <v>1</v>
      </c>
      <c r="J46" t="str">
        <f>IF(FT!B46&lt;&gt;"",FT!E46,"")</f>
        <v>0 [17.839225]</v>
      </c>
      <c r="K46">
        <f>IF(FT!B46&lt;&gt;"",IF(FT!C46&lt;&gt;"",FT!C46,F46/$M$3*$M$4),"")</f>
        <v>17.839200000000002</v>
      </c>
      <c r="Y46" s="75">
        <f t="shared" si="3"/>
        <v>9.0903881192724736</v>
      </c>
      <c r="AA46" s="447" t="s">
        <v>2050</v>
      </c>
      <c r="AB46" s="447" t="s">
        <v>458</v>
      </c>
      <c r="AC46" s="76"/>
      <c r="AD46" s="446" t="s">
        <v>2051</v>
      </c>
      <c r="CI46">
        <v>5</v>
      </c>
      <c r="CJ46" s="1138" t="s">
        <v>975</v>
      </c>
      <c r="CK46" s="1152"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5.935550000000001</v>
      </c>
      <c r="H47" s="50">
        <f>IF(FT!B47&lt;&gt;"",FT!B47*100,"")</f>
        <v>54.217800000000004</v>
      </c>
      <c r="I47" s="50">
        <f t="shared" si="2"/>
        <v>1</v>
      </c>
      <c r="J47" t="str">
        <f>IF(FT!B47&lt;&gt;"",FT!E47,"")</f>
        <v>0 [18.246295]</v>
      </c>
      <c r="K47">
        <f>IF(FT!B47&lt;&gt;"",IF(FT!C47&lt;&gt;"",FT!C47,F47/$M$3*$M$4),"")</f>
        <v>18.246300000000002</v>
      </c>
      <c r="Y47" s="75">
        <f t="shared" si="3"/>
        <v>9.1344188828330974</v>
      </c>
      <c r="AA47" s="447" t="s">
        <v>2052</v>
      </c>
      <c r="AB47" s="447" t="s">
        <v>2053</v>
      </c>
      <c r="AC47" s="76"/>
      <c r="AD47" s="446" t="s">
        <v>2054</v>
      </c>
      <c r="CJ47" s="1139"/>
      <c r="CK47" s="1153"/>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5.9343300000000001</v>
      </c>
      <c r="H48" s="50">
        <f>IF(FT!B48&lt;&gt;"",FT!B48*100,"")</f>
        <v>54.473700000000001</v>
      </c>
      <c r="I48" s="50">
        <f t="shared" si="2"/>
        <v>1</v>
      </c>
      <c r="J48" t="str">
        <f>IF(FT!B48&lt;&gt;"",FT!E48,"")</f>
        <v>0 [18.649437]</v>
      </c>
      <c r="K48">
        <f>IF(FT!B48&lt;&gt;"",IF(FT!C48&lt;&gt;"",FT!C48,F48/$M$3*$M$4),"")</f>
        <v>18.6494</v>
      </c>
      <c r="Y48" s="75">
        <f t="shared" si="3"/>
        <v>9.179418738088378</v>
      </c>
      <c r="CJ48" s="1140"/>
      <c r="CK48" s="1154"/>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4.2204071278484825E-3</v>
      </c>
      <c r="D49" s="50">
        <f>IF(hist!$D$2&gt;0,hist!B49/hist!$D$2,0)</f>
        <v>0.91908684256561191</v>
      </c>
      <c r="E49" s="50">
        <f t="shared" si="1"/>
        <v>3.267467256268837E-2</v>
      </c>
      <c r="F49">
        <f t="shared" si="6"/>
        <v>47</v>
      </c>
      <c r="G49" s="50">
        <f>IF(FT!A49&lt;&gt;"",FT!A49*10,"")</f>
        <v>5.9278399999999998</v>
      </c>
      <c r="H49" s="50">
        <f>IF(FT!B49&lt;&gt;"",FT!B49*100,"")</f>
        <v>54.665900000000001</v>
      </c>
      <c r="I49" s="50">
        <f t="shared" si="2"/>
        <v>1</v>
      </c>
      <c r="J49" t="str">
        <f>IF(FT!B49&lt;&gt;"",FT!E49,"")</f>
        <v>0 [19.058820]</v>
      </c>
      <c r="K49">
        <f>IF(FT!B49&lt;&gt;"",IF(FT!C49&lt;&gt;"",FT!C49,F49/$M$3*$M$4),"")</f>
        <v>19.058800000000002</v>
      </c>
      <c r="Y49" s="75">
        <f t="shared" si="3"/>
        <v>9.2218919538988917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5.9198599999999999</v>
      </c>
      <c r="H50" s="50">
        <f>IF(FT!B50&lt;&gt;"",FT!B50*100,"")</f>
        <v>54.784600000000005</v>
      </c>
      <c r="I50" s="50">
        <f t="shared" si="2"/>
        <v>1</v>
      </c>
      <c r="J50" t="str">
        <f>IF(FT!B50&lt;&gt;"",FT!E50,"")</f>
        <v>0 [19.469855]</v>
      </c>
      <c r="K50">
        <f>IF(FT!B50&lt;&gt;"",IF(FT!C50&lt;&gt;"",FT!C50,F50/$M$3*$M$4),"")</f>
        <v>19.469899999999999</v>
      </c>
      <c r="V50" t="s">
        <v>1427</v>
      </c>
      <c r="Y50" s="75">
        <f t="shared" si="3"/>
        <v>9.2543742588507172</v>
      </c>
    </row>
    <row r="51" spans="1:25">
      <c r="A51" s="50">
        <f t="shared" si="5"/>
        <v>49</v>
      </c>
      <c r="B51" s="50">
        <f t="shared" si="0"/>
        <v>0.94606701960784312</v>
      </c>
      <c r="C51" s="50">
        <f>IF(FH!$C$2&gt;0,FH!A51/FH!$C$2,0)</f>
        <v>1.8304575282275626E-3</v>
      </c>
      <c r="D51" s="50">
        <f>IF(hist!$D$2&gt;0,hist!B51/hist!$D$2,0)</f>
        <v>0.94477689266629261</v>
      </c>
      <c r="E51" s="50">
        <f t="shared" si="1"/>
        <v>4.1281894481002994E-2</v>
      </c>
      <c r="F51">
        <f t="shared" si="6"/>
        <v>49</v>
      </c>
      <c r="G51" s="50">
        <f>IF(FT!A51&lt;&gt;"",FT!A51*10,"")</f>
        <v>5.9092500000000001</v>
      </c>
      <c r="H51" s="50">
        <f>IF(FT!B51&lt;&gt;"",FT!B51*100,"")</f>
        <v>54.853200000000001</v>
      </c>
      <c r="I51" s="50">
        <f t="shared" si="2"/>
        <v>1</v>
      </c>
      <c r="J51" t="str">
        <f>IF(FT!B51&lt;&gt;"",FT!E51,"")</f>
        <v>0 [19.870727]</v>
      </c>
      <c r="K51">
        <f>IF(FT!B51&lt;&gt;"",IF(FT!C51&lt;&gt;"",FT!C51,F51/$M$3*$M$4),"")</f>
        <v>19.870699999999999</v>
      </c>
      <c r="V51" s="56">
        <v>50</v>
      </c>
      <c r="W51">
        <v>50</v>
      </c>
      <c r="Y51" s="75">
        <f t="shared" si="3"/>
        <v>9.2825993146338366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5.9006899999999991</v>
      </c>
      <c r="H52" s="50">
        <f>IF(FT!B52&lt;&gt;"",FT!B52*100,"")</f>
        <v>54.911600000000007</v>
      </c>
      <c r="I52" s="50">
        <f t="shared" si="2"/>
        <v>1</v>
      </c>
      <c r="J52" t="str">
        <f>IF(FT!B52&lt;&gt;"",FT!E52,"")</f>
        <v>0 [20.276135]</v>
      </c>
      <c r="K52">
        <f>IF(FT!B52&lt;&gt;"",IF(FT!C52&lt;&gt;"",FT!C52,F52/$M$3*$M$4),"")</f>
        <v>20.2761</v>
      </c>
      <c r="V52" s="288">
        <f>Measurement!DK17*100</f>
        <v>82.735948562032462</v>
      </c>
      <c r="W52" s="303">
        <f ca="1">100-N9</f>
        <v>50.538845890410975</v>
      </c>
      <c r="X52" t="str">
        <f ca="1">"(" &amp; ROUND(V52,1) &amp; " , " &amp; ROUND(100-W52,1) &amp; ")"</f>
        <v>(82.7 , 49.5)</v>
      </c>
      <c r="Y52" s="75">
        <f t="shared" si="3"/>
        <v>9.3059625230269702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5.8897999999999993</v>
      </c>
      <c r="H53" s="50">
        <f>IF(FT!B53&lt;&gt;"",FT!B53*100,"")</f>
        <v>54.942399999999999</v>
      </c>
      <c r="I53" s="50">
        <f t="shared" si="2"/>
        <v>1</v>
      </c>
      <c r="J53" t="str">
        <f>IF(FT!B53&lt;&gt;"",FT!E53,"")</f>
        <v>0 [20.676743]</v>
      </c>
      <c r="K53">
        <f>IF(FT!B53&lt;&gt;"",IF(FT!C53&lt;&gt;"",FT!C53,F53/$M$3*$M$4),"")</f>
        <v>20.6767</v>
      </c>
      <c r="Y53" s="75">
        <f t="shared" si="3"/>
        <v>9.3283982478182637</v>
      </c>
    </row>
    <row r="54" spans="1:25">
      <c r="A54" s="50">
        <f t="shared" si="5"/>
        <v>52</v>
      </c>
      <c r="B54" s="50">
        <f t="shared" si="0"/>
        <v>1.0039894901960784</v>
      </c>
      <c r="C54" s="50">
        <f>IF(FH!$C$2&gt;0,FH!A54/FH!$C$2,0)</f>
        <v>1.5976106486954773E-3</v>
      </c>
      <c r="D54" s="50">
        <f>IF(hist!$D$2&gt;0,hist!B54/hist!$D$2,0)</f>
        <v>0.96048095319627713</v>
      </c>
      <c r="E54" s="50">
        <f t="shared" si="1"/>
        <v>5.7707400661275575E-2</v>
      </c>
      <c r="F54">
        <f t="shared" si="6"/>
        <v>52</v>
      </c>
      <c r="G54" s="50">
        <f>IF(FT!A54&lt;&gt;"",FT!A54*10,"")</f>
        <v>5.8758499999999998</v>
      </c>
      <c r="H54" s="50">
        <f>IF(FT!B54&lt;&gt;"",FT!B54*100,"")</f>
        <v>54.916299999999993</v>
      </c>
      <c r="I54" s="50">
        <f t="shared" si="2"/>
        <v>1</v>
      </c>
      <c r="J54" t="str">
        <f>IF(FT!B54&lt;&gt;"",FT!E54,"")</f>
        <v>0 [21.083367]</v>
      </c>
      <c r="K54">
        <f>IF(FT!B54&lt;&gt;"",IF(FT!C54&lt;&gt;"",FT!C54,F54/$M$3*$M$4),"")</f>
        <v>21.083400000000001</v>
      </c>
      <c r="Y54" s="75">
        <f t="shared" si="3"/>
        <v>9.3461031169958382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5.8588500000000003</v>
      </c>
      <c r="H55" s="50">
        <f>IF(FT!B55&lt;&gt;"",FT!B55*100,"")</f>
        <v>54.9206</v>
      </c>
      <c r="I55" s="50">
        <f t="shared" si="2"/>
        <v>1</v>
      </c>
      <c r="J55" t="str">
        <f>IF(FT!B55&lt;&gt;"",FT!E55,"")</f>
        <v>0 [21.499554]</v>
      </c>
      <c r="K55">
        <f>IF(FT!B55&lt;&gt;"",IF(FT!C55&lt;&gt;"",FT!C55,F55/$M$3*$M$4),"")</f>
        <v>21.499600000000001</v>
      </c>
      <c r="Y55" s="75">
        <f t="shared" si="3"/>
        <v>9.3739556397586554</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5.8409500000000003</v>
      </c>
      <c r="H56" s="50">
        <f>IF(FT!B56&lt;&gt;"",FT!B56*100,"")</f>
        <v>54.971099999999993</v>
      </c>
      <c r="I56" s="50">
        <f t="shared" si="2"/>
        <v>1</v>
      </c>
      <c r="J56" t="str">
        <f>IF(FT!B56&lt;&gt;"",FT!E56,"")</f>
        <v>0 [21.891381]</v>
      </c>
      <c r="K56">
        <f>IF(FT!B56&lt;&gt;"",IF(FT!C56&lt;&gt;"",FT!C56,F56/$M$3*$M$4),"")</f>
        <v>21.891400000000001</v>
      </c>
      <c r="Y56" s="75">
        <f t="shared" si="3"/>
        <v>9.4113286366087685</v>
      </c>
    </row>
    <row r="57" spans="1:25">
      <c r="A57" s="50">
        <f t="shared" si="5"/>
        <v>55</v>
      </c>
      <c r="B57" s="50">
        <f t="shared" si="0"/>
        <v>1.0619119607843137</v>
      </c>
      <c r="C57" s="50">
        <f>IF(FH!$C$2&gt;0,FH!A57/FH!$C$2,0)</f>
        <v>2.823306705212825E-3</v>
      </c>
      <c r="D57" s="50">
        <f>IF(hist!$D$2&gt;0,hist!B57/hist!$D$2,0)</f>
        <v>0.97567735277320589</v>
      </c>
      <c r="E57" s="50">
        <f t="shared" si="1"/>
        <v>7.9155774427132328E-2</v>
      </c>
      <c r="F57">
        <f t="shared" si="6"/>
        <v>55</v>
      </c>
      <c r="G57" s="50">
        <f>IF(FT!A57&lt;&gt;"",FT!A57*10,"")</f>
        <v>5.8241100000000001</v>
      </c>
      <c r="H57" s="50">
        <f>IF(FT!B57&lt;&gt;"",FT!B57*100,"")</f>
        <v>55.044600000000003</v>
      </c>
      <c r="I57" s="50">
        <f t="shared" si="2"/>
        <v>1</v>
      </c>
      <c r="J57" t="str">
        <f>IF(FT!B57&lt;&gt;"",FT!E57,"")</f>
        <v>0 [22.316175]</v>
      </c>
      <c r="K57">
        <f>IF(FT!B57&lt;&gt;"",IF(FT!C57&lt;&gt;"",FT!C57,F57/$M$3*$M$4),"")</f>
        <v>22.316199999999998</v>
      </c>
      <c r="Y57" s="75">
        <f t="shared" si="3"/>
        <v>9.4511607782133247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5.8095300000000005</v>
      </c>
      <c r="H58" s="50">
        <f>IF(FT!B58&lt;&gt;"",FT!B58*100,"")</f>
        <v>55.093499999999992</v>
      </c>
      <c r="I58" s="50">
        <f t="shared" si="2"/>
        <v>1</v>
      </c>
      <c r="J58" t="str">
        <f>IF(FT!B58&lt;&gt;"",FT!E58,"")</f>
        <v>0 [22.712374]</v>
      </c>
      <c r="K58">
        <f>IF(FT!B58&lt;&gt;"",IF(FT!C58&lt;&gt;"",FT!C58,F58/$M$3*$M$4),"")</f>
        <v>22.712399999999999</v>
      </c>
      <c r="Y58" s="75">
        <f t="shared" si="3"/>
        <v>9.4832972718963475</v>
      </c>
    </row>
    <row r="59" spans="1:25" ht="16.5" customHeight="1">
      <c r="A59" s="50">
        <f t="shared" si="5"/>
        <v>57</v>
      </c>
      <c r="B59" s="50">
        <f t="shared" si="0"/>
        <v>1.1005269411764707</v>
      </c>
      <c r="C59" s="50">
        <f>IF(FH!$C$2&gt;0,FH!A59/FH!$C$2,0)</f>
        <v>3.3213466904708343E-3</v>
      </c>
      <c r="D59" s="50">
        <f>IF(hist!$D$2&gt;0,hist!B59/hist!$D$2,0)</f>
        <v>0.98733464535181481</v>
      </c>
      <c r="E59" s="50">
        <f t="shared" si="1"/>
        <v>9.6697715841044085E-2</v>
      </c>
      <c r="F59">
        <f t="shared" si="6"/>
        <v>57</v>
      </c>
      <c r="G59" s="50">
        <f>IF(FT!A59&lt;&gt;"",FT!A59*10,"")</f>
        <v>5.7958299999999996</v>
      </c>
      <c r="H59" s="50">
        <f>IF(FT!B59&lt;&gt;"",FT!B59*100,"")</f>
        <v>55.113299999999995</v>
      </c>
      <c r="I59" s="50">
        <f t="shared" si="2"/>
        <v>1</v>
      </c>
      <c r="J59" t="str">
        <f>IF(FT!B59&lt;&gt;"",FT!E59,"")</f>
        <v>0 [23.110490]</v>
      </c>
      <c r="K59">
        <f>IF(FT!B59&lt;&gt;"",IF(FT!C59&lt;&gt;"",FT!C59,F59/$M$3*$M$4),"")</f>
        <v>23.110499999999998</v>
      </c>
      <c r="Y59" s="75">
        <f t="shared" si="3"/>
        <v>9.5091298399021369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5.7852300000000003</v>
      </c>
      <c r="H60" s="50">
        <f>IF(FT!B60&lt;&gt;"",FT!B60*100,"")</f>
        <v>55.133299999999998</v>
      </c>
      <c r="I60" s="50">
        <f t="shared" si="2"/>
        <v>1</v>
      </c>
      <c r="J60" t="str">
        <f>IF(FT!B60&lt;&gt;"",FT!E60,"")</f>
        <v>0 [23.511147]</v>
      </c>
      <c r="K60">
        <f>IF(FT!B60&lt;&gt;"",IF(FT!C60&lt;&gt;"",FT!C60,F60/$M$3*$M$4),"")</f>
        <v>23.511099999999999</v>
      </c>
      <c r="Y60" s="75">
        <f t="shared" si="3"/>
        <v>9.5300100428159293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5.7749600000000001</v>
      </c>
      <c r="H61" s="50">
        <f>IF(FT!B61&lt;&gt;"",FT!B61*100,"")</f>
        <v>55.148099999999999</v>
      </c>
      <c r="I61" s="50">
        <f t="shared" si="2"/>
        <v>1</v>
      </c>
      <c r="J61" t="str">
        <f>IF(FT!B61&lt;&gt;"",FT!E61,"")</f>
        <v>0 [23.918728]</v>
      </c>
      <c r="K61">
        <f>IF(FT!B61&lt;&gt;"",IF(FT!C61&lt;&gt;"",FT!C61,F61/$M$3*$M$4),"")</f>
        <v>23.918700000000001</v>
      </c>
      <c r="Y61" s="75">
        <f t="shared" si="3"/>
        <v>9.5495206893207918</v>
      </c>
    </row>
    <row r="62" spans="1:25">
      <c r="A62" s="50">
        <f t="shared" si="5"/>
        <v>60</v>
      </c>
      <c r="B62" s="50">
        <f t="shared" si="0"/>
        <v>1.1584494117647057</v>
      </c>
      <c r="C62" s="50">
        <f>IF(FH!$C$2&gt;0,FH!A62/FH!$C$2,0)</f>
        <v>3.2178559975493833E-3</v>
      </c>
      <c r="D62" s="50">
        <f>IF(hist!$D$2&gt;0,hist!B62/hist!$D$2,0)</f>
        <v>1</v>
      </c>
      <c r="E62" s="50">
        <f t="shared" si="1"/>
        <v>0.12851859397574797</v>
      </c>
      <c r="F62">
        <f t="shared" si="6"/>
        <v>60</v>
      </c>
      <c r="G62" s="50">
        <f>IF(FT!A62&lt;&gt;"",FT!A62*10,"")</f>
        <v>5.762080000000001</v>
      </c>
      <c r="H62" s="50">
        <f>IF(FT!B62&lt;&gt;"",FT!B62*100,"")</f>
        <v>55.114100000000001</v>
      </c>
      <c r="I62" s="50">
        <f t="shared" si="2"/>
        <v>1</v>
      </c>
      <c r="J62" t="str">
        <f>IF(FT!B62&lt;&gt;"",FT!E62,"")</f>
        <v>0 [24.326494]</v>
      </c>
      <c r="K62">
        <f>IF(FT!B62&lt;&gt;"",IF(FT!C62&lt;&gt;"",FT!C62,F62/$M$3*$M$4),"")</f>
        <v>24.326499999999999</v>
      </c>
      <c r="Y62" s="75">
        <f t="shared" si="3"/>
        <v>9.5649661233443464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5.74627</v>
      </c>
      <c r="H63" s="50">
        <f>IF(FT!B63&lt;&gt;"",FT!B63*100,"")</f>
        <v>55.090700000000005</v>
      </c>
      <c r="I63" s="50">
        <f t="shared" si="2"/>
        <v>1</v>
      </c>
      <c r="J63" t="str">
        <f>IF(FT!B63&lt;&gt;"",FT!E63,"")</f>
        <v>0 [24.743374]</v>
      </c>
      <c r="K63">
        <f>IF(FT!B63&lt;&gt;"",IF(FT!C63&lt;&gt;"",FT!C63,F63/$M$3*$M$4),"")</f>
        <v>24.743400000000001</v>
      </c>
      <c r="Y63" s="75">
        <f t="shared" si="3"/>
        <v>9.5872104861066401</v>
      </c>
    </row>
    <row r="64" spans="1:25">
      <c r="A64" s="50">
        <f t="shared" si="5"/>
        <v>62</v>
      </c>
      <c r="B64" s="50">
        <f t="shared" si="0"/>
        <v>1.1970643921568627</v>
      </c>
      <c r="C64" s="50">
        <f>IF(FH!$C$2&gt;0,FH!A64/FH!$C$2,0)</f>
        <v>4.6699373465373074E-3</v>
      </c>
      <c r="D64" s="50">
        <f>IF(hist!$D$2&gt;0,hist!B64/hist!$D$2,0)</f>
        <v>0.9909023485085795</v>
      </c>
      <c r="E64" s="50">
        <f t="shared" si="1"/>
        <v>0.15373238065593908</v>
      </c>
      <c r="F64">
        <f t="shared" si="6"/>
        <v>62</v>
      </c>
      <c r="G64" s="50">
        <f>IF(FT!A64&lt;&gt;"",FT!A64*10,"")</f>
        <v>5.73536</v>
      </c>
      <c r="H64" s="50">
        <f>IF(FT!B64&lt;&gt;"",FT!B64*100,"")</f>
        <v>55.060900000000004</v>
      </c>
      <c r="I64" s="50">
        <f t="shared" si="2"/>
        <v>1</v>
      </c>
      <c r="J64" t="str">
        <f>IF(FT!B64&lt;&gt;"",FT!E64,"")</f>
        <v>0 [25.139937]</v>
      </c>
      <c r="K64">
        <f>IF(FT!B64&lt;&gt;"",IF(FT!C64&lt;&gt;"",FT!C64,F64/$M$3*$M$4),"")</f>
        <v>25.139900000000001</v>
      </c>
      <c r="Y64" s="75">
        <f t="shared" si="3"/>
        <v>9.6002517714668318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5.7308400000000006</v>
      </c>
      <c r="H65" s="50">
        <f>IF(FT!B65&lt;&gt;"",FT!B65*100,"")</f>
        <v>55.012300000000003</v>
      </c>
      <c r="I65" s="50">
        <f t="shared" si="2"/>
        <v>1</v>
      </c>
      <c r="J65" t="str">
        <f>IF(FT!B65&lt;&gt;"",FT!E65,"")</f>
        <v>0 [25.552573]</v>
      </c>
      <c r="K65">
        <f>IF(FT!B65&lt;&gt;"",IF(FT!C65&lt;&gt;"",FT!C65,F65/$M$3*$M$4),"")</f>
        <v>25.552600000000002</v>
      </c>
      <c r="Y65" s="75">
        <f t="shared" si="3"/>
        <v>9.5993432027416574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5.72621</v>
      </c>
      <c r="H66" s="50">
        <f>IF(FT!B66&lt;&gt;"",FT!B66*100,"")</f>
        <v>54.9895</v>
      </c>
      <c r="I66" s="50">
        <f t="shared" si="2"/>
        <v>1</v>
      </c>
      <c r="J66" t="str">
        <f>IF(FT!B66&lt;&gt;"",FT!E66,"")</f>
        <v>0 [25.956954]</v>
      </c>
      <c r="K66">
        <f>IF(FT!B66&lt;&gt;"",IF(FT!C66&lt;&gt;"",FT!C66,F66/$M$3*$M$4),"")</f>
        <v>25.957000000000001</v>
      </c>
      <c r="Y66" s="75">
        <f t="shared" si="3"/>
        <v>9.6031231826985035</v>
      </c>
    </row>
    <row r="67" spans="1:25">
      <c r="A67" s="50">
        <f t="shared" si="5"/>
        <v>65</v>
      </c>
      <c r="B67" s="50">
        <f t="shared" ref="B67:B130" si="16">A67/255*$M$2</f>
        <v>1.254986862745098</v>
      </c>
      <c r="C67" s="50">
        <f>IF(FH!$C$2&gt;0,FH!A67/FH!$C$2,0)</f>
        <v>1.1914161405658435E-2</v>
      </c>
      <c r="D67" s="50">
        <f>IF(hist!$D$2&gt;0,hist!B67/hist!$D$2,0)</f>
        <v>0.98398357656142366</v>
      </c>
      <c r="E67" s="50">
        <f t="shared" ref="E67:E130" si="17">NORMDIST(B67,2,0.421,FALSE)</f>
        <v>0.19797655525187485</v>
      </c>
      <c r="F67">
        <f t="shared" si="6"/>
        <v>65</v>
      </c>
      <c r="G67" s="50">
        <f>IF(FT!A67&lt;&gt;"",FT!A67*10,"")</f>
        <v>5.7222200000000001</v>
      </c>
      <c r="H67" s="50">
        <f>IF(FT!B67&lt;&gt;"",FT!B67*100,"")</f>
        <v>54.957000000000001</v>
      </c>
      <c r="I67" s="50">
        <f t="shared" ref="I67:I130" si="18">(IF(G67&lt;&gt;"",1,""))</f>
        <v>1</v>
      </c>
      <c r="J67" t="str">
        <f>IF(FT!B67&lt;&gt;"",FT!E67,"")</f>
        <v>0 [26.353927]</v>
      </c>
      <c r="K67">
        <f>IF(FT!B67&lt;&gt;"",IF(FT!C67&lt;&gt;"",FT!C67,F67/$M$3*$M$4),"")</f>
        <v>26.353899999999999</v>
      </c>
      <c r="Y67" s="75">
        <f t="shared" ref="Y67:Y130" si="19">IF(I67=1,H67/G67,"")</f>
        <v>9.6041396520930693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5.7216699999999996</v>
      </c>
      <c r="H68" s="50">
        <f>IF(FT!B68&lt;&gt;"",FT!B68*100,"")</f>
        <v>54.895200000000003</v>
      </c>
      <c r="I68" s="50">
        <f t="shared" si="18"/>
        <v>1</v>
      </c>
      <c r="J68" t="str">
        <f>IF(FT!B68&lt;&gt;"",FT!E68,"")</f>
        <v>0 [26.769584]</v>
      </c>
      <c r="K68">
        <f>IF(FT!B68&lt;&gt;"",IF(FT!C68&lt;&gt;"",FT!C68,F68/$M$3*$M$4),"")</f>
        <v>26.769600000000001</v>
      </c>
      <c r="Y68" s="75">
        <f t="shared" si="19"/>
        <v>9.5942618151693484</v>
      </c>
    </row>
    <row r="69" spans="1:25" ht="16.5" customHeight="1">
      <c r="A69" s="50">
        <f t="shared" si="20"/>
        <v>67</v>
      </c>
      <c r="B69" s="50">
        <f t="shared" si="16"/>
        <v>1.2936018431372549</v>
      </c>
      <c r="C69" s="50">
        <f>IF(FH!$C$2&gt;0,FH!A69/FH!$C$2,0)</f>
        <v>1.7078884012119062E-2</v>
      </c>
      <c r="D69" s="50">
        <f>IF(hist!$D$2&gt;0,hist!B69/hist!$D$2,0)</f>
        <v>0.97794609389876808</v>
      </c>
      <c r="E69" s="50">
        <f t="shared" si="17"/>
        <v>0.23188834663388441</v>
      </c>
      <c r="F69">
        <f t="shared" si="21"/>
        <v>67</v>
      </c>
      <c r="G69" s="50">
        <f>IF(FT!A69&lt;&gt;"",FT!A69*10,"")</f>
        <v>5.7225400000000004</v>
      </c>
      <c r="H69" s="50">
        <f>IF(FT!B69&lt;&gt;"",FT!B69*100,"")</f>
        <v>54.808500000000002</v>
      </c>
      <c r="I69" s="50">
        <f t="shared" si="18"/>
        <v>1</v>
      </c>
      <c r="J69" t="str">
        <f>IF(FT!B69&lt;&gt;"",FT!E69,"")</f>
        <v>0 [27.177117]</v>
      </c>
      <c r="K69">
        <f>IF(FT!B69&lt;&gt;"",IF(FT!C69&lt;&gt;"",FT!C69,F69/$M$3*$M$4),"")</f>
        <v>27.177099999999999</v>
      </c>
      <c r="Y69" s="75">
        <f t="shared" si="19"/>
        <v>9.5776525808469657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5.7221500000000001</v>
      </c>
      <c r="H70" s="50">
        <f>IF(FT!B70&lt;&gt;"",FT!B70*100,"")</f>
        <v>54.723100000000002</v>
      </c>
      <c r="I70" s="50">
        <f t="shared" si="18"/>
        <v>1</v>
      </c>
      <c r="J70" t="str">
        <f>IF(FT!B70&lt;&gt;"",FT!E70,"")</f>
        <v>0 [27.585228]</v>
      </c>
      <c r="K70">
        <f>IF(FT!B70&lt;&gt;"",IF(FT!C70&lt;&gt;"",FT!C70,F70/$M$3*$M$4),"")</f>
        <v>27.5852</v>
      </c>
      <c r="Y70" s="75">
        <f t="shared" si="19"/>
        <v>9.5633808970404477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5.71889</v>
      </c>
      <c r="H71" s="50">
        <f>IF(FT!B71&lt;&gt;"",FT!B71*100,"")</f>
        <v>54.6569</v>
      </c>
      <c r="I71" s="50">
        <f t="shared" si="18"/>
        <v>1</v>
      </c>
      <c r="J71" t="str">
        <f>IF(FT!B71&lt;&gt;"",FT!E71,"")</f>
        <v>0 [27.993631]</v>
      </c>
      <c r="K71">
        <f>IF(FT!B71&lt;&gt;"",IF(FT!C71&lt;&gt;"",FT!C71,F71/$M$3*$M$4),"")</f>
        <v>27.993600000000001</v>
      </c>
      <c r="Y71" s="75">
        <f t="shared" si="19"/>
        <v>9.5572567403814368</v>
      </c>
    </row>
    <row r="72" spans="1:25">
      <c r="A72" s="50">
        <f t="shared" si="20"/>
        <v>70</v>
      </c>
      <c r="B72" s="50">
        <f t="shared" si="16"/>
        <v>1.3515243137254902</v>
      </c>
      <c r="C72" s="50">
        <f>IF(FH!$C$2&gt;0,FH!A72/FH!$C$2,0)</f>
        <v>2.1729407879307126E-2</v>
      </c>
      <c r="D72" s="50">
        <f>IF(hist!$D$2&gt;0,hist!B72/hist!$D$2,0)</f>
        <v>0.97094328512288353</v>
      </c>
      <c r="E72" s="50">
        <f t="shared" si="17"/>
        <v>0.28935167144361945</v>
      </c>
      <c r="F72">
        <f t="shared" si="21"/>
        <v>70</v>
      </c>
      <c r="G72" s="50">
        <f>IF(FT!A72&lt;&gt;"",FT!A72*10,"")</f>
        <v>5.7153200000000002</v>
      </c>
      <c r="H72" s="50">
        <f>IF(FT!B72&lt;&gt;"",FT!B72*100,"")</f>
        <v>54.570399999999999</v>
      </c>
      <c r="I72" s="50">
        <f t="shared" si="18"/>
        <v>1</v>
      </c>
      <c r="J72" t="str">
        <f>IF(FT!B72&lt;&gt;"",FT!E72,"")</f>
        <v>0 [28.384829]</v>
      </c>
      <c r="K72">
        <f>IF(FT!B72&lt;&gt;"",IF(FT!C72&lt;&gt;"",FT!C72,F72/$M$3*$M$4),"")</f>
        <v>28.384799999999998</v>
      </c>
      <c r="Y72" s="75">
        <f t="shared" si="19"/>
        <v>9.5480917953850355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5.7138199999999992</v>
      </c>
      <c r="H73" s="50">
        <f>IF(FT!B73&lt;&gt;"",FT!B73*100,"")</f>
        <v>54.468299999999999</v>
      </c>
      <c r="I73" s="50">
        <f t="shared" si="18"/>
        <v>1</v>
      </c>
      <c r="J73" t="str">
        <f>IF(FT!B73&lt;&gt;"",FT!E73,"")</f>
        <v>0 [28.793279]</v>
      </c>
      <c r="K73">
        <f>IF(FT!B73&lt;&gt;"",IF(FT!C73&lt;&gt;"",FT!C73,F73/$M$3*$M$4),"")</f>
        <v>28.793299999999999</v>
      </c>
      <c r="Y73" s="75">
        <f t="shared" si="19"/>
        <v>9.5327294174475234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5.7145199999999994</v>
      </c>
      <c r="H74" s="50">
        <f>IF(FT!B74&lt;&gt;"",FT!B74*100,"")</f>
        <v>54.371899999999997</v>
      </c>
      <c r="I74" s="50">
        <f t="shared" si="18"/>
        <v>1</v>
      </c>
      <c r="J74" t="str">
        <f>IF(FT!B74&lt;&gt;"",FT!E74,"")</f>
        <v>0 [29.196013]</v>
      </c>
      <c r="K74">
        <f>IF(FT!B74&lt;&gt;"",IF(FT!C74&lt;&gt;"",FT!C74,F74/$M$3*$M$4),"")</f>
        <v>29.196000000000002</v>
      </c>
      <c r="Y74" s="75">
        <f t="shared" si="19"/>
        <v>9.5146923976116984</v>
      </c>
    </row>
    <row r="75" spans="1:25">
      <c r="A75" s="50">
        <f t="shared" si="20"/>
        <v>73</v>
      </c>
      <c r="B75" s="50">
        <f t="shared" si="16"/>
        <v>1.4094467843137253</v>
      </c>
      <c r="C75" s="50">
        <f>IF(FH!$C$2&gt;0,FH!A75/FH!$C$2,0)</f>
        <v>2.8475591953170246E-2</v>
      </c>
      <c r="D75" s="50">
        <f>IF(hist!$D$2&gt;0,hist!B75/hist!$D$2,0)</f>
        <v>0.9548142920096615</v>
      </c>
      <c r="E75" s="50">
        <f t="shared" si="17"/>
        <v>0.35428459040885235</v>
      </c>
      <c r="F75">
        <f t="shared" si="21"/>
        <v>73</v>
      </c>
      <c r="G75" s="50">
        <f>IF(FT!A75&lt;&gt;"",FT!A75*10,"")</f>
        <v>5.7145999999999999</v>
      </c>
      <c r="H75" s="50">
        <f>IF(FT!B75&lt;&gt;"",FT!B75*100,"")</f>
        <v>54.292499999999997</v>
      </c>
      <c r="I75" s="50">
        <f t="shared" si="18"/>
        <v>1</v>
      </c>
      <c r="J75" t="str">
        <f>IF(FT!B75&lt;&gt;"",FT!E75,"")</f>
        <v>0 [29.612666]</v>
      </c>
      <c r="K75">
        <f>IF(FT!B75&lt;&gt;"",IF(FT!C75&lt;&gt;"",FT!C75,F75/$M$3*$M$4),"")</f>
        <v>29.6127</v>
      </c>
      <c r="Y75" s="75">
        <f t="shared" si="19"/>
        <v>9.5006649634270115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5.7143100000000002</v>
      </c>
      <c r="H76" s="50">
        <f>IF(FT!B76&lt;&gt;"",FT!B76*100,"")</f>
        <v>54.220300000000002</v>
      </c>
      <c r="I76" s="50">
        <f t="shared" si="18"/>
        <v>1</v>
      </c>
      <c r="J76" t="str">
        <f>IF(FT!B76&lt;&gt;"",FT!E76,"")</f>
        <v>0 [30.009538]</v>
      </c>
      <c r="K76">
        <f>IF(FT!B76&lt;&gt;"",IF(FT!C76&lt;&gt;"",FT!C76,F76/$M$3*$M$4),"")</f>
        <v>30.009499999999999</v>
      </c>
      <c r="Y76" s="75">
        <f t="shared" si="19"/>
        <v>9.4885121738232616</v>
      </c>
    </row>
    <row r="77" spans="1:25">
      <c r="A77" s="50">
        <f t="shared" si="20"/>
        <v>75</v>
      </c>
      <c r="B77" s="50">
        <f t="shared" si="16"/>
        <v>1.4480617647058822</v>
      </c>
      <c r="C77" s="50">
        <f>IF(FH!$C$2&gt;0,FH!A77/FH!$C$2,0)</f>
        <v>2.947493622174252E-2</v>
      </c>
      <c r="D77" s="50">
        <f>IF(hist!$D$2&gt;0,hist!B77/hist!$D$2,0)</f>
        <v>0.94058598319301423</v>
      </c>
      <c r="E77" s="50">
        <f t="shared" si="17"/>
        <v>0.40123855879074211</v>
      </c>
      <c r="F77">
        <f t="shared" si="21"/>
        <v>75</v>
      </c>
      <c r="G77" s="50">
        <f>IF(FT!A77&lt;&gt;"",FT!A77*10,"")</f>
        <v>5.7118800000000007</v>
      </c>
      <c r="H77" s="50">
        <f>IF(FT!B77&lt;&gt;"",FT!B77*100,"")</f>
        <v>54.128900000000002</v>
      </c>
      <c r="I77" s="50">
        <f t="shared" si="18"/>
        <v>1</v>
      </c>
      <c r="J77" t="str">
        <f>IF(FT!B77&lt;&gt;"",FT!E77,"")</f>
        <v>0 [30.427506]</v>
      </c>
      <c r="K77">
        <f>IF(FT!B77&lt;&gt;"",IF(FT!C77&lt;&gt;"",FT!C77,F77/$M$3*$M$4),"")</f>
        <v>30.427499999999998</v>
      </c>
      <c r="Y77" s="75">
        <f t="shared" si="19"/>
        <v>9.4765471263401881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5.71183</v>
      </c>
      <c r="H78" s="50">
        <f>IF(FT!B78&lt;&gt;"",FT!B78*100,"")</f>
        <v>54.046900000000001</v>
      </c>
      <c r="I78" s="50">
        <f t="shared" si="18"/>
        <v>1</v>
      </c>
      <c r="J78" t="str">
        <f>IF(FT!B78&lt;&gt;"",FT!E78,"")</f>
        <v>0 [30.837218]</v>
      </c>
      <c r="K78">
        <f>IF(FT!B78&lt;&gt;"",IF(FT!C78&lt;&gt;"",FT!C78,F78/$M$3*$M$4),"")</f>
        <v>30.837199999999999</v>
      </c>
      <c r="Y78" s="75">
        <f t="shared" si="19"/>
        <v>9.4622739122137745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5.7102500000000003</v>
      </c>
      <c r="H79" s="50">
        <f>IF(FT!B79&lt;&gt;"",FT!B79*100,"")</f>
        <v>54.008800000000001</v>
      </c>
      <c r="I79" s="50">
        <f t="shared" si="18"/>
        <v>1</v>
      </c>
      <c r="J79" t="str">
        <f>IF(FT!B79&lt;&gt;"",FT!E79,"")</f>
        <v>0 [31.230580]</v>
      </c>
      <c r="K79">
        <f>IF(FT!B79&lt;&gt;"",IF(FT!C79&lt;&gt;"",FT!C79,F79/$M$3*$M$4),"")</f>
        <v>31.230599999999999</v>
      </c>
      <c r="Y79" s="75">
        <f t="shared" si="19"/>
        <v>9.4582198677816205</v>
      </c>
    </row>
    <row r="80" spans="1:25" ht="16.5" customHeight="1">
      <c r="A80" s="50">
        <f t="shared" si="20"/>
        <v>78</v>
      </c>
      <c r="B80" s="50">
        <f t="shared" si="16"/>
        <v>1.5059842352941177</v>
      </c>
      <c r="C80" s="50">
        <f>IF(FH!$C$2&gt;0,FH!A80/FH!$C$2,0)</f>
        <v>4.2145869131323378E-2</v>
      </c>
      <c r="D80" s="50">
        <f>IF(hist!$D$2&gt;0,hist!B80/hist!$D$2,0)</f>
        <v>0.92078085366687279</v>
      </c>
      <c r="E80" s="50">
        <f t="shared" si="17"/>
        <v>0.47602261974213655</v>
      </c>
      <c r="F80">
        <f t="shared" si="21"/>
        <v>78</v>
      </c>
      <c r="G80" s="50">
        <f>IF(FT!A80&lt;&gt;"",FT!A80*10,"")</f>
        <v>5.7060300000000002</v>
      </c>
      <c r="H80" s="50">
        <f>IF(FT!B80&lt;&gt;"",FT!B80*100,"")</f>
        <v>53.966200000000001</v>
      </c>
      <c r="I80" s="50">
        <f t="shared" si="18"/>
        <v>1</v>
      </c>
      <c r="J80" t="str">
        <f>IF(FT!B80&lt;&gt;"",FT!E80,"")</f>
        <v>0 [31.640887]</v>
      </c>
      <c r="K80">
        <f>IF(FT!B80&lt;&gt;"",IF(FT!C80&lt;&gt;"",FT!C80,F80/$M$3*$M$4),"")</f>
        <v>31.640899999999998</v>
      </c>
      <c r="Y80" s="75">
        <f t="shared" si="19"/>
        <v>9.4577490829876467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5.6994500000000006</v>
      </c>
      <c r="H81" s="50">
        <f>IF(FT!B81&lt;&gt;"",FT!B81*100,"")</f>
        <v>53.890800000000006</v>
      </c>
      <c r="I81" s="50">
        <f t="shared" si="18"/>
        <v>1</v>
      </c>
      <c r="J81" t="str">
        <f>IF(FT!B81&lt;&gt;"",FT!E81,"")</f>
        <v>0 [32.049522]</v>
      </c>
      <c r="K81">
        <f>IF(FT!B81&lt;&gt;"",IF(FT!C81&lt;&gt;"",FT!C81,F81/$M$3*$M$4),"")</f>
        <v>32.049500000000002</v>
      </c>
      <c r="Y81" s="75">
        <f t="shared" si="19"/>
        <v>9.4554386826799082</v>
      </c>
    </row>
    <row r="82" spans="1:25" ht="16.5" customHeight="1">
      <c r="A82" s="50">
        <f t="shared" si="20"/>
        <v>80</v>
      </c>
      <c r="B82" s="50">
        <f t="shared" si="16"/>
        <v>1.5445992156862745</v>
      </c>
      <c r="C82" s="50">
        <f>IF(FH!$C$2&gt;0,FH!A82/FH!$C$2,0)</f>
        <v>5.8700885955381546E-2</v>
      </c>
      <c r="D82" s="50">
        <f>IF(hist!$D$2&gt;0,hist!B82/hist!$D$2,0)</f>
        <v>0.90481868906472562</v>
      </c>
      <c r="E82" s="50">
        <f t="shared" si="17"/>
        <v>0.52789039798181625</v>
      </c>
      <c r="F82">
        <f t="shared" si="21"/>
        <v>80</v>
      </c>
      <c r="G82" s="50">
        <f>IF(FT!A82&lt;&gt;"",FT!A82*10,"")</f>
        <v>5.6892600000000009</v>
      </c>
      <c r="H82" s="50">
        <f>IF(FT!B82&lt;&gt;"",FT!B82*100,"")</f>
        <v>53.786599999999993</v>
      </c>
      <c r="I82" s="50">
        <f t="shared" si="18"/>
        <v>1</v>
      </c>
      <c r="J82" t="str">
        <f>IF(FT!B82&lt;&gt;"",FT!E82,"")</f>
        <v>0 [32.460121]</v>
      </c>
      <c r="K82">
        <f>IF(FT!B82&lt;&gt;"",IF(FT!C82&lt;&gt;"",FT!C82,F82/$M$3*$M$4),"")</f>
        <v>32.460099999999997</v>
      </c>
      <c r="Y82" s="75">
        <f t="shared" si="19"/>
        <v>9.4540590516165519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5.6792100000000003</v>
      </c>
      <c r="H83" s="50">
        <f>IF(FT!B83&lt;&gt;"",FT!B83*100,"")</f>
        <v>53.703800000000001</v>
      </c>
      <c r="I83" s="50">
        <f t="shared" si="18"/>
        <v>1</v>
      </c>
      <c r="J83" t="str">
        <f>IF(FT!B83&lt;&gt;"",FT!E83,"")</f>
        <v>0 [32.870106]</v>
      </c>
      <c r="K83">
        <f>IF(FT!B83&lt;&gt;"",IF(FT!C83&lt;&gt;"",FT!C83,F83/$M$3*$M$4),"")</f>
        <v>32.870100000000001</v>
      </c>
      <c r="Y83" s="75">
        <f t="shared" si="19"/>
        <v>9.4562095784448896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5.6700499999999998</v>
      </c>
      <c r="H84" s="50">
        <f>IF(FT!B84&lt;&gt;"",FT!B84*100,"")</f>
        <v>53.608199999999997</v>
      </c>
      <c r="I84" s="50">
        <f t="shared" si="18"/>
        <v>1</v>
      </c>
      <c r="J84" t="str">
        <f>IF(FT!B84&lt;&gt;"",FT!E84,"")</f>
        <v>0 [33.267656]</v>
      </c>
      <c r="K84">
        <f>IF(FT!B84&lt;&gt;"",IF(FT!C84&lt;&gt;"",FT!C84,F84/$M$3*$M$4),"")</f>
        <v>33.267699999999998</v>
      </c>
      <c r="Y84" s="75">
        <f t="shared" si="19"/>
        <v>9.4546256205853556</v>
      </c>
    </row>
    <row r="85" spans="1:25" ht="16.5" customHeight="1">
      <c r="A85" s="50">
        <f t="shared" si="20"/>
        <v>83</v>
      </c>
      <c r="B85" s="50">
        <f t="shared" si="16"/>
        <v>1.6025216862745097</v>
      </c>
      <c r="C85" s="50">
        <f>IF(FH!$C$2&gt;0,FH!A85/FH!$C$2,0)</f>
        <v>9.4550249608714998E-2</v>
      </c>
      <c r="D85" s="50">
        <f>IF(hist!$D$2&gt;0,hist!B85/hist!$D$2,0)</f>
        <v>0.88097810342553073</v>
      </c>
      <c r="E85" s="50">
        <f t="shared" si="17"/>
        <v>0.60683043098510137</v>
      </c>
      <c r="F85">
        <f t="shared" si="21"/>
        <v>83</v>
      </c>
      <c r="G85" s="50">
        <f>IF(FT!A85&lt;&gt;"",FT!A85*10,"")</f>
        <v>5.6599399999999997</v>
      </c>
      <c r="H85" s="50">
        <f>IF(FT!B85&lt;&gt;"",FT!B85*100,"")</f>
        <v>53.507599999999996</v>
      </c>
      <c r="I85" s="50">
        <f t="shared" si="18"/>
        <v>1</v>
      </c>
      <c r="J85" t="str">
        <f>IF(FT!B85&lt;&gt;"",FT!E85,"")</f>
        <v>0 [33.676194]</v>
      </c>
      <c r="K85">
        <f>IF(FT!B85&lt;&gt;"",IF(FT!C85&lt;&gt;"",FT!C85,F85/$M$3*$M$4),"")</f>
        <v>33.676200000000001</v>
      </c>
      <c r="Y85" s="75">
        <f t="shared" si="19"/>
        <v>9.453739792294618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5.6504300000000001</v>
      </c>
      <c r="H86" s="50">
        <f>IF(FT!B86&lt;&gt;"",FT!B86*100,"")</f>
        <v>53.412999999999997</v>
      </c>
      <c r="I86" s="50">
        <f t="shared" si="18"/>
        <v>1</v>
      </c>
      <c r="J86" t="str">
        <f>IF(FT!B86&lt;&gt;"",FT!E86,"")</f>
        <v>0 [34.076767]</v>
      </c>
      <c r="K86">
        <f>IF(FT!B86&lt;&gt;"",IF(FT!C86&lt;&gt;"",FT!C86,F86/$M$3*$M$4),"")</f>
        <v>34.076799999999999</v>
      </c>
      <c r="Y86" s="75">
        <f t="shared" si="19"/>
        <v>9.4529088936594192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5.6427700000000005</v>
      </c>
      <c r="H87" s="50">
        <f>IF(FT!B87&lt;&gt;"",FT!B87*100,"")</f>
        <v>53.292899999999996</v>
      </c>
      <c r="I87" s="50">
        <f t="shared" si="18"/>
        <v>1</v>
      </c>
      <c r="J87" t="str">
        <f>IF(FT!B87&lt;&gt;"",FT!E87,"")</f>
        <v>0 [34.476303]</v>
      </c>
      <c r="K87">
        <f>IF(FT!B87&lt;&gt;"",IF(FT!C87&lt;&gt;"",FT!C87,F87/$M$3*$M$4),"")</f>
        <v>34.476300000000002</v>
      </c>
      <c r="Y87" s="75">
        <f t="shared" si="19"/>
        <v>9.4444572435169238</v>
      </c>
    </row>
    <row r="88" spans="1:25" ht="16.5" customHeight="1">
      <c r="A88" s="50">
        <f t="shared" si="20"/>
        <v>86</v>
      </c>
      <c r="B88" s="50">
        <f t="shared" si="16"/>
        <v>1.660444156862745</v>
      </c>
      <c r="C88" s="50">
        <f>IF(FH!$C$2&gt;0,FH!A88/FH!$C$2,0)</f>
        <v>0.1291991939768436</v>
      </c>
      <c r="D88" s="50">
        <f>IF(hist!$D$2&gt;0,hist!B88/hist!$D$2,0)</f>
        <v>0.85823554695808946</v>
      </c>
      <c r="E88" s="50">
        <f t="shared" si="17"/>
        <v>0.68449477392463509</v>
      </c>
      <c r="F88">
        <f t="shared" si="21"/>
        <v>86</v>
      </c>
      <c r="G88" s="50">
        <f>IF(FT!A88&lt;&gt;"",FT!A88*10,"")</f>
        <v>5.63605</v>
      </c>
      <c r="H88" s="50">
        <f>IF(FT!B88&lt;&gt;"",FT!B88*100,"")</f>
        <v>53.130299999999998</v>
      </c>
      <c r="I88" s="50">
        <f t="shared" si="18"/>
        <v>1</v>
      </c>
      <c r="J88" t="str">
        <f>IF(FT!B88&lt;&gt;"",FT!E88,"")</f>
        <v>0 [34.895053]</v>
      </c>
      <c r="K88">
        <f>IF(FT!B88&lt;&gt;"",IF(FT!C88&lt;&gt;"",FT!C88,F88/$M$3*$M$4),"")</f>
        <v>34.895099999999999</v>
      </c>
      <c r="Y88" s="75">
        <f t="shared" si="19"/>
        <v>9.4268681079834273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5.6287500000000001</v>
      </c>
      <c r="H89" s="50">
        <f>IF(FT!B89&lt;&gt;"",FT!B89*100,"")</f>
        <v>52.957600000000006</v>
      </c>
      <c r="I89" s="50">
        <f t="shared" si="18"/>
        <v>1</v>
      </c>
      <c r="J89" t="str">
        <f>IF(FT!B89&lt;&gt;"",FT!E89,"")</f>
        <v>0 [35.307601]</v>
      </c>
      <c r="K89">
        <f>IF(FT!B89&lt;&gt;"",IF(FT!C89&lt;&gt;"",FT!C89,F89/$M$3*$M$4),"")</f>
        <v>35.307600000000001</v>
      </c>
      <c r="Y89" s="75">
        <f t="shared" si="19"/>
        <v>9.4084121696646683</v>
      </c>
    </row>
    <row r="90" spans="1:25" ht="16.5" customHeight="1">
      <c r="A90" s="50">
        <f t="shared" si="20"/>
        <v>88</v>
      </c>
      <c r="B90" s="50">
        <f t="shared" si="16"/>
        <v>1.6990591372549018</v>
      </c>
      <c r="C90" s="50">
        <f>IF(FH!$C$2&gt;0,FH!A90/FH!$C$2,0)</f>
        <v>0.14795024099326556</v>
      </c>
      <c r="D90" s="50">
        <f>IF(hist!$D$2&gt;0,hist!B90/hist!$D$2,0)</f>
        <v>0.81962912914018826</v>
      </c>
      <c r="E90" s="50">
        <f t="shared" si="17"/>
        <v>0.73395857202345849</v>
      </c>
      <c r="F90">
        <f t="shared" si="21"/>
        <v>88</v>
      </c>
      <c r="G90" s="50">
        <f>IF(FT!A90&lt;&gt;"",FT!A90*10,"")</f>
        <v>5.6170299999999997</v>
      </c>
      <c r="H90" s="50">
        <f>IF(FT!B90&lt;&gt;"",FT!B90*100,"")</f>
        <v>52.807000000000002</v>
      </c>
      <c r="I90" s="50">
        <f t="shared" si="18"/>
        <v>1</v>
      </c>
      <c r="J90" t="str">
        <f>IF(FT!B90&lt;&gt;"",FT!E90,"")</f>
        <v>0 [35.706862]</v>
      </c>
      <c r="K90">
        <f>IF(FT!B90&lt;&gt;"",IF(FT!C90&lt;&gt;"",FT!C90,F90/$M$3*$M$4),"")</f>
        <v>35.706899999999997</v>
      </c>
      <c r="Y90" s="75">
        <f t="shared" si="19"/>
        <v>9.4012316117236345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5.6017299999999999</v>
      </c>
      <c r="H91" s="50">
        <f>IF(FT!B91&lt;&gt;"",FT!B91*100,"")</f>
        <v>52.670099999999998</v>
      </c>
      <c r="I91" s="50">
        <f t="shared" si="18"/>
        <v>1</v>
      </c>
      <c r="J91" t="str">
        <f>IF(FT!B91&lt;&gt;"",FT!E91,"")</f>
        <v>0 [36.110236]</v>
      </c>
      <c r="K91">
        <f>IF(FT!B91&lt;&gt;"",IF(FT!C91&lt;&gt;"",FT!C91,F91/$M$3*$M$4),"")</f>
        <v>36.110199999999999</v>
      </c>
      <c r="Y91" s="75">
        <f t="shared" si="19"/>
        <v>9.4024703082797636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5.5864899999999995</v>
      </c>
      <c r="H92" s="50">
        <f>IF(FT!B92&lt;&gt;"",FT!B92*100,"")</f>
        <v>52.529499999999999</v>
      </c>
      <c r="I92" s="50">
        <f t="shared" si="18"/>
        <v>1</v>
      </c>
      <c r="J92" t="str">
        <f>IF(FT!B92&lt;&gt;"",FT!E92,"")</f>
        <v>0 [36.515305]</v>
      </c>
      <c r="K92">
        <f>IF(FT!B92&lt;&gt;"",IF(FT!C92&lt;&gt;"",FT!C92,F92/$M$3*$M$4),"")</f>
        <v>36.515300000000003</v>
      </c>
      <c r="Y92" s="75">
        <f t="shared" si="19"/>
        <v>9.4029524800008595</v>
      </c>
    </row>
    <row r="93" spans="1:25" ht="16.5" customHeight="1">
      <c r="A93" s="50">
        <f t="shared" si="20"/>
        <v>91</v>
      </c>
      <c r="B93" s="50">
        <f t="shared" si="16"/>
        <v>1.7569816078431371</v>
      </c>
      <c r="C93" s="50">
        <f>IF(FH!$C$2&gt;0,FH!A93/FH!$C$2,0)</f>
        <v>0.16010041784929666</v>
      </c>
      <c r="D93" s="50">
        <f>IF(hist!$D$2&gt;0,hist!B93/hist!$D$2,0)</f>
        <v>0.78501264572776464</v>
      </c>
      <c r="E93" s="50">
        <f t="shared" si="17"/>
        <v>0.80218214811433919</v>
      </c>
      <c r="F93">
        <f t="shared" si="21"/>
        <v>91</v>
      </c>
      <c r="G93" s="50">
        <f>IF(FT!A93&lt;&gt;"",FT!A93*10,"")</f>
        <v>5.5693700000000002</v>
      </c>
      <c r="H93" s="50">
        <f>IF(FT!B93&lt;&gt;"",FT!B93*100,"")</f>
        <v>52.416399999999996</v>
      </c>
      <c r="I93" s="50">
        <f t="shared" si="18"/>
        <v>1</v>
      </c>
      <c r="J93" t="str">
        <f>IF(FT!B93&lt;&gt;"",FT!E93,"")</f>
        <v>0 [36.919170]</v>
      </c>
      <c r="K93">
        <f>IF(FT!B93&lt;&gt;"",IF(FT!C93&lt;&gt;"",FT!C93,F93/$M$3*$M$4),"")</f>
        <v>36.919199999999996</v>
      </c>
      <c r="Y93" s="75">
        <f t="shared" si="19"/>
        <v>9.4115492416556972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5.5512799999999993</v>
      </c>
      <c r="H94" s="50">
        <f>IF(FT!B94&lt;&gt;"",FT!B94*100,"")</f>
        <v>52.3536</v>
      </c>
      <c r="I94" s="50">
        <f t="shared" si="18"/>
        <v>1</v>
      </c>
      <c r="J94" t="str">
        <f>IF(FT!B94&lt;&gt;"",FT!E94,"")</f>
        <v>0 [37.325942]</v>
      </c>
      <c r="K94">
        <f>IF(FT!B94&lt;&gt;"",IF(FT!C94&lt;&gt;"",FT!C94,F94/$M$3*$M$4),"")</f>
        <v>37.325899999999997</v>
      </c>
      <c r="Y94" s="75">
        <f t="shared" si="19"/>
        <v>9.4309060252770536</v>
      </c>
    </row>
    <row r="95" spans="1:25" ht="16.5" customHeight="1">
      <c r="A95" s="50">
        <f t="shared" si="20"/>
        <v>93</v>
      </c>
      <c r="B95" s="50">
        <f t="shared" si="16"/>
        <v>1.7955965882352938</v>
      </c>
      <c r="C95" s="50">
        <f>IF(FH!$C$2&gt;0,FH!A95/FH!$C$2,0)</f>
        <v>0.16797541725100151</v>
      </c>
      <c r="D95" s="50">
        <f>IF(hist!$D$2&gt;0,hist!B95/hist!$D$2,0)</f>
        <v>0.74371692276549051</v>
      </c>
      <c r="E95" s="50">
        <f t="shared" si="17"/>
        <v>0.84224836579594975</v>
      </c>
      <c r="F95">
        <f t="shared" si="21"/>
        <v>93</v>
      </c>
      <c r="G95" s="50">
        <f>IF(FT!A95&lt;&gt;"",FT!A95*10,"")</f>
        <v>5.5323000000000002</v>
      </c>
      <c r="H95" s="50">
        <f>IF(FT!B95&lt;&gt;"",FT!B95*100,"")</f>
        <v>52.302999999999997</v>
      </c>
      <c r="I95" s="50">
        <f t="shared" si="18"/>
        <v>1</v>
      </c>
      <c r="J95" t="str">
        <f>IF(FT!B95&lt;&gt;"",FT!E95,"")</f>
        <v>0 [37.732316]</v>
      </c>
      <c r="K95">
        <f>IF(FT!B95&lt;&gt;"",IF(FT!C95&lt;&gt;"",FT!C95,F95/$M$3*$M$4),"")</f>
        <v>37.732300000000002</v>
      </c>
      <c r="Y95" s="75">
        <f t="shared" si="19"/>
        <v>9.4541149250763681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5.5158399999999999</v>
      </c>
      <c r="H96" s="50">
        <f>IF(FT!B96&lt;&gt;"",FT!B96*100,"")</f>
        <v>52.235900000000001</v>
      </c>
      <c r="I96" s="50">
        <f t="shared" si="18"/>
        <v>1</v>
      </c>
      <c r="J96" t="str">
        <f>IF(FT!B96&lt;&gt;"",FT!E96,"")</f>
        <v>0 [38.144631]</v>
      </c>
      <c r="K96">
        <f>IF(FT!B96&lt;&gt;"",IF(FT!C96&lt;&gt;"",FT!C96,F96/$M$3*$M$4),"")</f>
        <v>38.144599999999997</v>
      </c>
      <c r="Y96" s="75">
        <f t="shared" si="19"/>
        <v>9.4701622962232417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5.5021900000000006</v>
      </c>
      <c r="H97" s="50">
        <f>IF(FT!B97&lt;&gt;"",FT!B97*100,"")</f>
        <v>52.132900000000006</v>
      </c>
      <c r="I97" s="50">
        <f t="shared" si="18"/>
        <v>1</v>
      </c>
      <c r="J97" t="str">
        <f>IF(FT!B97&lt;&gt;"",FT!E97,"")</f>
        <v>0 [38.546549]</v>
      </c>
      <c r="K97">
        <f>IF(FT!B97&lt;&gt;"",IF(FT!C97&lt;&gt;"",FT!C97,F97/$M$3*$M$4),"")</f>
        <v>38.546500000000002</v>
      </c>
      <c r="Y97" s="75">
        <f t="shared" si="19"/>
        <v>9.4749363435286682</v>
      </c>
    </row>
    <row r="98" spans="1:25" ht="16.5" customHeight="1">
      <c r="A98" s="50">
        <f t="shared" si="20"/>
        <v>96</v>
      </c>
      <c r="B98" s="50">
        <f t="shared" si="16"/>
        <v>1.8535190588235293</v>
      </c>
      <c r="C98" s="50">
        <f>IF(FH!$C$2&gt;0,FH!A98/FH!$C$2,0)</f>
        <v>0.15557299918153231</v>
      </c>
      <c r="D98" s="50">
        <f>IF(hist!$D$2&gt;0,hist!B98/hist!$D$2,0)</f>
        <v>0.70240684896355388</v>
      </c>
      <c r="E98" s="50">
        <f t="shared" si="17"/>
        <v>0.89194953505152708</v>
      </c>
      <c r="F98">
        <f t="shared" si="21"/>
        <v>96</v>
      </c>
      <c r="G98" s="50">
        <f>IF(FT!A98&lt;&gt;"",FT!A98*10,"")</f>
        <v>5.4910499999999995</v>
      </c>
      <c r="H98" s="50">
        <f>IF(FT!B98&lt;&gt;"",FT!B98*100,"")</f>
        <v>52.037500000000001</v>
      </c>
      <c r="I98" s="50">
        <f t="shared" si="18"/>
        <v>1</v>
      </c>
      <c r="J98" t="str">
        <f>IF(FT!B98&lt;&gt;"",FT!E98,"")</f>
        <v>0 [38.950014]</v>
      </c>
      <c r="K98">
        <f>IF(FT!B98&lt;&gt;"",IF(FT!C98&lt;&gt;"",FT!C98,F98/$M$3*$M$4),"")</f>
        <v>38.950000000000003</v>
      </c>
      <c r="Y98" s="75">
        <f t="shared" si="19"/>
        <v>9.4767849500550909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5.4819599999999999</v>
      </c>
      <c r="H99" s="50">
        <f>IF(FT!B99&lt;&gt;"",FT!B99*100,"")</f>
        <v>51.901499999999999</v>
      </c>
      <c r="I99" s="50">
        <f t="shared" si="18"/>
        <v>1</v>
      </c>
      <c r="J99" t="str">
        <f>IF(FT!B99&lt;&gt;"",FT!E99,"")</f>
        <v>0 [39.355104]</v>
      </c>
      <c r="K99">
        <f>IF(FT!B99&lt;&gt;"",IF(FT!C99&lt;&gt;"",FT!C99,F99/$M$3*$M$4),"")</f>
        <v>39.3551</v>
      </c>
      <c r="Y99" s="75">
        <f t="shared" si="19"/>
        <v>9.4676903881093626</v>
      </c>
    </row>
    <row r="100" spans="1:25" ht="16.5" customHeight="1">
      <c r="A100" s="50">
        <f t="shared" si="20"/>
        <v>98</v>
      </c>
      <c r="B100" s="50">
        <f t="shared" si="16"/>
        <v>1.8921340392156862</v>
      </c>
      <c r="C100" s="50">
        <f>IF(FH!$C$2&gt;0,FH!A100/FH!$C$2,0)</f>
        <v>0.16452492976015545</v>
      </c>
      <c r="D100" s="50">
        <f>IF(hist!$D$2&gt;0,hist!B100/hist!$D$2,0)</f>
        <v>0.65580085103433783</v>
      </c>
      <c r="E100" s="50">
        <f t="shared" si="17"/>
        <v>0.91700824661412239</v>
      </c>
      <c r="F100">
        <f t="shared" si="21"/>
        <v>98</v>
      </c>
      <c r="G100" s="50">
        <f>IF(FT!A100&lt;&gt;"",FT!A100*10,"")</f>
        <v>5.4761300000000004</v>
      </c>
      <c r="H100" s="50">
        <f>IF(FT!B100&lt;&gt;"",FT!B100*100,"")</f>
        <v>51.720799999999997</v>
      </c>
      <c r="I100" s="50">
        <f t="shared" si="18"/>
        <v>1</v>
      </c>
      <c r="J100" t="str">
        <f>IF(FT!B100&lt;&gt;"",FT!E100,"")</f>
        <v>0 [39.764767]</v>
      </c>
      <c r="K100">
        <f>IF(FT!B100&lt;&gt;"",IF(FT!C100&lt;&gt;"",FT!C100,F100/$M$3*$M$4),"")</f>
        <v>39.764800000000001</v>
      </c>
      <c r="Y100" s="75">
        <f t="shared" si="19"/>
        <v>9.4447721292226436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5.4732800000000008</v>
      </c>
      <c r="H101" s="50">
        <f>IF(FT!B101&lt;&gt;"",FT!B101*100,"")</f>
        <v>51.536999999999999</v>
      </c>
      <c r="I101" s="50">
        <f t="shared" si="18"/>
        <v>1</v>
      </c>
      <c r="J101" t="str">
        <f>IF(FT!B101&lt;&gt;"",FT!E101,"")</f>
        <v>0 [40.170094]</v>
      </c>
      <c r="K101">
        <f>IF(FT!B101&lt;&gt;"",IF(FT!C101&lt;&gt;"",FT!C101,F101/$M$3*$M$4),"")</f>
        <v>40.170099999999998</v>
      </c>
      <c r="Y101" s="75">
        <f t="shared" si="19"/>
        <v>9.4161088049579025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5.4709900000000005</v>
      </c>
      <c r="H102" s="50">
        <f>IF(FT!B102&lt;&gt;"",FT!B102*100,"")</f>
        <v>51.366100000000003</v>
      </c>
      <c r="I102" s="50">
        <f t="shared" si="18"/>
        <v>1</v>
      </c>
      <c r="J102" t="str">
        <f>IF(FT!B102&lt;&gt;"",FT!E102,"")</f>
        <v>0 [40.594447]</v>
      </c>
      <c r="K102">
        <f>IF(FT!B102&lt;&gt;"",IF(FT!C102&lt;&gt;"",FT!C102,F102/$M$3*$M$4),"")</f>
        <v>40.5944</v>
      </c>
      <c r="Y102" s="75">
        <f t="shared" si="19"/>
        <v>9.3888126280618316</v>
      </c>
    </row>
    <row r="103" spans="1:25">
      <c r="A103" s="50">
        <f t="shared" si="20"/>
        <v>101</v>
      </c>
      <c r="B103" s="50">
        <f t="shared" si="16"/>
        <v>1.9500565098039213</v>
      </c>
      <c r="C103" s="50">
        <f>IF(FH!$C$2&gt;0,FH!A103/FH!$C$2,0)</f>
        <v>0.16499016402858416</v>
      </c>
      <c r="D103" s="50">
        <f>IF(hist!$D$2&gt;0,hist!B103/hist!$D$2,0)</f>
        <v>0.61056518945946869</v>
      </c>
      <c r="E103" s="50">
        <f t="shared" si="17"/>
        <v>0.94096183355357155</v>
      </c>
      <c r="F103">
        <f t="shared" si="21"/>
        <v>101</v>
      </c>
      <c r="G103" s="50">
        <f>IF(FT!A103&lt;&gt;"",FT!A103*10,"")</f>
        <v>5.4674100000000001</v>
      </c>
      <c r="H103" s="50">
        <f>IF(FT!B103&lt;&gt;"",FT!B103*100,"")</f>
        <v>51.204599999999999</v>
      </c>
      <c r="I103" s="50">
        <f t="shared" si="18"/>
        <v>1</v>
      </c>
      <c r="J103" t="str">
        <f>IF(FT!B103&lt;&gt;"",FT!E103,"")</f>
        <v>0 [41.000654]</v>
      </c>
      <c r="K103">
        <f>IF(FT!B103&lt;&gt;"",IF(FT!C103&lt;&gt;"",FT!C103,F103/$M$3*$M$4),"")</f>
        <v>41.000700000000002</v>
      </c>
      <c r="Y103" s="75">
        <f t="shared" si="19"/>
        <v>9.3654216530313246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5.46645</v>
      </c>
      <c r="H104" s="50">
        <f>IF(FT!B104&lt;&gt;"",FT!B104*100,"")</f>
        <v>51.047200000000004</v>
      </c>
      <c r="I104" s="50">
        <f t="shared" si="18"/>
        <v>1</v>
      </c>
      <c r="J104" t="str">
        <f>IF(FT!B104&lt;&gt;"",FT!E104,"")</f>
        <v>0 [41.397700]</v>
      </c>
      <c r="K104">
        <f>IF(FT!B104&lt;&gt;"",IF(FT!C104&lt;&gt;"",FT!C104,F104/$M$3*$M$4),"")</f>
        <v>41.3977</v>
      </c>
      <c r="Y104" s="75">
        <f t="shared" si="19"/>
        <v>9.3382725534853517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5.4654000000000007</v>
      </c>
      <c r="H105" s="50">
        <f>IF(FT!B105&lt;&gt;"",FT!B105*100,"")</f>
        <v>50.862300000000005</v>
      </c>
      <c r="I105" s="50">
        <f t="shared" si="18"/>
        <v>1</v>
      </c>
      <c r="J105" t="str">
        <f>IF(FT!B105&lt;&gt;"",FT!E105,"")</f>
        <v>0 [41.799452]</v>
      </c>
      <c r="K105">
        <f>IF(FT!B105&lt;&gt;"",IF(FT!C105&lt;&gt;"",FT!C105,F105/$M$3*$M$4),"")</f>
        <v>41.799500000000002</v>
      </c>
      <c r="Y105" s="75">
        <f t="shared" si="19"/>
        <v>9.3062355911735644</v>
      </c>
    </row>
    <row r="106" spans="1:25">
      <c r="A106" s="50">
        <f t="shared" si="20"/>
        <v>104</v>
      </c>
      <c r="B106" s="50">
        <f t="shared" si="16"/>
        <v>2.0079789803921568</v>
      </c>
      <c r="C106" s="50">
        <f>IF(FH!$C$2&gt;0,FH!A106/FH!$C$2,0)</f>
        <v>0.16485471001833174</v>
      </c>
      <c r="D106" s="50">
        <f>IF(hist!$D$2&gt;0,hist!B106/hist!$D$2,0)</f>
        <v>0.56779360926297739</v>
      </c>
      <c r="E106" s="50">
        <f t="shared" si="17"/>
        <v>0.94743619417063019</v>
      </c>
      <c r="F106">
        <f t="shared" si="21"/>
        <v>104</v>
      </c>
      <c r="G106" s="50">
        <f>IF(FT!A106&lt;&gt;"",FT!A106*10,"")</f>
        <v>5.4642400000000002</v>
      </c>
      <c r="H106" s="50">
        <f>IF(FT!B106&lt;&gt;"",FT!B106*100,"")</f>
        <v>50.664400000000001</v>
      </c>
      <c r="I106" s="50">
        <f t="shared" si="18"/>
        <v>1</v>
      </c>
      <c r="J106" t="str">
        <f>IF(FT!B106&lt;&gt;"",FT!E106,"")</f>
        <v>0 [42.202157]</v>
      </c>
      <c r="K106">
        <f>IF(FT!B106&lt;&gt;"",IF(FT!C106&lt;&gt;"",FT!C106,F106/$M$3*$M$4),"")</f>
        <v>42.202199999999998</v>
      </c>
      <c r="Y106" s="75">
        <f t="shared" si="19"/>
        <v>9.2719939094915294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5.4635100000000003</v>
      </c>
      <c r="H107" s="50">
        <f>IF(FT!B107&lt;&gt;"",FT!B107*100,"")</f>
        <v>50.433300000000003</v>
      </c>
      <c r="I107" s="50">
        <f t="shared" si="18"/>
        <v>1</v>
      </c>
      <c r="J107" t="str">
        <f>IF(FT!B107&lt;&gt;"",FT!E107,"")</f>
        <v>0 [42.610260]</v>
      </c>
      <c r="K107">
        <f>IF(FT!B107&lt;&gt;"",IF(FT!C107&lt;&gt;"",FT!C107,F107/$M$3*$M$4),"")</f>
        <v>42.610300000000002</v>
      </c>
      <c r="Y107" s="75">
        <f t="shared" si="19"/>
        <v>9.2309339600366798</v>
      </c>
    </row>
    <row r="108" spans="1:25">
      <c r="A108" s="50">
        <f t="shared" si="20"/>
        <v>106</v>
      </c>
      <c r="B108" s="50">
        <f t="shared" si="16"/>
        <v>2.0465939607843135</v>
      </c>
      <c r="C108" s="50">
        <f>IF(FH!$C$2&gt;0,FH!A108/FH!$C$2,0)</f>
        <v>0.17815600664346876</v>
      </c>
      <c r="D108" s="50">
        <f>IF(hist!$D$2&gt;0,hist!B108/hist!$D$2,0)</f>
        <v>0.52341920910960915</v>
      </c>
      <c r="E108" s="50">
        <f t="shared" si="17"/>
        <v>0.94182056138490189</v>
      </c>
      <c r="F108">
        <f t="shared" si="21"/>
        <v>106</v>
      </c>
      <c r="G108" s="50">
        <f>IF(FT!A108&lt;&gt;"",FT!A108*10,"")</f>
        <v>5.4600499999999998</v>
      </c>
      <c r="H108" s="50">
        <f>IF(FT!B108&lt;&gt;"",FT!B108*100,"")</f>
        <v>50.180800000000005</v>
      </c>
      <c r="I108" s="50">
        <f t="shared" si="18"/>
        <v>1</v>
      </c>
      <c r="J108" t="str">
        <f>IF(FT!B108&lt;&gt;"",FT!E108,"")</f>
        <v>0 [43.017654]</v>
      </c>
      <c r="K108">
        <f>IF(FT!B108&lt;&gt;"",IF(FT!C108&lt;&gt;"",FT!C108,F108/$M$3*$M$4),"")</f>
        <v>43.017699999999998</v>
      </c>
      <c r="Y108" s="75">
        <f t="shared" si="19"/>
        <v>9.1905385481817952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5.4553700000000003</v>
      </c>
      <c r="H109" s="50">
        <f>IF(FT!B109&lt;&gt;"",FT!B109*100,"")</f>
        <v>49.934800000000003</v>
      </c>
      <c r="I109" s="50">
        <f t="shared" si="18"/>
        <v>1</v>
      </c>
      <c r="J109" t="str">
        <f>IF(FT!B109&lt;&gt;"",FT!E109,"")</f>
        <v>0 [43.431408]</v>
      </c>
      <c r="K109">
        <f>IF(FT!B109&lt;&gt;"",IF(FT!C109&lt;&gt;"",FT!C109,F109/$M$3*$M$4),"")</f>
        <v>43.431399999999996</v>
      </c>
      <c r="Y109" s="75">
        <f t="shared" si="19"/>
        <v>9.1533296550004852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5.4488099999999999</v>
      </c>
      <c r="H110" s="50">
        <f>IF(FT!B110&lt;&gt;"",FT!B110*100,"")</f>
        <v>49.672899999999998</v>
      </c>
      <c r="I110" s="50">
        <f t="shared" si="18"/>
        <v>1</v>
      </c>
      <c r="J110" t="str">
        <f>IF(FT!B110&lt;&gt;"",FT!E110,"")</f>
        <v>0 [43.819883]</v>
      </c>
      <c r="K110">
        <f>IF(FT!B110&lt;&gt;"",IF(FT!C110&lt;&gt;"",FT!C110,F110/$M$3*$M$4),"")</f>
        <v>43.819899999999997</v>
      </c>
      <c r="Y110" s="75">
        <f t="shared" si="19"/>
        <v>9.1162841060708661</v>
      </c>
    </row>
    <row r="111" spans="1:25">
      <c r="A111" s="50">
        <f t="shared" si="20"/>
        <v>109</v>
      </c>
      <c r="B111" s="50">
        <f t="shared" si="16"/>
        <v>2.1045164313725486</v>
      </c>
      <c r="C111" s="50">
        <f>IF(FH!$C$2&gt;0,FH!A111/FH!$C$2,0)</f>
        <v>0.20308720270716563</v>
      </c>
      <c r="D111" s="50">
        <f>IF(hist!$D$2&gt;0,hist!B111/hist!$D$2,0)</f>
        <v>0.47780282820016812</v>
      </c>
      <c r="E111" s="50">
        <f t="shared" si="17"/>
        <v>0.91885036359395089</v>
      </c>
      <c r="F111">
        <f t="shared" si="21"/>
        <v>109</v>
      </c>
      <c r="G111" s="50">
        <f>IF(FT!A111&lt;&gt;"",FT!A111*10,"")</f>
        <v>5.4409399999999994</v>
      </c>
      <c r="H111" s="50">
        <f>IF(FT!B111&lt;&gt;"",FT!B111*100,"")</f>
        <v>49.374499999999998</v>
      </c>
      <c r="I111" s="50">
        <f t="shared" si="18"/>
        <v>1</v>
      </c>
      <c r="J111" t="str">
        <f>IF(FT!B111&lt;&gt;"",FT!E111,"")</f>
        <v>0 [44.234782]</v>
      </c>
      <c r="K111">
        <f>IF(FT!B111&lt;&gt;"",IF(FT!C111&lt;&gt;"",FT!C111,F111/$M$3*$M$4),"")</f>
        <v>44.2348</v>
      </c>
      <c r="Y111" s="75">
        <f t="shared" si="19"/>
        <v>9.0746268108084269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5.4348200000000002</v>
      </c>
      <c r="H112" s="50">
        <f>IF(FT!B112&lt;&gt;"",FT!B112*100,"")</f>
        <v>49.0854</v>
      </c>
      <c r="I112" s="50">
        <f t="shared" si="18"/>
        <v>1</v>
      </c>
      <c r="J112" t="str">
        <f>IF(FT!B112&lt;&gt;"",FT!E112,"")</f>
        <v>0 [44.652790]</v>
      </c>
      <c r="K112">
        <f>IF(FT!B112&lt;&gt;"",IF(FT!C112&lt;&gt;"",FT!C112,F112/$M$3*$M$4),"")</f>
        <v>44.652799999999999</v>
      </c>
      <c r="Y112" s="75">
        <f t="shared" si="19"/>
        <v>9.0316514622379387</v>
      </c>
    </row>
    <row r="113" spans="1:25">
      <c r="A113" s="50">
        <f t="shared" si="20"/>
        <v>111</v>
      </c>
      <c r="B113" s="50">
        <f t="shared" si="16"/>
        <v>2.1431314117647058</v>
      </c>
      <c r="C113" s="50">
        <f>IF(FH!$C$2&gt;0,FH!A113/FH!$C$2,0)</f>
        <v>0.24242247292116384</v>
      </c>
      <c r="D113" s="50">
        <f>IF(hist!$D$2&gt;0,hist!B113/hist!$D$2,0)</f>
        <v>0.43762505675176722</v>
      </c>
      <c r="E113" s="50">
        <f t="shared" si="17"/>
        <v>0.8943937609872501</v>
      </c>
      <c r="F113">
        <f t="shared" si="21"/>
        <v>111</v>
      </c>
      <c r="G113" s="50">
        <f>IF(FT!A113&lt;&gt;"",FT!A113*10,"")</f>
        <v>5.4284299999999996</v>
      </c>
      <c r="H113" s="50">
        <f>IF(FT!B113&lt;&gt;"",FT!B113*100,"")</f>
        <v>48.784300000000002</v>
      </c>
      <c r="I113" s="50">
        <f t="shared" si="18"/>
        <v>1</v>
      </c>
      <c r="J113" t="str">
        <f>IF(FT!B113&lt;&gt;"",FT!E113,"")</f>
        <v>0 [45.047110]</v>
      </c>
      <c r="K113">
        <f>IF(FT!B113&lt;&gt;"",IF(FT!C113&lt;&gt;"",FT!C113,F113/$M$3*$M$4),"")</f>
        <v>45.0471</v>
      </c>
      <c r="Y113" s="75">
        <f t="shared" si="19"/>
        <v>8.9868157091461072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5.4192999999999998</v>
      </c>
      <c r="H114" s="50">
        <f>IF(FT!B114&lt;&gt;"",FT!B114*100,"")</f>
        <v>48.492800000000003</v>
      </c>
      <c r="I114" s="50">
        <f t="shared" si="18"/>
        <v>1</v>
      </c>
      <c r="J114" t="str">
        <f>IF(FT!B114&lt;&gt;"",FT!E114,"")</f>
        <v>0 [45.456044]</v>
      </c>
      <c r="K114">
        <f>IF(FT!B114&lt;&gt;"",IF(FT!C114&lt;&gt;"",FT!C114,F114/$M$3*$M$4),"")</f>
        <v>45.456000000000003</v>
      </c>
      <c r="Y114" s="75">
        <f t="shared" si="19"/>
        <v>8.948166737401511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5.4102499999999996</v>
      </c>
      <c r="H115" s="50">
        <f>IF(FT!B115&lt;&gt;"",FT!B115*100,"")</f>
        <v>48.182399999999994</v>
      </c>
      <c r="I115" s="50">
        <f t="shared" si="18"/>
        <v>1</v>
      </c>
      <c r="J115" t="str">
        <f>IF(FT!B115&lt;&gt;"",FT!E115,"")</f>
        <v>0 [45.863142]</v>
      </c>
      <c r="K115">
        <f>IF(FT!B115&lt;&gt;"",IF(FT!C115&lt;&gt;"",FT!C115,F115/$M$3*$M$4),"")</f>
        <v>45.863100000000003</v>
      </c>
      <c r="Y115" s="75">
        <f t="shared" si="19"/>
        <v>8.9057622106187324</v>
      </c>
    </row>
    <row r="116" spans="1:25">
      <c r="A116" s="50">
        <f t="shared" si="20"/>
        <v>114</v>
      </c>
      <c r="B116" s="50">
        <f t="shared" si="16"/>
        <v>2.2010538823529413</v>
      </c>
      <c r="C116" s="50">
        <f>IF(FH!$C$2&gt;0,FH!A116/FH!$C$2,0)</f>
        <v>0.28345259348959201</v>
      </c>
      <c r="D116" s="50">
        <f>IF(hist!$D$2&gt;0,hist!B116/hist!$D$2,0)</f>
        <v>0.39919544972017662</v>
      </c>
      <c r="E116" s="50">
        <f t="shared" si="17"/>
        <v>0.84548137620546249</v>
      </c>
      <c r="F116">
        <f t="shared" si="21"/>
        <v>114</v>
      </c>
      <c r="G116" s="50">
        <f>IF(FT!A116&lt;&gt;"",FT!A116*10,"")</f>
        <v>5.4041799999999993</v>
      </c>
      <c r="H116" s="50">
        <f>IF(FT!B116&lt;&gt;"",FT!B116*100,"")</f>
        <v>47.8369</v>
      </c>
      <c r="I116" s="50">
        <f t="shared" si="18"/>
        <v>1</v>
      </c>
      <c r="J116" t="str">
        <f>IF(FT!B116&lt;&gt;"",FT!E116,"")</f>
        <v>0 [46.276351]</v>
      </c>
      <c r="K116">
        <f>IF(FT!B116&lt;&gt;"",IF(FT!C116&lt;&gt;"",FT!C116,F116/$M$3*$M$4),"")</f>
        <v>46.276400000000002</v>
      </c>
      <c r="Y116" s="75">
        <f t="shared" si="19"/>
        <v>8.8518332105888415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5.3993700000000002</v>
      </c>
      <c r="H117" s="50">
        <f>IF(FT!B117&lt;&gt;"",FT!B117*100,"")</f>
        <v>47.43</v>
      </c>
      <c r="I117" s="50">
        <f t="shared" si="18"/>
        <v>1</v>
      </c>
      <c r="J117" t="str">
        <f>IF(FT!B117&lt;&gt;"",FT!E117,"")</f>
        <v>0 [46.682088]</v>
      </c>
      <c r="K117">
        <f>IF(FT!B117&lt;&gt;"",IF(FT!C117&lt;&gt;"",FT!C117,F117/$M$3*$M$4),"")</f>
        <v>46.682099999999998</v>
      </c>
      <c r="Y117" s="75">
        <f t="shared" si="19"/>
        <v>8.7843581751204312</v>
      </c>
    </row>
    <row r="118" spans="1:25">
      <c r="A118" s="50">
        <f t="shared" si="20"/>
        <v>116</v>
      </c>
      <c r="B118" s="50">
        <f t="shared" si="16"/>
        <v>2.239668862745098</v>
      </c>
      <c r="C118" s="50">
        <f>IF(FH!$C$2&gt;0,FH!A118/FH!$C$2,0)</f>
        <v>0.30265307978384792</v>
      </c>
      <c r="D118" s="50">
        <f>IF(hist!$D$2&gt;0,hist!B118/hist!$D$2,0)</f>
        <v>0.36050638794916096</v>
      </c>
      <c r="E118" s="50">
        <f t="shared" si="17"/>
        <v>0.80584921817404465</v>
      </c>
      <c r="F118">
        <f t="shared" si="21"/>
        <v>116</v>
      </c>
      <c r="G118" s="50">
        <f>IF(FT!A118&lt;&gt;"",FT!A118*10,"")</f>
        <v>5.3946400000000008</v>
      </c>
      <c r="H118" s="50">
        <f>IF(FT!B118&lt;&gt;"",FT!B118*100,"")</f>
        <v>46.973300000000002</v>
      </c>
      <c r="I118" s="50">
        <f t="shared" si="18"/>
        <v>1</v>
      </c>
      <c r="J118" t="str">
        <f>IF(FT!B118&lt;&gt;"",FT!E118,"")</f>
        <v>0 [47.078321]</v>
      </c>
      <c r="K118">
        <f>IF(FT!B118&lt;&gt;"",IF(FT!C118&lt;&gt;"",FT!C118,F118/$M$3*$M$4),"")</f>
        <v>47.078299999999999</v>
      </c>
      <c r="Y118" s="75">
        <f t="shared" si="19"/>
        <v>8.7074021621461295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5.3885000000000005</v>
      </c>
      <c r="H119" s="50">
        <f>IF(FT!B119&lt;&gt;"",FT!B119*100,"")</f>
        <v>46.481099999999998</v>
      </c>
      <c r="I119" s="50">
        <f t="shared" si="18"/>
        <v>1</v>
      </c>
      <c r="J119" t="str">
        <f>IF(FT!B119&lt;&gt;"",FT!E119,"")</f>
        <v>0 [47.481065]</v>
      </c>
      <c r="K119">
        <f>IF(FT!B119&lt;&gt;"",IF(FT!C119&lt;&gt;"",FT!C119,F119/$M$3*$M$4),"")</f>
        <v>47.481099999999998</v>
      </c>
      <c r="Y119" s="75">
        <f t="shared" si="19"/>
        <v>8.6259812563793243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5.3820800000000002</v>
      </c>
      <c r="H120" s="50">
        <f>IF(FT!B120&lt;&gt;"",FT!B120*100,"")</f>
        <v>45.953400000000002</v>
      </c>
      <c r="I120" s="50">
        <f t="shared" si="18"/>
        <v>1</v>
      </c>
      <c r="J120" t="str">
        <f>IF(FT!B120&lt;&gt;"",FT!E120,"")</f>
        <v>0 [47.888538]</v>
      </c>
      <c r="K120">
        <f>IF(FT!B120&lt;&gt;"",IF(FT!C120&lt;&gt;"",FT!C120,F120/$M$3*$M$4),"")</f>
        <v>47.888500000000001</v>
      </c>
      <c r="Y120" s="75">
        <f t="shared" si="19"/>
        <v>8.5382231404958677</v>
      </c>
    </row>
    <row r="121" spans="1:25">
      <c r="A121" s="50">
        <f t="shared" si="20"/>
        <v>119</v>
      </c>
      <c r="B121" s="50">
        <f t="shared" si="16"/>
        <v>2.2975913333333331</v>
      </c>
      <c r="C121" s="50">
        <f>IF(FH!$C$2&gt;0,FH!A121/FH!$C$2,0)</f>
        <v>0.37249852819405815</v>
      </c>
      <c r="D121" s="50">
        <f>IF(hist!$D$2&gt;0,hist!B121/hist!$D$2,0)</f>
        <v>0.32496294581542917</v>
      </c>
      <c r="E121" s="50">
        <f t="shared" si="17"/>
        <v>0.73812129341196475</v>
      </c>
      <c r="F121">
        <f t="shared" si="21"/>
        <v>119</v>
      </c>
      <c r="G121" s="50">
        <f>IF(FT!A121&lt;&gt;"",FT!A121*10,"")</f>
        <v>5.37547</v>
      </c>
      <c r="H121" s="50">
        <f>IF(FT!B121&lt;&gt;"",FT!B121*100,"")</f>
        <v>45.373200000000004</v>
      </c>
      <c r="I121" s="50">
        <f t="shared" si="18"/>
        <v>1</v>
      </c>
      <c r="J121" t="str">
        <f>IF(FT!B121&lt;&gt;"",FT!E121,"")</f>
        <v>0 [48.303005]</v>
      </c>
      <c r="K121">
        <f>IF(FT!B121&lt;&gt;"",IF(FT!C121&lt;&gt;"",FT!C121,F121/$M$3*$M$4),"")</f>
        <v>48.302999999999997</v>
      </c>
      <c r="Y121" s="75">
        <f t="shared" si="19"/>
        <v>8.4407875032322757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5.3680399999999997</v>
      </c>
      <c r="H122" s="50">
        <f>IF(FT!B122&lt;&gt;"",FT!B122*100,"")</f>
        <v>44.7836</v>
      </c>
      <c r="I122" s="50">
        <f t="shared" si="18"/>
        <v>1</v>
      </c>
      <c r="J122" t="str">
        <f>IF(FT!B122&lt;&gt;"",FT!E122,"")</f>
        <v>0 [48.705773]</v>
      </c>
      <c r="K122">
        <f>IF(FT!B122&lt;&gt;"",IF(FT!C122&lt;&gt;"",FT!C122,F122/$M$3*$M$4),"")</f>
        <v>48.705800000000004</v>
      </c>
      <c r="Y122" s="75">
        <f t="shared" si="19"/>
        <v>8.3426353007801737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5.3600899999999996</v>
      </c>
      <c r="H123" s="50">
        <f>IF(FT!B123&lt;&gt;"",FT!B123*100,"")</f>
        <v>44.2121</v>
      </c>
      <c r="I123" s="50">
        <f t="shared" si="18"/>
        <v>1</v>
      </c>
      <c r="J123" t="str">
        <f>IF(FT!B123&lt;&gt;"",FT!E123,"")</f>
        <v>0 [49.110134]</v>
      </c>
      <c r="K123">
        <f>IF(FT!B123&lt;&gt;"",IF(FT!C123&lt;&gt;"",FT!C123,F123/$M$3*$M$4),"")</f>
        <v>49.110100000000003</v>
      </c>
      <c r="Y123" s="75">
        <f t="shared" si="19"/>
        <v>8.2483876203571214</v>
      </c>
    </row>
    <row r="124" spans="1:25">
      <c r="A124" s="50">
        <f t="shared" si="20"/>
        <v>122</v>
      </c>
      <c r="B124" s="50">
        <f t="shared" si="16"/>
        <v>2.3555138039215686</v>
      </c>
      <c r="C124" s="50">
        <f>IF(FH!$C$2&gt;0,FH!A124/FH!$C$2,0)</f>
        <v>0.43848569117442926</v>
      </c>
      <c r="D124" s="50">
        <f>IF(hist!$D$2&gt;0,hist!B124/hist!$D$2,0)</f>
        <v>0.29038774217121072</v>
      </c>
      <c r="E124" s="50">
        <f t="shared" si="17"/>
        <v>0.66340826164439226</v>
      </c>
      <c r="F124">
        <f t="shared" si="21"/>
        <v>122</v>
      </c>
      <c r="G124" s="50">
        <f>IF(FT!A124&lt;&gt;"",FT!A124*10,"")</f>
        <v>5.3528900000000004</v>
      </c>
      <c r="H124" s="50">
        <f>IF(FT!B124&lt;&gt;"",FT!B124*100,"")</f>
        <v>43.999200000000002</v>
      </c>
      <c r="I124" s="50">
        <f t="shared" si="18"/>
        <v>1</v>
      </c>
      <c r="J124" t="str">
        <f>IF(FT!B124&lt;&gt;"",FT!E124,"")</f>
        <v>0 [49.517355]</v>
      </c>
      <c r="K124">
        <f>IF(FT!B124&lt;&gt;"",IF(FT!C124&lt;&gt;"",FT!C124,F124/$M$3*$M$4),"")</f>
        <v>49.517400000000002</v>
      </c>
      <c r="Y124" s="75">
        <f t="shared" si="19"/>
        <v>8.2197093532652445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5.3434899999999992</v>
      </c>
      <c r="H125" s="50">
        <f>IF(FT!B125&lt;&gt;"",FT!B125*100,"")</f>
        <v>43.821199999999997</v>
      </c>
      <c r="I125" s="50">
        <f t="shared" si="18"/>
        <v>1</v>
      </c>
      <c r="J125" t="str">
        <f>IF(FT!B125&lt;&gt;"",FT!E125,"")</f>
        <v>0 [49.915072]</v>
      </c>
      <c r="K125">
        <f>IF(FT!B125&lt;&gt;"",IF(FT!C125&lt;&gt;"",FT!C125,F125/$M$3*$M$4),"")</f>
        <v>49.915100000000002</v>
      </c>
      <c r="Y125" s="75">
        <f t="shared" si="19"/>
        <v>8.2008574920136468</v>
      </c>
    </row>
    <row r="126" spans="1:25">
      <c r="A126" s="50">
        <f t="shared" si="20"/>
        <v>124</v>
      </c>
      <c r="B126" s="50">
        <f t="shared" si="16"/>
        <v>2.3941287843137253</v>
      </c>
      <c r="C126" s="50">
        <f>IF(FH!$C$2&gt;0,FH!A126/FH!$C$2,0)</f>
        <v>0.49534526413531998</v>
      </c>
      <c r="D126" s="50">
        <f>IF(hist!$D$2&gt;0,hist!B126/hist!$D$2,0)</f>
        <v>0.25945159490272529</v>
      </c>
      <c r="E126" s="50">
        <f t="shared" si="17"/>
        <v>0.61138651689501311</v>
      </c>
      <c r="F126">
        <f t="shared" si="21"/>
        <v>124</v>
      </c>
      <c r="G126" s="50">
        <f>IF(FT!A126&lt;&gt;"",FT!A126*10,"")</f>
        <v>5.3318200000000004</v>
      </c>
      <c r="H126" s="50">
        <f>IF(FT!B126&lt;&gt;"",FT!B126*100,"")</f>
        <v>43.627700000000004</v>
      </c>
      <c r="I126" s="50">
        <f t="shared" si="18"/>
        <v>1</v>
      </c>
      <c r="J126" t="str">
        <f>IF(FT!B126&lt;&gt;"",FT!E126,"")</f>
        <v>0 [50.321171]</v>
      </c>
      <c r="K126">
        <f>IF(FT!B126&lt;&gt;"",IF(FT!C126&lt;&gt;"",FT!C126,F126/$M$3*$M$4),"")</f>
        <v>50.321199999999997</v>
      </c>
      <c r="Y126" s="75">
        <f t="shared" si="19"/>
        <v>8.1825155387841306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5.3204600000000006</v>
      </c>
      <c r="H127" s="50">
        <f>IF(FT!B127&lt;&gt;"",FT!B127*100,"")</f>
        <v>43.396599999999999</v>
      </c>
      <c r="I127" s="50">
        <f t="shared" si="18"/>
        <v>1</v>
      </c>
      <c r="J127" t="str">
        <f>IF(FT!B127&lt;&gt;"",FT!E127,"")</f>
        <v>0 [50.734239]</v>
      </c>
      <c r="K127">
        <f>IF(FT!B127&lt;&gt;"",IF(FT!C127&lt;&gt;"",FT!C127,F127/$M$3*$M$4),"")</f>
        <v>50.734200000000001</v>
      </c>
      <c r="Y127" s="75">
        <f t="shared" si="19"/>
        <v>8.1565503734639471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5.30762</v>
      </c>
      <c r="H128" s="50">
        <f>IF(FT!B128&lt;&gt;"",FT!B128*100,"")</f>
        <v>43.160699999999999</v>
      </c>
      <c r="I128" s="50">
        <f t="shared" si="18"/>
        <v>1</v>
      </c>
      <c r="J128" t="str">
        <f>IF(FT!B128&lt;&gt;"",FT!E128,"")</f>
        <v>0 [51.138467]</v>
      </c>
      <c r="K128">
        <f>IF(FT!B128&lt;&gt;"",IF(FT!C128&lt;&gt;"",FT!C128,F128/$M$3*$M$4),"")</f>
        <v>51.138500000000001</v>
      </c>
      <c r="Y128" s="75">
        <f t="shared" si="19"/>
        <v>8.1318368685022655</v>
      </c>
    </row>
    <row r="129" spans="1:25">
      <c r="A129" s="50">
        <f t="shared" si="20"/>
        <v>127</v>
      </c>
      <c r="B129" s="50">
        <f t="shared" si="16"/>
        <v>2.4520512549019604</v>
      </c>
      <c r="C129" s="50">
        <f>IF(FH!$C$2&gt;0,FH!A129/FH!$C$2,0)</f>
        <v>0.60243530036807103</v>
      </c>
      <c r="D129" s="50">
        <f>IF(hist!$D$2&gt;0,hist!B129/hist!$D$2,0)</f>
        <v>0.2314386714651091</v>
      </c>
      <c r="E129" s="50">
        <f t="shared" si="17"/>
        <v>0.53243630271791664</v>
      </c>
      <c r="F129">
        <f t="shared" si="21"/>
        <v>127</v>
      </c>
      <c r="G129" s="50">
        <f>IF(FT!A129&lt;&gt;"",FT!A129*10,"")</f>
        <v>5.2950600000000003</v>
      </c>
      <c r="H129" s="50">
        <f>IF(FT!B129&lt;&gt;"",FT!B129*100,"")</f>
        <v>42.882999999999996</v>
      </c>
      <c r="I129" s="50">
        <f t="shared" si="18"/>
        <v>1</v>
      </c>
      <c r="J129" t="str">
        <f>IF(FT!B129&lt;&gt;"",FT!E129,"")</f>
        <v>0 [51.550697]</v>
      </c>
      <c r="K129">
        <f>IF(FT!B129&lt;&gt;"",IF(FT!C129&lt;&gt;"",FT!C129,F129/$M$3*$M$4),"")</f>
        <v>51.550699999999999</v>
      </c>
      <c r="Y129" s="75">
        <f t="shared" si="19"/>
        <v>8.0986806570652625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5.2850699999999993</v>
      </c>
      <c r="H130" s="50">
        <f>IF(FT!B130&lt;&gt;"",FT!B130*100,"")</f>
        <v>42.55</v>
      </c>
      <c r="I130" s="50">
        <f t="shared" si="18"/>
        <v>1</v>
      </c>
      <c r="J130" t="str">
        <f>IF(FT!B130&lt;&gt;"",FT!E130,"")</f>
        <v>0 [51.948526]</v>
      </c>
      <c r="K130">
        <f>IF(FT!B130&lt;&gt;"",IF(FT!C130&lt;&gt;"",FT!C130,F130/$M$3*$M$4),"")</f>
        <v>51.948500000000003</v>
      </c>
      <c r="Y130" s="75">
        <f t="shared" si="19"/>
        <v>8.0509813493482589</v>
      </c>
    </row>
    <row r="131" spans="1:25">
      <c r="A131" s="50">
        <f t="shared" si="20"/>
        <v>129</v>
      </c>
      <c r="B131" s="50">
        <f t="shared" ref="B131:B194" si="22">A131/255*$M$2</f>
        <v>2.4906662352941176</v>
      </c>
      <c r="C131" s="50">
        <f>IF(FH!$C$2&gt;0,FH!A131/FH!$C$2,0)</f>
        <v>0.64893479540700816</v>
      </c>
      <c r="D131" s="50">
        <f>IF(hist!$D$2&gt;0,hist!B131/hist!$D$2,0)</f>
        <v>0.20784048839115207</v>
      </c>
      <c r="E131" s="50">
        <f t="shared" ref="E131:E194" si="23">NORMDIST(B131,2,0.421,FALSE)</f>
        <v>0.48047236527720366</v>
      </c>
      <c r="F131">
        <f t="shared" si="21"/>
        <v>129</v>
      </c>
      <c r="G131" s="50">
        <f>IF(FT!A131&lt;&gt;"",FT!A131*10,"")</f>
        <v>5.2768600000000001</v>
      </c>
      <c r="H131" s="50">
        <f>IF(FT!B131&lt;&gt;"",FT!B131*100,"")</f>
        <v>42.189799999999998</v>
      </c>
      <c r="I131" s="50">
        <f t="shared" ref="I131:I194" si="24">(IF(G131&lt;&gt;"",1,""))</f>
        <v>1</v>
      </c>
      <c r="J131" t="str">
        <f>IF(FT!B131&lt;&gt;"",FT!E131,"")</f>
        <v>0 [52.356441]</v>
      </c>
      <c r="K131">
        <f>IF(FT!B131&lt;&gt;"",IF(FT!C131&lt;&gt;"",FT!C131,F131/$M$3*$M$4),"")</f>
        <v>52.356400000000001</v>
      </c>
      <c r="Y131" s="75">
        <f t="shared" ref="Y131:Y194" si="25">IF(I131=1,H131/G131,"")</f>
        <v>7.9952471735084876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5.2705400000000004</v>
      </c>
      <c r="H132" s="50">
        <f>IF(FT!B132&lt;&gt;"",FT!B132*100,"")</f>
        <v>41.843299999999999</v>
      </c>
      <c r="I132" s="50">
        <f t="shared" si="24"/>
        <v>1</v>
      </c>
      <c r="J132" t="str">
        <f>IF(FT!B132&lt;&gt;"",FT!E132,"")</f>
        <v>0 [52.762683]</v>
      </c>
      <c r="K132">
        <f>IF(FT!B132&lt;&gt;"",IF(FT!C132&lt;&gt;"",FT!C132,F132/$M$3*$M$4),"")</f>
        <v>52.762700000000002</v>
      </c>
      <c r="Y132" s="75">
        <f t="shared" si="25"/>
        <v>7.9390916300796492</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5.2651800000000009</v>
      </c>
      <c r="H133" s="50">
        <f>IF(FT!B133&lt;&gt;"",FT!B133*100,"")</f>
        <v>41.479700000000001</v>
      </c>
      <c r="I133" s="50">
        <f t="shared" si="24"/>
        <v>1</v>
      </c>
      <c r="J133" t="str">
        <f>IF(FT!B133&lt;&gt;"",FT!E133,"")</f>
        <v>0 [53.169105]</v>
      </c>
      <c r="K133">
        <f>IF(FT!B133&lt;&gt;"",IF(FT!C133&lt;&gt;"",FT!C133,F133/$M$3*$M$4),"")</f>
        <v>53.1691</v>
      </c>
      <c r="Y133" s="75">
        <f t="shared" si="25"/>
        <v>7.8781162277452994</v>
      </c>
    </row>
    <row r="134" spans="1:25">
      <c r="A134" s="50">
        <f t="shared" si="26"/>
        <v>132</v>
      </c>
      <c r="B134" s="50">
        <f t="shared" si="22"/>
        <v>2.5485887058823531</v>
      </c>
      <c r="C134" s="50">
        <f>IF(FH!$C$2&gt;0,FH!A134/FH!$C$2,0)</f>
        <v>0.73924385072297982</v>
      </c>
      <c r="D134" s="50">
        <f>IF(hist!$D$2&gt;0,hist!B134/hist!$D$2,0)</f>
        <v>0.1864254479050064</v>
      </c>
      <c r="E134" s="50">
        <f t="shared" si="23"/>
        <v>0.4054327962341186</v>
      </c>
      <c r="F134">
        <f t="shared" si="27"/>
        <v>132</v>
      </c>
      <c r="G134" s="50">
        <f>IF(FT!A134&lt;&gt;"",FT!A134*10,"")</f>
        <v>5.2605000000000004</v>
      </c>
      <c r="H134" s="50">
        <f>IF(FT!B134&lt;&gt;"",FT!B134*100,"")</f>
        <v>41.095999999999997</v>
      </c>
      <c r="I134" s="50">
        <f t="shared" si="24"/>
        <v>1</v>
      </c>
      <c r="J134" t="str">
        <f>IF(FT!B134&lt;&gt;"",FT!E134,"")</f>
        <v>0 [53.574130]</v>
      </c>
      <c r="K134">
        <f>IF(FT!B134&lt;&gt;"",IF(FT!C134&lt;&gt;"",FT!C134,F134/$M$3*$M$4),"")</f>
        <v>53.574100000000001</v>
      </c>
      <c r="Y134" s="75">
        <f t="shared" si="25"/>
        <v>7.8121851535025177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5.2572799999999997</v>
      </c>
      <c r="H135" s="50">
        <f>IF(FT!B135&lt;&gt;"",FT!B135*100,"")</f>
        <v>40.715899999999998</v>
      </c>
      <c r="I135" s="50">
        <f t="shared" si="24"/>
        <v>1</v>
      </c>
      <c r="J135" t="str">
        <f>IF(FT!B135&lt;&gt;"",FT!E135,"")</f>
        <v>0 [53.981307]</v>
      </c>
      <c r="K135">
        <f>IF(FT!B135&lt;&gt;"",IF(FT!C135&lt;&gt;"",FT!C135,F135/$M$3*$M$4),"")</f>
        <v>53.981299999999997</v>
      </c>
      <c r="Y135" s="75">
        <f t="shared" si="25"/>
        <v>7.7446702477326674</v>
      </c>
    </row>
    <row r="136" spans="1:25">
      <c r="A136" s="50">
        <f t="shared" si="26"/>
        <v>134</v>
      </c>
      <c r="B136" s="50">
        <f t="shared" si="22"/>
        <v>2.5872036862745098</v>
      </c>
      <c r="C136" s="50">
        <f>IF(FH!$C$2&gt;0,FH!A136/FH!$C$2,0)</f>
        <v>0.87023218636174349</v>
      </c>
      <c r="D136" s="50">
        <f>IF(hist!$D$2&gt;0,hist!B136/hist!$D$2,0)</f>
        <v>0.16510881619142773</v>
      </c>
      <c r="E136" s="50">
        <f t="shared" si="23"/>
        <v>0.35824934528258567</v>
      </c>
      <c r="F136">
        <f t="shared" si="27"/>
        <v>134</v>
      </c>
      <c r="G136" s="50">
        <f>IF(FT!A136&lt;&gt;"",FT!A136*10,"")</f>
        <v>5.2551800000000002</v>
      </c>
      <c r="H136" s="50">
        <f>IF(FT!B136&lt;&gt;"",FT!B136*100,"")</f>
        <v>40.328900000000004</v>
      </c>
      <c r="I136" s="50">
        <f t="shared" si="24"/>
        <v>1</v>
      </c>
      <c r="J136" t="str">
        <f>IF(FT!B136&lt;&gt;"",FT!E136,"")</f>
        <v>0 [54.391662]</v>
      </c>
      <c r="K136">
        <f>IF(FT!B136&lt;&gt;"",IF(FT!C136&lt;&gt;"",FT!C136,F136/$M$3*$M$4),"")</f>
        <v>54.3917</v>
      </c>
      <c r="Y136" s="75">
        <f t="shared" si="25"/>
        <v>7.6741234363047512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5.2504499999999998</v>
      </c>
      <c r="H137" s="50">
        <f>IF(FT!B137&lt;&gt;"",FT!B137*100,"")</f>
        <v>39.922600000000003</v>
      </c>
      <c r="I137" s="50">
        <f t="shared" si="24"/>
        <v>1</v>
      </c>
      <c r="J137" t="str">
        <f>IF(FT!B137&lt;&gt;"",FT!E137,"")</f>
        <v>0 [54.801067]</v>
      </c>
      <c r="K137">
        <f>IF(FT!B137&lt;&gt;"",IF(FT!C137&lt;&gt;"",FT!C137,F137/$M$3*$M$4),"")</f>
        <v>54.801099999999998</v>
      </c>
      <c r="Y137" s="75">
        <f t="shared" si="25"/>
        <v>7.6036530202173154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5.2479200000000006</v>
      </c>
      <c r="H138" s="50">
        <f>IF(FT!B138&lt;&gt;"",FT!B138*100,"")</f>
        <v>39.508900000000004</v>
      </c>
      <c r="I138" s="50">
        <f t="shared" si="24"/>
        <v>1</v>
      </c>
      <c r="J138" t="str">
        <f>IF(FT!B138&lt;&gt;"",FT!E138,"")</f>
        <v>0 [55.201229]</v>
      </c>
      <c r="K138">
        <f>IF(FT!B138&lt;&gt;"",IF(FT!C138&lt;&gt;"",FT!C138,F138/$M$3*$M$4),"")</f>
        <v>55.2012</v>
      </c>
      <c r="Y138" s="75">
        <f t="shared" si="25"/>
        <v>7.5284874769432459</v>
      </c>
    </row>
    <row r="139" spans="1:25">
      <c r="A139" s="50">
        <f t="shared" si="26"/>
        <v>137</v>
      </c>
      <c r="B139" s="50">
        <f t="shared" si="22"/>
        <v>2.6451261568627449</v>
      </c>
      <c r="C139" s="50">
        <f>IF(FH!$C$2&gt;0,FH!A139/FH!$C$2,0)</f>
        <v>0.88262886079826919</v>
      </c>
      <c r="D139" s="50">
        <f>IF(hist!$D$2&gt;0,hist!B139/hist!$D$2,0)</f>
        <v>0.14650575942459212</v>
      </c>
      <c r="E139" s="50">
        <f t="shared" si="23"/>
        <v>0.29291022248726101</v>
      </c>
      <c r="F139">
        <f t="shared" si="27"/>
        <v>137</v>
      </c>
      <c r="G139" s="50">
        <f>IF(FT!A139&lt;&gt;"",FT!A139*10,"")</f>
        <v>5.2458499999999999</v>
      </c>
      <c r="H139" s="50">
        <f>IF(FT!B139&lt;&gt;"",FT!B139*100,"")</f>
        <v>39.070999999999998</v>
      </c>
      <c r="I139" s="50">
        <f t="shared" si="24"/>
        <v>1</v>
      </c>
      <c r="J139" t="str">
        <f>IF(FT!B139&lt;&gt;"",FT!E139,"")</f>
        <v>0 [55.607804]</v>
      </c>
      <c r="K139">
        <f>IF(FT!B139&lt;&gt;"",IF(FT!C139&lt;&gt;"",FT!C139,F139/$M$3*$M$4),"")</f>
        <v>55.607799999999997</v>
      </c>
      <c r="Y139" s="75">
        <f t="shared" si="25"/>
        <v>7.4479826910796154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5.2453700000000003</v>
      </c>
      <c r="H140" s="50">
        <f>IF(FT!B140&lt;&gt;"",FT!B140*100,"")</f>
        <v>38.581099999999999</v>
      </c>
      <c r="I140" s="50">
        <f t="shared" si="24"/>
        <v>1</v>
      </c>
      <c r="J140" t="str">
        <f>IF(FT!B140&lt;&gt;"",FT!E140,"")</f>
        <v>0 [56.011082]</v>
      </c>
      <c r="K140">
        <f>IF(FT!B140&lt;&gt;"",IF(FT!C140&lt;&gt;"",FT!C140,F140/$M$3*$M$4),"")</f>
        <v>56.011099999999999</v>
      </c>
      <c r="Y140" s="75">
        <f t="shared" si="25"/>
        <v>7.3552675979006246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5.2463700000000006</v>
      </c>
      <c r="H141" s="50">
        <f>IF(FT!B141&lt;&gt;"",FT!B141*100,"")</f>
        <v>38.0426</v>
      </c>
      <c r="I141" s="50">
        <f t="shared" si="24"/>
        <v>1</v>
      </c>
      <c r="J141" t="str">
        <f>IF(FT!B141&lt;&gt;"",FT!E141,"")</f>
        <v>0 [56.433289]</v>
      </c>
      <c r="K141">
        <f>IF(FT!B141&lt;&gt;"",IF(FT!C141&lt;&gt;"",FT!C141,F141/$M$3*$M$4),"")</f>
        <v>56.433300000000003</v>
      </c>
      <c r="Y141" s="75">
        <f t="shared" si="25"/>
        <v>7.2512232267262879</v>
      </c>
    </row>
    <row r="142" spans="1:25">
      <c r="A142" s="50">
        <f t="shared" si="26"/>
        <v>140</v>
      </c>
      <c r="B142" s="50">
        <f t="shared" si="22"/>
        <v>2.7030486274509804</v>
      </c>
      <c r="C142" s="50">
        <f>IF(FH!$C$2&gt;0,FH!A142/FH!$C$2,0)</f>
        <v>0.92383464080755473</v>
      </c>
      <c r="D142" s="50">
        <f>IF(hist!$D$2&gt;0,hist!B142/hist!$D$2,0)</f>
        <v>0.12802533902434171</v>
      </c>
      <c r="E142" s="50">
        <f t="shared" si="23"/>
        <v>0.23499728696755492</v>
      </c>
      <c r="F142">
        <f t="shared" si="27"/>
        <v>140</v>
      </c>
      <c r="G142" s="50">
        <f>IF(FT!A142&lt;&gt;"",FT!A142*10,"")</f>
        <v>5.248429999999999</v>
      </c>
      <c r="H142" s="50">
        <f>IF(FT!B142&lt;&gt;"",FT!B142*100,"")</f>
        <v>37.502400000000002</v>
      </c>
      <c r="I142" s="50">
        <f t="shared" si="24"/>
        <v>1</v>
      </c>
      <c r="J142" t="str">
        <f>IF(FT!B142&lt;&gt;"",FT!E142,"")</f>
        <v>0 [56.841988]</v>
      </c>
      <c r="K142">
        <f>IF(FT!B142&lt;&gt;"",IF(FT!C142&lt;&gt;"",FT!C142,F142/$M$3*$M$4),"")</f>
        <v>56.841999999999999</v>
      </c>
      <c r="Y142" s="75">
        <f t="shared" si="25"/>
        <v>7.1454511158575054</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5.2516300000000005</v>
      </c>
      <c r="H143" s="50">
        <f>IF(FT!B143&lt;&gt;"",FT!B143*100,"")</f>
        <v>36.971699999999998</v>
      </c>
      <c r="I143" s="50">
        <f t="shared" si="24"/>
        <v>1</v>
      </c>
      <c r="J143" t="str">
        <f>IF(FT!B143&lt;&gt;"",FT!E143,"")</f>
        <v>0 [57.245034]</v>
      </c>
      <c r="K143">
        <f>IF(FT!B143&lt;&gt;"",IF(FT!C143&lt;&gt;"",FT!C143,F143/$M$3*$M$4),"")</f>
        <v>57.244999999999997</v>
      </c>
      <c r="Y143" s="75">
        <f t="shared" si="25"/>
        <v>7.0400428057574498</v>
      </c>
    </row>
    <row r="144" spans="1:25">
      <c r="A144" s="50">
        <f t="shared" si="26"/>
        <v>142</v>
      </c>
      <c r="B144" s="50">
        <f t="shared" si="22"/>
        <v>2.7416636078431371</v>
      </c>
      <c r="C144" s="50">
        <f>IF(FH!$C$2&gt;0,FH!A144/FH!$C$2,0)</f>
        <v>0.9685966868810636</v>
      </c>
      <c r="D144" s="50">
        <f>IF(hist!$D$2&gt;0,hist!B144/hist!$D$2,0)</f>
        <v>0.11243963071321963</v>
      </c>
      <c r="E144" s="50">
        <f t="shared" si="23"/>
        <v>0.20077730249146994</v>
      </c>
      <c r="F144">
        <f t="shared" si="27"/>
        <v>142</v>
      </c>
      <c r="G144" s="50">
        <f>IF(FT!A144&lt;&gt;"",FT!A144*10,"")</f>
        <v>5.2624099999999991</v>
      </c>
      <c r="H144" s="50">
        <f>IF(FT!B144&lt;&gt;"",FT!B144*100,"")</f>
        <v>36.410499999999999</v>
      </c>
      <c r="I144" s="50">
        <f t="shared" si="24"/>
        <v>1</v>
      </c>
      <c r="J144" t="str">
        <f>IF(FT!B144&lt;&gt;"",FT!E144,"")</f>
        <v>0 [57.658695]</v>
      </c>
      <c r="K144">
        <f>IF(FT!B144&lt;&gt;"",IF(FT!C144&lt;&gt;"",FT!C144,F144/$M$3*$M$4),"")</f>
        <v>57.658700000000003</v>
      </c>
      <c r="Y144" s="75">
        <f t="shared" si="25"/>
        <v>6.918978186800345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5.2723500000000003</v>
      </c>
      <c r="H145" s="50">
        <f>IF(FT!B145&lt;&gt;"",FT!B145*100,"")</f>
        <v>35.947299999999998</v>
      </c>
      <c r="I145" s="50">
        <f t="shared" si="24"/>
        <v>1</v>
      </c>
      <c r="J145" t="str">
        <f>IF(FT!B145&lt;&gt;"",FT!E145,"")</f>
        <v>0 [58.059956]</v>
      </c>
      <c r="K145">
        <f>IF(FT!B145&lt;&gt;"",IF(FT!C145&lt;&gt;"",FT!C145,F145/$M$3*$M$4),"")</f>
        <v>58.06</v>
      </c>
      <c r="Y145" s="75">
        <f t="shared" si="25"/>
        <v>6.8180792246341761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5.2747599999999997</v>
      </c>
      <c r="H146" s="50">
        <f>IF(FT!B146&lt;&gt;"",FT!B146*100,"")</f>
        <v>35.736899999999999</v>
      </c>
      <c r="I146" s="50">
        <f t="shared" si="24"/>
        <v>1</v>
      </c>
      <c r="J146" t="str">
        <f>IF(FT!B146&lt;&gt;"",FT!E146,"")</f>
        <v>0 [58.465404]</v>
      </c>
      <c r="K146">
        <f>IF(FT!B146&lt;&gt;"",IF(FT!C146&lt;&gt;"",FT!C146,F146/$M$3*$M$4),"")</f>
        <v>58.465400000000002</v>
      </c>
      <c r="Y146" s="75">
        <f t="shared" si="25"/>
        <v>6.7750760224161857</v>
      </c>
    </row>
    <row r="147" spans="1:25">
      <c r="A147" s="50">
        <f t="shared" si="26"/>
        <v>145</v>
      </c>
      <c r="B147" s="50">
        <f t="shared" si="22"/>
        <v>2.7995860784313722</v>
      </c>
      <c r="C147" s="50">
        <f>IF(FH!$C$2&gt;0,FH!A147/FH!$C$2,0)</f>
        <v>1</v>
      </c>
      <c r="D147" s="50">
        <f>IF(hist!$D$2&gt;0,hist!B147/hist!$D$2,0)</f>
        <v>9.7549769292313876E-2</v>
      </c>
      <c r="E147" s="50">
        <f t="shared" si="23"/>
        <v>0.15607796549987585</v>
      </c>
      <c r="F147">
        <f t="shared" si="27"/>
        <v>145</v>
      </c>
      <c r="G147" s="50">
        <f>IF(FT!A147&lt;&gt;"",FT!A147*10,"")</f>
        <v>5.2876700000000003</v>
      </c>
      <c r="H147" s="50">
        <f>IF(FT!B147&lt;&gt;"",FT!B147*100,"")</f>
        <v>35.945300000000003</v>
      </c>
      <c r="I147" s="50">
        <f t="shared" si="24"/>
        <v>1</v>
      </c>
      <c r="J147" t="str">
        <f>IF(FT!B147&lt;&gt;"",FT!E147,"")</f>
        <v>0 [58.881594]</v>
      </c>
      <c r="K147">
        <f>IF(FT!B147&lt;&gt;"",IF(FT!C147&lt;&gt;"",FT!C147,F147/$M$3*$M$4),"")</f>
        <v>58.881599999999999</v>
      </c>
      <c r="Y147" s="75">
        <f t="shared" si="25"/>
        <v>6.7979469218010964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0.88938241586774325</v>
      </c>
      <c r="D149" s="50">
        <f>IF(hist!$D$2&gt;0,hist!B149/hist!$D$2,0)</f>
        <v>8.5603096252748853E-2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0.79672325740569672</v>
      </c>
      <c r="D152" s="50">
        <f>IF(hist!$D$2&gt;0,hist!B152/hist!$D$2,0)</f>
        <v>7.4308077958910465E-2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0.71513495144236983</v>
      </c>
      <c r="D154" s="50">
        <f>IF(hist!$D$2&gt;0,hist!B154/hist!$D$2,0)</f>
        <v>6.3850114596730748E-2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0.65762682659493499</v>
      </c>
      <c r="D157" s="50">
        <f>IF(hist!$D$2&gt;0,hist!B157/hist!$D$2,0)</f>
        <v>5.3463441140991365E-2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0.59556687263972574</v>
      </c>
      <c r="D160" s="50">
        <f>IF(hist!$D$2&gt;0,hist!B160/hist!$D$2,0)</f>
        <v>4.5463818821324595E-2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0.53591924452081341</v>
      </c>
      <c r="D162" s="50">
        <f>IF(hist!$D$2&gt;0,hist!B162/hist!$D$2,0)</f>
        <v>3.7852049047708884E-2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0.51501720696702669</v>
      </c>
      <c r="D165" s="50">
        <f>IF(hist!$D$2&gt;0,hist!B165/hist!$D$2,0)</f>
        <v>3.156213933622766E-2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0.44335294145802123</v>
      </c>
      <c r="D167" s="50">
        <f>IF(hist!$D$2&gt;0,hist!B167/hist!$D$2,0)</f>
        <v>2.6461492149235988E-2</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0.40867432165301748</v>
      </c>
      <c r="D170" s="50">
        <f>IF(hist!$D$2&gt;0,hist!B170/hist!$D$2,0)</f>
        <v>2.1285270908081248E-2</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1.7105799898180792E-2</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0.35069809072068231</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0.29300281916650311</v>
      </c>
      <c r="D175" s="50">
        <f>IF(hist!$D$2&gt;0,hist!B175/hist!$D$2,0)</f>
        <v>1.3412569102722404E-2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0.25994151067119137</v>
      </c>
      <c r="D178" s="50">
        <f>IF(hist!$D$2&gt;0,hist!B178/hist!$D$2,0)</f>
        <v>1.0218409860698299E-2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0.21136617095923455</v>
      </c>
      <c r="D180" s="50">
        <f>IF(hist!$D$2&gt;0,hist!B180/hist!$D$2,0)</f>
        <v>8.089462796788292E-3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0.16549177463898873</v>
      </c>
      <c r="D183" s="50">
        <f>IF(hist!$D$2&gt;0,hist!B183/hist!$D$2,0)</f>
        <v>6.2428473990590958E-3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0.1417892373891359</v>
      </c>
      <c r="D185" s="50">
        <f>IF(hist!$D$2&gt;0,hist!B185/hist!$D$2,0)</f>
        <v>4.4532765889877526E-3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0.10587860831773777</v>
      </c>
      <c r="D188" s="50">
        <f>IF(hist!$D$2&gt;0,hist!B188/hist!$D$2,0)</f>
        <v>2.8989751326750956E-3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9.4423889683956583E-2</v>
      </c>
      <c r="D191" s="50">
        <f>IF(hist!$D$2&gt;0,hist!B191/hist!$D$2,0)</f>
        <v>2.031994479485232E-3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9.0193704021021698E-2</v>
      </c>
      <c r="D193" s="50">
        <f>IF(hist!$D$2&gt;0,hist!B193/hist!$D$2,0)</f>
        <v>1.3518068878416668E-3</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7.9696257544501187E-2</v>
      </c>
      <c r="D196" s="50">
        <f>IF(hist!$D$2&gt;0,hist!B196/hist!$D$2,0)</f>
        <v>8.926433311743059E-4</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5.5790299961230479E-2</v>
      </c>
      <c r="D198" s="50">
        <f>IF(hist!$D$2&gt;0,hist!B198/hist!$D$2,0)</f>
        <v>6.0317845351426423E-4</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4.0929846309955151E-2</v>
      </c>
      <c r="D201" s="50">
        <f>IF(hist!$D$2&gt;0,hist!B201/hist!$D$2,0)</f>
        <v>3.7075816351207427E-4</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3.0234914587391765E-2</v>
      </c>
      <c r="D203" s="50">
        <f>IF(hist!$D$2&gt;0,hist!B203/hist!$D$2,0)</f>
        <v>1.1121900738323266E-4</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2.5328894781430834E-2</v>
      </c>
      <c r="D206" s="50">
        <f>IF(hist!$D$2&gt;0,hist!B206/hist!$D$2,0)</f>
        <v>5.7044587657851591E-5</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2.0552250307523678E-2</v>
      </c>
      <c r="D209" s="50">
        <f>IF(hist!$D$2&gt;0,hist!B209/hist!$D$2,0)</f>
        <v>1.8529466505214092E-5</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1.5041473816213319E-2</v>
      </c>
      <c r="D211" s="50">
        <f>IF(hist!$D$2&gt;0,hist!B211/hist!$D$2,0)</f>
        <v>2.8490637564964725E-6</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6.6620877148477701E-3</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CO40:CO42"/>
    <mergeCell ref="CR43:CR45"/>
    <mergeCell ref="CR46:CR48"/>
    <mergeCell ref="CM46:CM48"/>
    <mergeCell ref="CP46:CP48"/>
    <mergeCell ref="CS36:CS39"/>
    <mergeCell ref="CS40:CS42"/>
    <mergeCell ref="CS43:CS45"/>
    <mergeCell ref="CQ36:CQ39"/>
    <mergeCell ref="CR36:CR39"/>
    <mergeCell ref="CQ40:CQ42"/>
    <mergeCell ref="CR40:CR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47.7181</v>
      </c>
      <c r="C5" s="49">
        <v>1.6553899999999999</v>
      </c>
      <c r="D5" s="49">
        <v>3.4691000000000001</v>
      </c>
      <c r="E5" s="49">
        <v>20</v>
      </c>
      <c r="F5" s="49">
        <v>44.614699999999999</v>
      </c>
      <c r="G5" s="49">
        <v>50</v>
      </c>
      <c r="H5" s="49">
        <v>59.6511</v>
      </c>
    </row>
    <row r="6" spans="1:10">
      <c r="A6" t="s">
        <v>1111</v>
      </c>
      <c r="B6" s="49">
        <v>14.3109</v>
      </c>
      <c r="C6" s="49">
        <v>1.1114299999999999</v>
      </c>
      <c r="D6" s="49">
        <v>7.76633</v>
      </c>
      <c r="E6" s="49">
        <v>20</v>
      </c>
      <c r="F6" s="49">
        <v>12.65</v>
      </c>
      <c r="G6" s="49">
        <v>40</v>
      </c>
      <c r="H6" s="49">
        <v>17.921099999999999</v>
      </c>
    </row>
    <row r="7" spans="1:10">
      <c r="A7" t="s">
        <v>1112</v>
      </c>
      <c r="B7" s="49">
        <v>14.2066</v>
      </c>
      <c r="C7" s="49">
        <v>6.4947699999999999</v>
      </c>
      <c r="D7" s="49">
        <v>45.716500000000003</v>
      </c>
      <c r="E7" s="49">
        <v>15</v>
      </c>
      <c r="F7" s="49">
        <v>5.9983000000000004</v>
      </c>
      <c r="G7" s="49">
        <v>40</v>
      </c>
      <c r="H7" s="49">
        <v>32.116799999999998</v>
      </c>
    </row>
    <row r="8" spans="1:10">
      <c r="A8" t="s">
        <v>1113</v>
      </c>
      <c r="B8" s="49">
        <v>25.942499999999999</v>
      </c>
      <c r="C8" s="49">
        <v>2.1524800000000002</v>
      </c>
      <c r="D8" s="49">
        <v>8.2971299999999992</v>
      </c>
      <c r="E8" s="49">
        <v>20</v>
      </c>
      <c r="F8" s="49">
        <v>22.9832</v>
      </c>
      <c r="G8" s="49">
        <v>50</v>
      </c>
      <c r="H8" s="49">
        <v>30.749700000000001</v>
      </c>
    </row>
    <row r="9" spans="1:10">
      <c r="A9" t="s">
        <v>1114</v>
      </c>
      <c r="B9" s="49">
        <v>73.9619</v>
      </c>
      <c r="C9" s="49">
        <v>4.0207899999999999</v>
      </c>
      <c r="D9" s="49">
        <v>5.4363000000000001</v>
      </c>
      <c r="E9" s="49">
        <v>50</v>
      </c>
      <c r="F9" s="49">
        <v>60.4649</v>
      </c>
      <c r="G9" s="49">
        <v>100</v>
      </c>
      <c r="H9" s="49">
        <v>81.5428</v>
      </c>
    </row>
    <row r="10" spans="1:10">
      <c r="A10" t="s">
        <v>1115</v>
      </c>
      <c r="B10" s="49">
        <v>84.5077</v>
      </c>
      <c r="C10" s="49">
        <v>1.1618299999999999</v>
      </c>
      <c r="D10" s="49">
        <v>1.3748199999999999</v>
      </c>
      <c r="E10" s="49">
        <v>40</v>
      </c>
      <c r="F10" s="49">
        <v>82.015900000000002</v>
      </c>
      <c r="G10" s="49">
        <v>100</v>
      </c>
      <c r="H10" s="49">
        <v>86.886600000000001</v>
      </c>
    </row>
    <row r="11" spans="1:10">
      <c r="A11" t="s">
        <v>1116</v>
      </c>
      <c r="B11" s="49">
        <v>45.267200000000003</v>
      </c>
      <c r="C11" s="49">
        <v>3.5039199999999999</v>
      </c>
      <c r="D11" s="49">
        <v>7.7405099999999996</v>
      </c>
      <c r="E11" s="49">
        <v>10</v>
      </c>
      <c r="F11" s="49">
        <v>38.3384</v>
      </c>
      <c r="G11" s="49">
        <v>50</v>
      </c>
      <c r="H11" s="49">
        <v>51.484900000000003</v>
      </c>
    </row>
    <row r="12" spans="1:10">
      <c r="A12" t="s">
        <v>1117</v>
      </c>
      <c r="B12" s="49">
        <v>79.142799999999994</v>
      </c>
      <c r="C12" s="49">
        <v>2.11748</v>
      </c>
      <c r="D12" s="49">
        <v>2.6755200000000001</v>
      </c>
      <c r="E12" s="49">
        <v>50</v>
      </c>
      <c r="F12" s="49">
        <v>72.979200000000006</v>
      </c>
      <c r="G12" s="49">
        <v>100</v>
      </c>
      <c r="H12" s="49">
        <v>83.113200000000006</v>
      </c>
    </row>
    <row r="13" spans="1:10">
      <c r="A13" t="s">
        <v>1118</v>
      </c>
      <c r="B13" s="49">
        <v>22.5107</v>
      </c>
      <c r="C13" s="49">
        <v>3.4435699999999998</v>
      </c>
      <c r="D13" s="49">
        <v>15.297499999999999</v>
      </c>
      <c r="E13" s="49">
        <v>10</v>
      </c>
      <c r="F13" s="49">
        <v>16.480799999999999</v>
      </c>
      <c r="G13" s="49">
        <v>25</v>
      </c>
      <c r="H13" s="49">
        <v>36.722499999999997</v>
      </c>
      <c r="J13" s="49"/>
    </row>
    <row r="14" spans="1:10">
      <c r="A14" t="s">
        <v>1119</v>
      </c>
      <c r="B14" s="49">
        <v>34.435699999999997</v>
      </c>
      <c r="C14" s="49">
        <v>11.767899999999999</v>
      </c>
      <c r="D14" s="49">
        <v>34.173499999999997</v>
      </c>
      <c r="E14" s="49">
        <v>10</v>
      </c>
      <c r="F14" s="49">
        <v>1.68086</v>
      </c>
      <c r="G14" s="49">
        <v>50</v>
      </c>
      <c r="H14" s="49">
        <v>49.573599999999999</v>
      </c>
    </row>
    <row r="15" spans="1:10">
      <c r="A15" t="s">
        <v>1120</v>
      </c>
      <c r="B15" s="49">
        <v>-0.119658</v>
      </c>
      <c r="C15" s="49">
        <v>0</v>
      </c>
      <c r="D15" s="49">
        <v>0</v>
      </c>
      <c r="E15" s="49">
        <v>0</v>
      </c>
      <c r="F15" s="49">
        <v>0</v>
      </c>
      <c r="G15" s="49">
        <v>0</v>
      </c>
      <c r="H15" s="49">
        <v>0</v>
      </c>
    </row>
    <row r="16" spans="1:10">
      <c r="A16" t="s">
        <v>1121</v>
      </c>
      <c r="B16" s="49">
        <v>-0.198573</v>
      </c>
      <c r="C16" s="49">
        <v>0</v>
      </c>
      <c r="D16" s="49">
        <v>0</v>
      </c>
      <c r="E16" s="49">
        <v>0</v>
      </c>
      <c r="F16" s="49">
        <v>0</v>
      </c>
      <c r="G16" s="49">
        <v>0</v>
      </c>
      <c r="H16" s="49">
        <v>0</v>
      </c>
    </row>
    <row r="17" spans="1:8">
      <c r="A17" t="s">
        <v>1122</v>
      </c>
      <c r="B17" s="49">
        <v>13.194699999999999</v>
      </c>
      <c r="C17" s="49">
        <v>0</v>
      </c>
      <c r="D17" s="49">
        <v>0</v>
      </c>
      <c r="E17" s="49">
        <v>0</v>
      </c>
      <c r="F17" s="49">
        <v>0</v>
      </c>
      <c r="G17" s="49">
        <v>0</v>
      </c>
      <c r="H17" s="49">
        <v>0</v>
      </c>
    </row>
    <row r="18" spans="1:8">
      <c r="A18" t="s">
        <v>1123</v>
      </c>
      <c r="B18" s="49">
        <v>0.61826400000000004</v>
      </c>
      <c r="C18" s="49">
        <v>0</v>
      </c>
      <c r="D18" s="49">
        <v>0</v>
      </c>
      <c r="E18" s="49">
        <v>0</v>
      </c>
      <c r="F18" s="49">
        <v>0</v>
      </c>
      <c r="G18" s="49">
        <v>0</v>
      </c>
      <c r="H18" s="49">
        <v>0</v>
      </c>
    </row>
    <row r="19" spans="1:8">
      <c r="A19" t="s">
        <v>1124</v>
      </c>
      <c r="B19" s="49">
        <v>0.305537</v>
      </c>
      <c r="C19" s="49">
        <v>0</v>
      </c>
      <c r="D19" s="49">
        <v>0</v>
      </c>
      <c r="E19" s="49">
        <v>0</v>
      </c>
      <c r="F19" s="49">
        <v>0</v>
      </c>
      <c r="G19" s="49">
        <v>0</v>
      </c>
      <c r="H19" s="49">
        <v>0</v>
      </c>
    </row>
    <row r="20" spans="1:8">
      <c r="A20" t="s">
        <v>1125</v>
      </c>
      <c r="B20" s="49">
        <v>5.3921799999999999E-2</v>
      </c>
      <c r="C20" s="49">
        <v>0.108052</v>
      </c>
      <c r="D20" s="49">
        <v>2.00386</v>
      </c>
      <c r="E20" s="49">
        <v>0</v>
      </c>
      <c r="F20" s="49">
        <v>2.5921300000000002E-3</v>
      </c>
      <c r="G20" s="49">
        <v>0</v>
      </c>
      <c r="H20" s="49">
        <v>0.60853000000000002</v>
      </c>
    </row>
    <row r="21" spans="1:8">
      <c r="A21" t="s">
        <v>1126</v>
      </c>
      <c r="B21" s="49">
        <v>0.785408</v>
      </c>
      <c r="C21" s="49">
        <v>0.79963399999999996</v>
      </c>
      <c r="D21" s="49">
        <v>1.0181100000000001</v>
      </c>
      <c r="E21" s="49">
        <v>0</v>
      </c>
      <c r="F21" s="49">
        <v>5.3185700000000002E-2</v>
      </c>
      <c r="G21" s="49">
        <v>0</v>
      </c>
      <c r="H21" s="49">
        <v>3.7864</v>
      </c>
    </row>
    <row r="22" spans="1:8">
      <c r="A22" t="s">
        <v>1127</v>
      </c>
      <c r="B22" s="49">
        <v>86.631600000000006</v>
      </c>
      <c r="C22" s="49">
        <v>27.247599999999998</v>
      </c>
      <c r="D22" s="49">
        <v>0.314523</v>
      </c>
      <c r="E22" s="49">
        <v>0</v>
      </c>
      <c r="F22" s="49">
        <v>49.849299999999999</v>
      </c>
      <c r="G22" s="49">
        <v>0</v>
      </c>
      <c r="H22" s="49">
        <v>179.512</v>
      </c>
    </row>
    <row r="23" spans="1:8">
      <c r="A23" t="s">
        <v>1128</v>
      </c>
      <c r="B23" s="49">
        <v>67.868499999999997</v>
      </c>
      <c r="C23" s="49">
        <v>15.0396</v>
      </c>
      <c r="D23" s="49">
        <v>0.22159799999999999</v>
      </c>
      <c r="E23" s="49">
        <v>0</v>
      </c>
      <c r="F23" s="49">
        <v>41.4649</v>
      </c>
      <c r="G23" s="49">
        <v>0</v>
      </c>
      <c r="H23" s="49">
        <v>98.974800000000002</v>
      </c>
    </row>
    <row r="24" spans="1:8">
      <c r="A24" t="s">
        <v>1129</v>
      </c>
      <c r="B24" s="49">
        <v>5.7979500000000003E-2</v>
      </c>
      <c r="C24" s="49">
        <v>9.1580700000000001E-2</v>
      </c>
      <c r="D24" s="49">
        <v>1.5795399999999999</v>
      </c>
      <c r="E24" s="49">
        <v>0</v>
      </c>
      <c r="F24" s="49">
        <v>4.6639899999999998E-3</v>
      </c>
      <c r="G24" s="49">
        <v>0</v>
      </c>
      <c r="H24" s="49">
        <v>0.476547</v>
      </c>
    </row>
    <row r="25" spans="1:8">
      <c r="A25" t="s">
        <v>1130</v>
      </c>
      <c r="B25" s="49">
        <v>0.90063899999999997</v>
      </c>
      <c r="C25" s="49">
        <v>0.53939400000000004</v>
      </c>
      <c r="D25" s="49">
        <v>0.59890200000000005</v>
      </c>
      <c r="E25" s="49">
        <v>0</v>
      </c>
      <c r="F25" s="49">
        <v>0.20402200000000001</v>
      </c>
      <c r="G25" s="49">
        <v>0</v>
      </c>
      <c r="H25" s="49">
        <v>2.5735899999999998</v>
      </c>
    </row>
    <row r="26" spans="1:8">
      <c r="A26" t="s">
        <v>1131</v>
      </c>
      <c r="B26" s="49">
        <v>7.2989300000000003E-3</v>
      </c>
      <c r="C26" s="49">
        <v>9.2114199999999997E-3</v>
      </c>
      <c r="D26" s="49">
        <v>1.2620199999999999</v>
      </c>
      <c r="E26" s="49">
        <v>0</v>
      </c>
      <c r="F26" s="173">
        <v>5.03408E-4</v>
      </c>
      <c r="G26" s="49">
        <v>0</v>
      </c>
      <c r="H26" s="49">
        <v>4.9836900000000003E-2</v>
      </c>
    </row>
    <row r="27" spans="1:8">
      <c r="A27" t="s">
        <v>1132</v>
      </c>
      <c r="B27" s="173">
        <v>9.1968100000000005E-6</v>
      </c>
      <c r="C27" s="49">
        <v>3.6974500000000001E-3</v>
      </c>
      <c r="D27" s="49">
        <v>402.036</v>
      </c>
      <c r="E27" s="49">
        <v>0</v>
      </c>
      <c r="F27" s="49">
        <v>-2.59168E-2</v>
      </c>
      <c r="G27" s="49">
        <v>0</v>
      </c>
      <c r="H27" s="49">
        <v>2.4117599999999999E-2</v>
      </c>
    </row>
    <row r="28" spans="1:8">
      <c r="A28" t="s">
        <v>1133</v>
      </c>
      <c r="B28" s="49">
        <v>5.6501999999999997E-2</v>
      </c>
      <c r="C28" s="49">
        <v>3.4097099999999998E-2</v>
      </c>
      <c r="D28" s="49">
        <v>0.603468</v>
      </c>
      <c r="E28" s="49">
        <v>0</v>
      </c>
      <c r="F28" s="49">
        <v>7.57137E-3</v>
      </c>
      <c r="G28" s="49">
        <v>0</v>
      </c>
      <c r="H28" s="49">
        <v>0.153865</v>
      </c>
    </row>
    <row r="29" spans="1:8">
      <c r="A29" t="s">
        <v>1134</v>
      </c>
      <c r="B29" s="49">
        <v>90.615300000000005</v>
      </c>
      <c r="C29" s="49">
        <v>12.3964</v>
      </c>
      <c r="D29" s="49">
        <v>0.13680300000000001</v>
      </c>
      <c r="E29" s="49">
        <v>0</v>
      </c>
      <c r="F29" s="49">
        <v>65.226200000000006</v>
      </c>
      <c r="G29" s="49">
        <v>0</v>
      </c>
      <c r="H29" s="49">
        <v>130.774</v>
      </c>
    </row>
    <row r="30" spans="1:8">
      <c r="A30" t="s">
        <v>1135</v>
      </c>
      <c r="B30" s="49">
        <v>64.552700000000002</v>
      </c>
      <c r="C30" s="49">
        <v>10.3279</v>
      </c>
      <c r="D30" s="49">
        <v>0.159992</v>
      </c>
      <c r="E30" s="49">
        <v>0</v>
      </c>
      <c r="F30" s="49">
        <v>46.857100000000003</v>
      </c>
      <c r="G30" s="49">
        <v>0</v>
      </c>
      <c r="H30" s="49">
        <v>84.914900000000003</v>
      </c>
    </row>
    <row r="31" spans="1:8">
      <c r="A31" t="s">
        <v>1136</v>
      </c>
      <c r="B31" s="49">
        <v>415.69</v>
      </c>
      <c r="C31" s="49">
        <v>48.976599999999998</v>
      </c>
      <c r="D31" s="49">
        <v>0.11781999999999999</v>
      </c>
      <c r="E31" s="49">
        <v>0</v>
      </c>
      <c r="F31" s="49">
        <v>327.61399999999998</v>
      </c>
      <c r="G31" s="49">
        <v>0</v>
      </c>
      <c r="H31" s="49">
        <v>531.67399999999998</v>
      </c>
    </row>
    <row r="32" spans="1:8">
      <c r="A32" t="s">
        <v>1137</v>
      </c>
      <c r="B32" s="49">
        <v>0.142066</v>
      </c>
      <c r="C32" s="49">
        <v>6.4947699999999997E-2</v>
      </c>
      <c r="D32" s="49">
        <v>0.45716499999999999</v>
      </c>
      <c r="E32" s="49">
        <v>0.15</v>
      </c>
      <c r="F32" s="49">
        <v>5.9983000000000002E-2</v>
      </c>
      <c r="G32" s="49">
        <v>0.4</v>
      </c>
      <c r="H32" s="49">
        <v>0.32116800000000001</v>
      </c>
    </row>
    <row r="33" spans="1:8">
      <c r="A33" t="s">
        <v>1138</v>
      </c>
      <c r="B33" s="49">
        <v>0.352823</v>
      </c>
      <c r="C33" s="49">
        <v>2.19191E-2</v>
      </c>
      <c r="D33" s="49">
        <v>6.2124699999999998E-2</v>
      </c>
      <c r="E33" s="49">
        <v>0</v>
      </c>
      <c r="F33" s="49">
        <v>0.28680299999999997</v>
      </c>
      <c r="G33" s="49">
        <v>0</v>
      </c>
      <c r="H33" s="49">
        <v>0.39981100000000003</v>
      </c>
    </row>
    <row r="34" spans="1:8">
      <c r="A34" t="s">
        <v>1139</v>
      </c>
      <c r="B34" s="49">
        <v>0.225107</v>
      </c>
      <c r="C34" s="49">
        <v>3.44357E-2</v>
      </c>
      <c r="D34" s="49">
        <v>0.152975</v>
      </c>
      <c r="E34" s="49">
        <v>0.1</v>
      </c>
      <c r="F34" s="49">
        <v>0.16480800000000001</v>
      </c>
      <c r="G34" s="49">
        <v>0.25</v>
      </c>
      <c r="H34" s="49">
        <v>0.36722500000000002</v>
      </c>
    </row>
    <row r="35" spans="1:8">
      <c r="A35" t="s">
        <v>1140</v>
      </c>
      <c r="B35" s="49">
        <v>8.9716799999999999E-2</v>
      </c>
      <c r="C35" s="49">
        <v>2.7883600000000001E-2</v>
      </c>
      <c r="D35" s="49">
        <v>0.31079600000000002</v>
      </c>
      <c r="E35" s="49">
        <v>0</v>
      </c>
      <c r="F35" s="49">
        <v>3.3536099999999999E-2</v>
      </c>
      <c r="G35" s="49">
        <v>0</v>
      </c>
      <c r="H35" s="49">
        <v>0.18407399999999999</v>
      </c>
    </row>
    <row r="36" spans="1:8">
      <c r="A36" t="s">
        <v>1141</v>
      </c>
      <c r="B36" s="49">
        <v>0.19886499999999999</v>
      </c>
      <c r="C36" s="49">
        <v>0.10759000000000001</v>
      </c>
      <c r="D36" s="49">
        <v>0.54101699999999997</v>
      </c>
      <c r="E36" s="49">
        <v>0</v>
      </c>
      <c r="F36" s="49">
        <v>2.0224200000000001E-2</v>
      </c>
      <c r="G36" s="49">
        <v>0</v>
      </c>
      <c r="H36" s="49">
        <v>0.62887499999999996</v>
      </c>
    </row>
    <row r="37" spans="1:8">
      <c r="A37" t="s">
        <v>1142</v>
      </c>
      <c r="B37" s="49">
        <v>0.34435700000000002</v>
      </c>
      <c r="C37" s="49">
        <v>0.11767900000000001</v>
      </c>
      <c r="D37" s="49">
        <v>0.34173500000000001</v>
      </c>
      <c r="E37" s="49">
        <v>0.1</v>
      </c>
      <c r="F37" s="49">
        <v>1.68086E-2</v>
      </c>
      <c r="G37" s="49">
        <v>0.5</v>
      </c>
      <c r="H37" s="49">
        <v>0.49573600000000001</v>
      </c>
    </row>
    <row r="38" spans="1:8">
      <c r="A38" t="s">
        <v>1143</v>
      </c>
      <c r="B38" s="49">
        <v>-1.1615800000000001</v>
      </c>
      <c r="C38" s="49">
        <v>51.361800000000002</v>
      </c>
      <c r="D38" s="49">
        <v>-44.217300000000002</v>
      </c>
      <c r="E38" s="49">
        <v>0</v>
      </c>
      <c r="F38" s="49">
        <v>-114.98699999999999</v>
      </c>
      <c r="G38" s="49">
        <v>0</v>
      </c>
      <c r="H38" s="49">
        <v>157.11799999999999</v>
      </c>
    </row>
    <row r="39" spans="1:8">
      <c r="A39" t="s">
        <v>1144</v>
      </c>
      <c r="B39" s="49">
        <v>0.34082800000000002</v>
      </c>
      <c r="C39" s="49">
        <v>7.7970499999999996</v>
      </c>
      <c r="D39" s="49">
        <v>22.876799999999999</v>
      </c>
      <c r="E39" s="49">
        <v>0</v>
      </c>
      <c r="F39" s="49">
        <v>-14.4396</v>
      </c>
      <c r="G39" s="49">
        <v>0</v>
      </c>
      <c r="H39" s="49">
        <v>30.601500000000001</v>
      </c>
    </row>
    <row r="40" spans="1:8">
      <c r="A40" t="s">
        <v>1145</v>
      </c>
      <c r="B40" s="49">
        <v>0.69095600000000001</v>
      </c>
      <c r="C40" s="49">
        <v>2.00617</v>
      </c>
      <c r="D40" s="49">
        <v>2.90347</v>
      </c>
      <c r="E40" s="49">
        <v>0</v>
      </c>
      <c r="F40" s="49">
        <v>-3.1086200000000002</v>
      </c>
      <c r="G40" s="49">
        <v>0</v>
      </c>
      <c r="H40" s="49">
        <v>5.56203</v>
      </c>
    </row>
    <row r="41" spans="1:8">
      <c r="A41" t="s">
        <v>1146</v>
      </c>
      <c r="B41" s="49">
        <v>4.9817999999999998E-3</v>
      </c>
      <c r="C41" s="49">
        <v>0.17288700000000001</v>
      </c>
      <c r="D41" s="49">
        <v>34.703699999999998</v>
      </c>
      <c r="E41" s="49">
        <v>0</v>
      </c>
      <c r="F41" s="49">
        <v>-0.41497699999999998</v>
      </c>
      <c r="G41" s="49">
        <v>0</v>
      </c>
      <c r="H41" s="49">
        <v>0.50043099999999996</v>
      </c>
    </row>
    <row r="42" spans="1:8">
      <c r="A42" t="s">
        <v>1147</v>
      </c>
      <c r="B42" s="49">
        <v>2.0120800000000001E-2</v>
      </c>
      <c r="C42" s="49">
        <v>5.5590899999999999E-2</v>
      </c>
      <c r="D42" s="49">
        <v>2.7628599999999999</v>
      </c>
      <c r="E42" s="49">
        <v>0</v>
      </c>
      <c r="F42" s="49">
        <v>-0.13101199999999999</v>
      </c>
      <c r="G42" s="49">
        <v>0</v>
      </c>
      <c r="H42" s="49">
        <v>0.23124800000000001</v>
      </c>
    </row>
    <row r="43" spans="1:8">
      <c r="A43" t="s">
        <v>1148</v>
      </c>
      <c r="B43" s="49">
        <v>1.14196E-2</v>
      </c>
      <c r="C43" s="49">
        <v>2.6914199999999999E-2</v>
      </c>
      <c r="D43" s="49">
        <v>2.35684</v>
      </c>
      <c r="E43" s="49">
        <v>0</v>
      </c>
      <c r="F43" s="49">
        <v>-3.9830600000000001E-2</v>
      </c>
      <c r="G43" s="49">
        <v>0</v>
      </c>
      <c r="H43" s="49">
        <v>9.2527700000000004E-2</v>
      </c>
    </row>
    <row r="44" spans="1:8">
      <c r="A44" t="s">
        <v>1149</v>
      </c>
      <c r="B44" s="49">
        <v>-33.392699999999998</v>
      </c>
      <c r="C44" s="49">
        <v>62.3125</v>
      </c>
      <c r="D44" s="49">
        <v>-1.86605</v>
      </c>
      <c r="E44" s="49">
        <v>0</v>
      </c>
      <c r="F44" s="49">
        <v>-170.50800000000001</v>
      </c>
      <c r="G44" s="49">
        <v>0</v>
      </c>
      <c r="H44" s="49">
        <v>70.4495</v>
      </c>
    </row>
    <row r="45" spans="1:8">
      <c r="A45" t="s">
        <v>1150</v>
      </c>
      <c r="B45" s="49">
        <v>35.697200000000002</v>
      </c>
      <c r="C45" s="49">
        <v>4.8441400000000003</v>
      </c>
      <c r="D45" s="49">
        <v>0.13570099999999999</v>
      </c>
      <c r="E45" s="49">
        <v>0</v>
      </c>
      <c r="F45" s="49">
        <v>23.8216</v>
      </c>
      <c r="G45" s="49">
        <v>0</v>
      </c>
      <c r="H45" s="49">
        <v>52.515999999999998</v>
      </c>
    </row>
    <row r="46" spans="1:8">
      <c r="A46" t="s">
        <v>1151</v>
      </c>
      <c r="B46" s="49">
        <v>26.531300000000002</v>
      </c>
      <c r="C46" s="49">
        <v>3.1135299999999999</v>
      </c>
      <c r="D46" s="49">
        <v>0.117353</v>
      </c>
      <c r="E46" s="49">
        <v>0</v>
      </c>
      <c r="F46" s="49">
        <v>23.911799999999999</v>
      </c>
      <c r="G46" s="49">
        <v>0</v>
      </c>
      <c r="H46" s="49">
        <v>37.611699999999999</v>
      </c>
    </row>
    <row r="47" spans="1:8">
      <c r="A47" t="s">
        <v>1152</v>
      </c>
      <c r="B47" s="49">
        <v>3.06209</v>
      </c>
      <c r="C47" s="49">
        <v>1.1668700000000001</v>
      </c>
      <c r="D47" s="49">
        <v>0.38106899999999999</v>
      </c>
      <c r="E47" s="49">
        <v>0</v>
      </c>
      <c r="F47" s="49">
        <v>1.2834700000000001</v>
      </c>
      <c r="G47" s="49">
        <v>0</v>
      </c>
      <c r="H47" s="49">
        <v>9.4913900000000009</v>
      </c>
    </row>
    <row r="48" spans="1:8">
      <c r="A48" t="s">
        <v>1153</v>
      </c>
      <c r="B48" s="49">
        <v>1.2610600000000001</v>
      </c>
      <c r="C48" s="49">
        <v>0.121433</v>
      </c>
      <c r="D48" s="49">
        <v>9.6295000000000006E-2</v>
      </c>
      <c r="E48" s="49">
        <v>0</v>
      </c>
      <c r="F48" s="49">
        <v>0.98407599999999995</v>
      </c>
      <c r="G48" s="49">
        <v>0</v>
      </c>
      <c r="H48" s="49">
        <v>1.57152</v>
      </c>
    </row>
    <row r="50" spans="1:4">
      <c r="A50" t="str">
        <f>lang!B7</f>
        <v>긍정감정</v>
      </c>
      <c r="B50" s="134">
        <f>SUM(B9:B12)</f>
        <v>282.87959999999998</v>
      </c>
      <c r="C50" s="134"/>
      <c r="D50" s="134">
        <f t="shared" ref="D50" si="0">SUM(D9:D12)</f>
        <v>17.227149999999998</v>
      </c>
    </row>
    <row r="51" spans="1:4">
      <c r="A51" t="str">
        <f>lang!B8</f>
        <v>부정감정</v>
      </c>
      <c r="B51" s="134">
        <f>SUM(B5:B8)</f>
        <v>102.17809999999999</v>
      </c>
      <c r="C51" s="134"/>
      <c r="D51" s="134">
        <f t="shared" ref="D51" si="1">SUM(D5:D8)</f>
        <v>65.24906</v>
      </c>
    </row>
    <row r="52" spans="1:4">
      <c r="A52" t="str">
        <f>lang!B9</f>
        <v>생리감정</v>
      </c>
      <c r="B52" s="134">
        <f>SUM(B13:B14)</f>
        <v>56.946399999999997</v>
      </c>
      <c r="C52" s="134"/>
      <c r="D52" s="134">
        <f t="shared" ref="D52" si="2">SUM(D13:D14)</f>
        <v>49.470999999999997</v>
      </c>
    </row>
    <row r="53" spans="1:4">
      <c r="B53" s="50">
        <f>SUM(B50:B52)</f>
        <v>442.00409999999994</v>
      </c>
      <c r="D53" s="50">
        <f>SUM(D50:D52)</f>
        <v>131.94720999999998</v>
      </c>
    </row>
    <row r="54" spans="1:4">
      <c r="A54" t="str">
        <f>lang!B7</f>
        <v>긍정감정</v>
      </c>
      <c r="B54" s="135">
        <f>IF(B$53&lt;&gt;0,B50/B$53,0)</f>
        <v>0.63999315843450322</v>
      </c>
      <c r="C54" s="135"/>
      <c r="D54" s="135">
        <f>IF(D$53&lt;&gt;0,D50/D$53,0)</f>
        <v>0.13056092660087318</v>
      </c>
    </row>
    <row r="55" spans="1:4">
      <c r="A55" t="str">
        <f>lang!B8</f>
        <v>부정감정</v>
      </c>
      <c r="B55" s="135">
        <f>IF(B$53&lt;&gt;0,B51/B$53,0)</f>
        <v>0.23117002760834118</v>
      </c>
      <c r="C55" s="135"/>
      <c r="D55" s="135">
        <f>IF(D$53&lt;&gt;0,D51/D$53,0)</f>
        <v>0.49450882667394036</v>
      </c>
    </row>
    <row r="56" spans="1:4">
      <c r="A56" t="str">
        <f>lang!B9</f>
        <v>생리감정</v>
      </c>
      <c r="B56" s="135">
        <f>IF(B$53&lt;&gt;0,B52/B$53,0)</f>
        <v>0.1288368139571556</v>
      </c>
      <c r="C56" s="135"/>
      <c r="D56" s="135">
        <f>IF(D$53&lt;&gt;0,D52/D$53,0)</f>
        <v>0.37493024672518654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20.892700000000001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3.4459500000000001E-3</v>
      </c>
      <c r="B31" s="49">
        <v>3.4459500000000001E-3</v>
      </c>
    </row>
    <row r="32" spans="1:2">
      <c r="A32" s="49">
        <v>0</v>
      </c>
      <c r="B32" s="49">
        <v>0</v>
      </c>
    </row>
    <row r="33" spans="1:2">
      <c r="A33" s="49">
        <v>8.0405400000000005E-3</v>
      </c>
      <c r="B33" s="49">
        <v>8.0405400000000005E-3</v>
      </c>
    </row>
    <row r="34" spans="1:2">
      <c r="A34" s="49">
        <v>0</v>
      </c>
      <c r="B34" s="49">
        <v>0</v>
      </c>
    </row>
    <row r="35" spans="1:2">
      <c r="A35" s="49">
        <v>0</v>
      </c>
      <c r="B35" s="49">
        <v>0</v>
      </c>
    </row>
    <row r="36" spans="1:2">
      <c r="A36" s="49">
        <v>2.4797300000000001E-2</v>
      </c>
      <c r="B36" s="49">
        <v>2.4797300000000001E-2</v>
      </c>
    </row>
    <row r="37" spans="1:2">
      <c r="A37" s="49">
        <v>0</v>
      </c>
      <c r="B37" s="49">
        <v>0</v>
      </c>
    </row>
    <row r="38" spans="1:2">
      <c r="A38" s="49">
        <v>0</v>
      </c>
      <c r="B38" s="49">
        <v>0</v>
      </c>
    </row>
    <row r="39" spans="1:2">
      <c r="A39" s="49">
        <v>2.8783799999999998E-2</v>
      </c>
      <c r="B39" s="49">
        <v>2.8783799999999998E-2</v>
      </c>
    </row>
    <row r="40" spans="1:2">
      <c r="A40" s="49">
        <v>0</v>
      </c>
      <c r="B40" s="49">
        <v>0</v>
      </c>
    </row>
    <row r="41" spans="1:2">
      <c r="A41" s="49">
        <v>2.35135E-2</v>
      </c>
      <c r="B41" s="49">
        <v>2.35135E-2</v>
      </c>
    </row>
    <row r="42" spans="1:2">
      <c r="A42" s="49">
        <v>0</v>
      </c>
      <c r="B42" s="49">
        <v>0</v>
      </c>
    </row>
    <row r="43" spans="1:2">
      <c r="A43" s="49">
        <v>0</v>
      </c>
      <c r="B43" s="49">
        <v>0</v>
      </c>
    </row>
    <row r="44" spans="1:2">
      <c r="A44" s="49">
        <v>4.0270300000000002E-2</v>
      </c>
      <c r="B44" s="49">
        <v>4.0270300000000002E-2</v>
      </c>
    </row>
    <row r="45" spans="1:2">
      <c r="A45" s="49">
        <v>0</v>
      </c>
      <c r="B45" s="49">
        <v>0</v>
      </c>
    </row>
    <row r="46" spans="1:2">
      <c r="A46" s="49">
        <v>2.6418899999999999E-2</v>
      </c>
      <c r="B46" s="49">
        <v>2.6418899999999999E-2</v>
      </c>
    </row>
    <row r="47" spans="1:2">
      <c r="A47" s="49">
        <v>0</v>
      </c>
      <c r="B47" s="49">
        <v>0</v>
      </c>
    </row>
    <row r="48" spans="1:2">
      <c r="A48" s="49">
        <v>0</v>
      </c>
      <c r="B48" s="49">
        <v>0</v>
      </c>
    </row>
    <row r="49" spans="1:2">
      <c r="A49" s="49">
        <v>8.8175699999999996E-2</v>
      </c>
      <c r="B49" s="49">
        <v>8.8175699999999996E-2</v>
      </c>
    </row>
    <row r="50" spans="1:2">
      <c r="A50" s="49">
        <v>0</v>
      </c>
      <c r="B50" s="49">
        <v>0</v>
      </c>
    </row>
    <row r="51" spans="1:2">
      <c r="A51" s="49">
        <v>3.8243199999999998E-2</v>
      </c>
      <c r="B51" s="49">
        <v>3.8243199999999998E-2</v>
      </c>
    </row>
    <row r="52" spans="1:2">
      <c r="A52" s="49">
        <v>0</v>
      </c>
      <c r="B52" s="49">
        <v>0</v>
      </c>
    </row>
    <row r="53" spans="1:2">
      <c r="A53" s="49">
        <v>0</v>
      </c>
      <c r="B53" s="49">
        <v>0</v>
      </c>
    </row>
    <row r="54" spans="1:2">
      <c r="A54" s="49">
        <v>3.3378400000000003E-2</v>
      </c>
      <c r="B54" s="49">
        <v>3.3378400000000003E-2</v>
      </c>
    </row>
    <row r="55" spans="1:2">
      <c r="A55" s="49">
        <v>0</v>
      </c>
      <c r="B55" s="49">
        <v>0</v>
      </c>
    </row>
    <row r="56" spans="1:2">
      <c r="A56" s="49">
        <v>0</v>
      </c>
      <c r="B56" s="49">
        <v>0</v>
      </c>
    </row>
    <row r="57" spans="1:2">
      <c r="A57" s="49">
        <v>5.8986499999999997E-2</v>
      </c>
      <c r="B57" s="49">
        <v>5.8986499999999997E-2</v>
      </c>
    </row>
    <row r="58" spans="1:2">
      <c r="A58" s="49">
        <v>0</v>
      </c>
      <c r="B58" s="49">
        <v>0</v>
      </c>
    </row>
    <row r="59" spans="1:2">
      <c r="A59" s="49">
        <v>6.9391900000000006E-2</v>
      </c>
      <c r="B59" s="49">
        <v>6.9391900000000006E-2</v>
      </c>
    </row>
    <row r="60" spans="1:2">
      <c r="A60" s="49">
        <v>0</v>
      </c>
      <c r="B60" s="49">
        <v>0</v>
      </c>
    </row>
    <row r="61" spans="1:2">
      <c r="A61" s="49">
        <v>0</v>
      </c>
      <c r="B61" s="49">
        <v>0</v>
      </c>
    </row>
    <row r="62" spans="1:2">
      <c r="A62" s="49">
        <v>6.7229700000000003E-2</v>
      </c>
      <c r="B62" s="49">
        <v>6.7229700000000003E-2</v>
      </c>
    </row>
    <row r="63" spans="1:2">
      <c r="A63" s="49">
        <v>0</v>
      </c>
      <c r="B63" s="49">
        <v>0</v>
      </c>
    </row>
    <row r="64" spans="1:2">
      <c r="A64" s="49">
        <v>9.7567600000000004E-2</v>
      </c>
      <c r="B64" s="49">
        <v>9.7567600000000004E-2</v>
      </c>
    </row>
    <row r="65" spans="1:2">
      <c r="A65" s="49">
        <v>0</v>
      </c>
      <c r="B65" s="49">
        <v>0</v>
      </c>
    </row>
    <row r="66" spans="1:2">
      <c r="A66" s="49">
        <v>0</v>
      </c>
      <c r="B66" s="49">
        <v>0</v>
      </c>
    </row>
    <row r="67" spans="1:2">
      <c r="A67" s="49">
        <v>0.248919</v>
      </c>
      <c r="B67" s="49">
        <v>0.248919</v>
      </c>
    </row>
    <row r="68" spans="1:2">
      <c r="A68" s="49">
        <v>0</v>
      </c>
      <c r="B68" s="49">
        <v>0</v>
      </c>
    </row>
    <row r="69" spans="1:2">
      <c r="A69" s="49">
        <v>0.35682399999999997</v>
      </c>
      <c r="B69" s="49">
        <v>0.35682399999999997</v>
      </c>
    </row>
    <row r="70" spans="1:2">
      <c r="A70" s="49">
        <v>0</v>
      </c>
      <c r="B70" s="49">
        <v>0</v>
      </c>
    </row>
    <row r="71" spans="1:2">
      <c r="A71" s="49">
        <v>0</v>
      </c>
      <c r="B71" s="49">
        <v>0</v>
      </c>
    </row>
    <row r="72" spans="1:2">
      <c r="A72" s="49">
        <v>0.453986</v>
      </c>
      <c r="B72" s="49">
        <v>0.453986</v>
      </c>
    </row>
    <row r="73" spans="1:2">
      <c r="A73" s="49">
        <v>0</v>
      </c>
      <c r="B73" s="49">
        <v>0</v>
      </c>
    </row>
    <row r="74" spans="1:2">
      <c r="A74" s="49">
        <v>0</v>
      </c>
      <c r="B74" s="49">
        <v>0</v>
      </c>
    </row>
    <row r="75" spans="1:2">
      <c r="A75" s="49">
        <v>0.59493200000000002</v>
      </c>
      <c r="B75" s="49">
        <v>0.59493200000000002</v>
      </c>
    </row>
    <row r="76" spans="1:2">
      <c r="A76" s="49">
        <v>0</v>
      </c>
      <c r="B76" s="49">
        <v>0</v>
      </c>
    </row>
    <row r="77" spans="1:2">
      <c r="A77" s="49">
        <v>0.615811</v>
      </c>
      <c r="B77" s="49">
        <v>0.615811</v>
      </c>
    </row>
    <row r="78" spans="1:2">
      <c r="A78" s="49">
        <v>0</v>
      </c>
      <c r="B78" s="49">
        <v>0</v>
      </c>
    </row>
    <row r="79" spans="1:2">
      <c r="A79" s="49">
        <v>0</v>
      </c>
      <c r="B79" s="49">
        <v>0</v>
      </c>
    </row>
    <row r="80" spans="1:2">
      <c r="A80" s="49">
        <v>0.88054100000000002</v>
      </c>
      <c r="B80" s="49">
        <v>0.88054100000000002</v>
      </c>
    </row>
    <row r="81" spans="1:2">
      <c r="A81" s="49">
        <v>0</v>
      </c>
      <c r="B81" s="49">
        <v>0</v>
      </c>
    </row>
    <row r="82" spans="1:2">
      <c r="A82" s="49">
        <v>1.2264200000000001</v>
      </c>
      <c r="B82" s="49">
        <v>1.2264200000000001</v>
      </c>
    </row>
    <row r="83" spans="1:2">
      <c r="A83" s="49">
        <v>0</v>
      </c>
      <c r="B83" s="49">
        <v>0</v>
      </c>
    </row>
    <row r="84" spans="1:2">
      <c r="A84" s="49">
        <v>0</v>
      </c>
      <c r="B84" s="49">
        <v>0</v>
      </c>
    </row>
    <row r="85" spans="1:2">
      <c r="A85" s="49">
        <v>1.9754100000000001</v>
      </c>
      <c r="B85" s="49">
        <v>1.9754100000000001</v>
      </c>
    </row>
    <row r="86" spans="1:2">
      <c r="A86" s="49">
        <v>0</v>
      </c>
      <c r="B86" s="49">
        <v>0</v>
      </c>
    </row>
    <row r="87" spans="1:2">
      <c r="A87" s="49">
        <v>0</v>
      </c>
      <c r="B87" s="49">
        <v>0</v>
      </c>
    </row>
    <row r="88" spans="1:2">
      <c r="A88" s="49">
        <v>2.6993200000000002</v>
      </c>
      <c r="B88" s="49">
        <v>2.6993200000000002</v>
      </c>
    </row>
    <row r="89" spans="1:2">
      <c r="A89" s="49">
        <v>0</v>
      </c>
      <c r="B89" s="49">
        <v>0</v>
      </c>
    </row>
    <row r="90" spans="1:2">
      <c r="A90" s="49">
        <v>3.0910799999999998</v>
      </c>
      <c r="B90" s="49">
        <v>3.0910799999999998</v>
      </c>
    </row>
    <row r="91" spans="1:2">
      <c r="A91" s="49">
        <v>0</v>
      </c>
      <c r="B91" s="49">
        <v>0</v>
      </c>
    </row>
    <row r="92" spans="1:2">
      <c r="A92" s="49">
        <v>0</v>
      </c>
      <c r="B92" s="49">
        <v>0</v>
      </c>
    </row>
    <row r="93" spans="1:2">
      <c r="A93" s="49">
        <v>3.3449300000000002</v>
      </c>
      <c r="B93" s="49">
        <v>3.3449300000000002</v>
      </c>
    </row>
    <row r="94" spans="1:2">
      <c r="A94" s="49">
        <v>0</v>
      </c>
      <c r="B94" s="49">
        <v>0</v>
      </c>
    </row>
    <row r="95" spans="1:2">
      <c r="A95" s="49">
        <v>3.5094599999999998</v>
      </c>
      <c r="B95" s="49">
        <v>3.5094599999999998</v>
      </c>
    </row>
    <row r="96" spans="1:2">
      <c r="A96" s="49">
        <v>0</v>
      </c>
      <c r="B96" s="49">
        <v>0</v>
      </c>
    </row>
    <row r="97" spans="1:2">
      <c r="A97" s="49">
        <v>0</v>
      </c>
      <c r="B97" s="49">
        <v>0</v>
      </c>
    </row>
    <row r="98" spans="1:2">
      <c r="A98" s="49">
        <v>3.25034</v>
      </c>
      <c r="B98" s="49">
        <v>3.25034</v>
      </c>
    </row>
    <row r="99" spans="1:2">
      <c r="A99" s="49">
        <v>0</v>
      </c>
      <c r="B99" s="49">
        <v>0</v>
      </c>
    </row>
    <row r="100" spans="1:2">
      <c r="A100" s="49">
        <v>3.43737</v>
      </c>
      <c r="B100" s="49">
        <v>3.43737</v>
      </c>
    </row>
    <row r="101" spans="1:2">
      <c r="A101" s="49">
        <v>0</v>
      </c>
      <c r="B101" s="49">
        <v>0</v>
      </c>
    </row>
    <row r="102" spans="1:2">
      <c r="A102" s="49">
        <v>0</v>
      </c>
      <c r="B102" s="49">
        <v>0</v>
      </c>
    </row>
    <row r="103" spans="1:2">
      <c r="A103" s="49">
        <v>3.4470900000000002</v>
      </c>
      <c r="B103" s="49">
        <v>3.4470900000000002</v>
      </c>
    </row>
    <row r="104" spans="1:2">
      <c r="A104" s="49">
        <v>0</v>
      </c>
      <c r="B104" s="49">
        <v>0</v>
      </c>
    </row>
    <row r="105" spans="1:2">
      <c r="A105" s="49">
        <v>0</v>
      </c>
      <c r="B105" s="49">
        <v>0</v>
      </c>
    </row>
    <row r="106" spans="1:2">
      <c r="A106" s="49">
        <v>3.4442599999999999</v>
      </c>
      <c r="B106" s="49">
        <v>3.4442599999999999</v>
      </c>
    </row>
    <row r="107" spans="1:2">
      <c r="A107" s="49">
        <v>0</v>
      </c>
      <c r="B107" s="49">
        <v>0</v>
      </c>
    </row>
    <row r="108" spans="1:2">
      <c r="A108" s="49">
        <v>3.7221600000000001</v>
      </c>
      <c r="B108" s="49">
        <v>3.7221600000000001</v>
      </c>
    </row>
    <row r="109" spans="1:2">
      <c r="A109" s="49">
        <v>0</v>
      </c>
      <c r="B109" s="49">
        <v>0</v>
      </c>
    </row>
    <row r="110" spans="1:2">
      <c r="A110" s="49">
        <v>0</v>
      </c>
      <c r="B110" s="49">
        <v>0</v>
      </c>
    </row>
    <row r="111" spans="1:2">
      <c r="A111" s="49">
        <v>4.2430399999999997</v>
      </c>
      <c r="B111" s="49">
        <v>4.2430399999999997</v>
      </c>
    </row>
    <row r="112" spans="1:2">
      <c r="A112" s="49">
        <v>0</v>
      </c>
      <c r="B112" s="49">
        <v>0</v>
      </c>
    </row>
    <row r="113" spans="1:2">
      <c r="A113" s="49">
        <v>5.0648600000000004</v>
      </c>
      <c r="B113" s="49">
        <v>5.0648600000000004</v>
      </c>
    </row>
    <row r="114" spans="1:2">
      <c r="A114" s="49">
        <v>0</v>
      </c>
      <c r="B114" s="49">
        <v>0</v>
      </c>
    </row>
    <row r="115" spans="1:2">
      <c r="A115" s="49">
        <v>0</v>
      </c>
      <c r="B115" s="49">
        <v>0</v>
      </c>
    </row>
    <row r="116" spans="1:2">
      <c r="A116" s="49">
        <v>5.9220899999999999</v>
      </c>
      <c r="B116" s="49">
        <v>5.9220899999999999</v>
      </c>
    </row>
    <row r="117" spans="1:2">
      <c r="A117" s="49">
        <v>0</v>
      </c>
      <c r="B117" s="49">
        <v>0</v>
      </c>
    </row>
    <row r="118" spans="1:2">
      <c r="A118" s="49">
        <v>6.3232400000000002</v>
      </c>
      <c r="B118" s="49">
        <v>6.3232400000000002</v>
      </c>
    </row>
    <row r="119" spans="1:2">
      <c r="A119" s="49">
        <v>0</v>
      </c>
      <c r="B119" s="49">
        <v>0</v>
      </c>
    </row>
    <row r="120" spans="1:2">
      <c r="A120" s="49">
        <v>0</v>
      </c>
      <c r="B120" s="49">
        <v>0</v>
      </c>
    </row>
    <row r="121" spans="1:2">
      <c r="A121" s="49">
        <v>7.7824999999999998</v>
      </c>
      <c r="B121" s="49">
        <v>7.7824999999999998</v>
      </c>
    </row>
    <row r="122" spans="1:2">
      <c r="A122" s="49">
        <v>0</v>
      </c>
      <c r="B122" s="49">
        <v>0</v>
      </c>
    </row>
    <row r="123" spans="1:2">
      <c r="A123" s="49">
        <v>0</v>
      </c>
      <c r="B123" s="49">
        <v>0</v>
      </c>
    </row>
    <row r="124" spans="1:2">
      <c r="A124" s="49">
        <v>9.1611499999999992</v>
      </c>
      <c r="B124" s="49">
        <v>9.1611499999999992</v>
      </c>
    </row>
    <row r="125" spans="1:2">
      <c r="A125" s="49">
        <v>0</v>
      </c>
      <c r="B125" s="49">
        <v>0</v>
      </c>
    </row>
    <row r="126" spans="1:2">
      <c r="A126" s="49">
        <v>10.3491</v>
      </c>
      <c r="B126" s="49">
        <v>10.3491</v>
      </c>
    </row>
    <row r="127" spans="1:2">
      <c r="A127" s="49">
        <v>0</v>
      </c>
      <c r="B127" s="49">
        <v>0</v>
      </c>
    </row>
    <row r="128" spans="1:2">
      <c r="A128" s="49">
        <v>0</v>
      </c>
      <c r="B128" s="49">
        <v>0</v>
      </c>
    </row>
    <row r="129" spans="1:2">
      <c r="A129" s="49">
        <v>12.586499999999999</v>
      </c>
      <c r="B129" s="49">
        <v>12.586499999999999</v>
      </c>
    </row>
    <row r="130" spans="1:2">
      <c r="A130" s="49">
        <v>0</v>
      </c>
      <c r="B130" s="49">
        <v>0</v>
      </c>
    </row>
    <row r="131" spans="1:2">
      <c r="A131" s="49">
        <v>13.558</v>
      </c>
      <c r="B131" s="49">
        <v>13.558</v>
      </c>
    </row>
    <row r="132" spans="1:2">
      <c r="A132" s="49">
        <v>0</v>
      </c>
      <c r="B132" s="49">
        <v>0</v>
      </c>
    </row>
    <row r="133" spans="1:2">
      <c r="A133" s="49">
        <v>0</v>
      </c>
      <c r="B133" s="49">
        <v>0</v>
      </c>
    </row>
    <row r="134" spans="1:2">
      <c r="A134" s="49">
        <v>15.444800000000001</v>
      </c>
      <c r="B134" s="49">
        <v>15.444800000000001</v>
      </c>
    </row>
    <row r="135" spans="1:2">
      <c r="A135" s="49">
        <v>0</v>
      </c>
      <c r="B135" s="49">
        <v>0</v>
      </c>
    </row>
    <row r="136" spans="1:2">
      <c r="A136" s="49">
        <v>18.1815</v>
      </c>
      <c r="B136" s="49">
        <v>18.1815</v>
      </c>
    </row>
    <row r="137" spans="1:2">
      <c r="A137" s="49">
        <v>0</v>
      </c>
      <c r="B137" s="49">
        <v>0</v>
      </c>
    </row>
    <row r="138" spans="1:2">
      <c r="A138" s="49">
        <v>0</v>
      </c>
      <c r="B138" s="49">
        <v>0</v>
      </c>
    </row>
    <row r="139" spans="1:2">
      <c r="A139" s="49">
        <v>18.4405</v>
      </c>
      <c r="B139" s="49">
        <v>18.4405</v>
      </c>
    </row>
    <row r="140" spans="1:2">
      <c r="A140" s="49">
        <v>0</v>
      </c>
      <c r="B140" s="49">
        <v>0</v>
      </c>
    </row>
    <row r="141" spans="1:2">
      <c r="A141" s="49">
        <v>0</v>
      </c>
      <c r="B141" s="49">
        <v>0</v>
      </c>
    </row>
    <row r="142" spans="1:2">
      <c r="A142" s="49">
        <v>19.301400000000001</v>
      </c>
      <c r="B142" s="49">
        <v>19.301400000000001</v>
      </c>
    </row>
    <row r="143" spans="1:2">
      <c r="A143" s="49">
        <v>0</v>
      </c>
      <c r="B143" s="49">
        <v>0</v>
      </c>
    </row>
    <row r="144" spans="1:2">
      <c r="A144" s="49">
        <v>20.236599999999999</v>
      </c>
      <c r="B144" s="49">
        <v>20.236599999999999</v>
      </c>
    </row>
    <row r="145" spans="1:2">
      <c r="A145" s="49">
        <v>0</v>
      </c>
      <c r="B145" s="49">
        <v>0</v>
      </c>
    </row>
    <row r="146" spans="1:2">
      <c r="A146" s="49">
        <v>0</v>
      </c>
      <c r="B146" s="49">
        <v>0</v>
      </c>
    </row>
    <row r="147" spans="1:2">
      <c r="A147" s="49">
        <v>20.892700000000001</v>
      </c>
      <c r="B147" s="49">
        <v>20.892700000000001</v>
      </c>
    </row>
    <row r="148" spans="1:2">
      <c r="A148" s="49">
        <v>0</v>
      </c>
      <c r="B148" s="49">
        <v>0</v>
      </c>
    </row>
    <row r="149" spans="1:2">
      <c r="A149" s="49">
        <v>18.581600000000002</v>
      </c>
      <c r="B149" s="49">
        <v>18.581600000000002</v>
      </c>
    </row>
    <row r="150" spans="1:2">
      <c r="A150" s="49">
        <v>0</v>
      </c>
      <c r="B150" s="49">
        <v>0</v>
      </c>
    </row>
    <row r="151" spans="1:2">
      <c r="A151" s="49">
        <v>0</v>
      </c>
      <c r="B151" s="49">
        <v>0</v>
      </c>
    </row>
    <row r="152" spans="1:2">
      <c r="A152" s="49">
        <v>16.645700000000001</v>
      </c>
      <c r="B152" s="49">
        <v>16.645700000000001</v>
      </c>
    </row>
    <row r="153" spans="1:2">
      <c r="A153" s="49">
        <v>0</v>
      </c>
      <c r="B153" s="49">
        <v>0</v>
      </c>
    </row>
    <row r="154" spans="1:2">
      <c r="A154" s="49">
        <v>14.9411</v>
      </c>
      <c r="B154" s="49">
        <v>14.9411</v>
      </c>
    </row>
    <row r="155" spans="1:2">
      <c r="A155" s="49">
        <v>0</v>
      </c>
      <c r="B155" s="49">
        <v>0</v>
      </c>
    </row>
    <row r="156" spans="1:2">
      <c r="A156" s="49">
        <v>0</v>
      </c>
      <c r="B156" s="49">
        <v>0</v>
      </c>
    </row>
    <row r="157" spans="1:2">
      <c r="A157" s="49">
        <v>13.739599999999999</v>
      </c>
      <c r="B157" s="49">
        <v>13.739599999999999</v>
      </c>
    </row>
    <row r="158" spans="1:2">
      <c r="A158" s="49">
        <v>0</v>
      </c>
      <c r="B158" s="49">
        <v>0</v>
      </c>
    </row>
    <row r="159" spans="1:2">
      <c r="A159" s="49">
        <v>0</v>
      </c>
      <c r="B159" s="49">
        <v>0</v>
      </c>
    </row>
    <row r="160" spans="1:2">
      <c r="A160" s="49">
        <v>12.443</v>
      </c>
      <c r="B160" s="49">
        <v>12.443</v>
      </c>
    </row>
    <row r="161" spans="1:2">
      <c r="A161" s="49">
        <v>0</v>
      </c>
      <c r="B161" s="49">
        <v>0</v>
      </c>
    </row>
    <row r="162" spans="1:2">
      <c r="A162" s="49">
        <v>11.1968</v>
      </c>
      <c r="B162" s="49">
        <v>11.1968</v>
      </c>
    </row>
    <row r="163" spans="1:2">
      <c r="A163" s="49">
        <v>0</v>
      </c>
      <c r="B163" s="49">
        <v>0</v>
      </c>
    </row>
    <row r="164" spans="1:2">
      <c r="A164" s="49">
        <v>0</v>
      </c>
      <c r="B164" s="49">
        <v>0</v>
      </c>
    </row>
    <row r="165" spans="1:2">
      <c r="A165" s="49">
        <v>10.7601</v>
      </c>
      <c r="B165" s="49">
        <v>10.7601</v>
      </c>
    </row>
    <row r="166" spans="1:2">
      <c r="A166" s="49">
        <v>0</v>
      </c>
      <c r="B166" s="49">
        <v>0</v>
      </c>
    </row>
    <row r="167" spans="1:2">
      <c r="A167" s="49">
        <v>9.2628400000000006</v>
      </c>
      <c r="B167" s="49">
        <v>9.2628400000000006</v>
      </c>
    </row>
    <row r="168" spans="1:2">
      <c r="A168" s="49">
        <v>0</v>
      </c>
      <c r="B168" s="49">
        <v>0</v>
      </c>
    </row>
    <row r="169" spans="1:2">
      <c r="A169" s="49">
        <v>0</v>
      </c>
      <c r="B169" s="49">
        <v>0</v>
      </c>
    </row>
    <row r="170" spans="1:2">
      <c r="A170" s="49">
        <v>8.5383099999999992</v>
      </c>
      <c r="B170" s="49">
        <v>8.5383099999999992</v>
      </c>
    </row>
    <row r="171" spans="1:2">
      <c r="A171" s="49">
        <v>0</v>
      </c>
      <c r="B171" s="49">
        <v>0</v>
      </c>
    </row>
    <row r="172" spans="1:2">
      <c r="A172" s="49">
        <v>0</v>
      </c>
      <c r="B172" s="49">
        <v>0</v>
      </c>
    </row>
    <row r="173" spans="1:2">
      <c r="A173" s="49">
        <v>7.3270299999999997</v>
      </c>
      <c r="B173" s="49">
        <v>7.3270299999999997</v>
      </c>
    </row>
    <row r="174" spans="1:2">
      <c r="A174" s="49">
        <v>0</v>
      </c>
      <c r="B174" s="49">
        <v>0</v>
      </c>
    </row>
    <row r="175" spans="1:2">
      <c r="A175" s="49">
        <v>6.1216200000000001</v>
      </c>
      <c r="B175" s="49">
        <v>6.1216200000000001</v>
      </c>
    </row>
    <row r="176" spans="1:2">
      <c r="A176" s="49">
        <v>0</v>
      </c>
      <c r="B176" s="49">
        <v>0</v>
      </c>
    </row>
    <row r="177" spans="1:2">
      <c r="A177" s="49">
        <v>0</v>
      </c>
      <c r="B177" s="49">
        <v>0</v>
      </c>
    </row>
    <row r="178" spans="1:2">
      <c r="A178" s="49">
        <v>5.4308800000000002</v>
      </c>
      <c r="B178" s="49">
        <v>5.4308800000000002</v>
      </c>
    </row>
    <row r="179" spans="1:2">
      <c r="A179" s="49">
        <v>0</v>
      </c>
      <c r="B179" s="49">
        <v>0</v>
      </c>
    </row>
    <row r="180" spans="1:2">
      <c r="A180" s="49">
        <v>4.41601</v>
      </c>
      <c r="B180" s="49">
        <v>4.41601</v>
      </c>
    </row>
    <row r="181" spans="1:2">
      <c r="A181" s="49">
        <v>0</v>
      </c>
      <c r="B181" s="49">
        <v>0</v>
      </c>
    </row>
    <row r="182" spans="1:2">
      <c r="A182" s="49">
        <v>0</v>
      </c>
      <c r="B182" s="49">
        <v>0</v>
      </c>
    </row>
    <row r="183" spans="1:2">
      <c r="A183" s="49">
        <v>3.45757</v>
      </c>
      <c r="B183" s="49">
        <v>3.45757</v>
      </c>
    </row>
    <row r="184" spans="1:2">
      <c r="A184" s="49">
        <v>0</v>
      </c>
      <c r="B184" s="49">
        <v>0</v>
      </c>
    </row>
    <row r="185" spans="1:2">
      <c r="A185" s="49">
        <v>2.9623599999999999</v>
      </c>
      <c r="B185" s="49">
        <v>2.9623599999999999</v>
      </c>
    </row>
    <row r="186" spans="1:2">
      <c r="A186" s="49">
        <v>0</v>
      </c>
      <c r="B186" s="49">
        <v>0</v>
      </c>
    </row>
    <row r="187" spans="1:2">
      <c r="A187" s="49">
        <v>0</v>
      </c>
      <c r="B187" s="49">
        <v>0</v>
      </c>
    </row>
    <row r="188" spans="1:2">
      <c r="A188" s="49">
        <v>2.2120899999999999</v>
      </c>
      <c r="B188" s="49">
        <v>2.2120899999999999</v>
      </c>
    </row>
    <row r="189" spans="1:2">
      <c r="A189" s="49">
        <v>0</v>
      </c>
      <c r="B189" s="49">
        <v>0</v>
      </c>
    </row>
    <row r="190" spans="1:2">
      <c r="A190" s="49">
        <v>0</v>
      </c>
      <c r="B190" s="49">
        <v>0</v>
      </c>
    </row>
    <row r="191" spans="1:2">
      <c r="A191" s="49">
        <v>1.9727699999999999</v>
      </c>
      <c r="B191" s="49">
        <v>1.9727699999999999</v>
      </c>
    </row>
    <row r="192" spans="1:2">
      <c r="A192" s="49">
        <v>0</v>
      </c>
      <c r="B192" s="49">
        <v>0</v>
      </c>
    </row>
    <row r="193" spans="1:2">
      <c r="A193" s="49">
        <v>1.88439</v>
      </c>
      <c r="B193" s="49">
        <v>1.88439</v>
      </c>
    </row>
    <row r="194" spans="1:2">
      <c r="A194" s="49">
        <v>0</v>
      </c>
      <c r="B194" s="49">
        <v>0</v>
      </c>
    </row>
    <row r="195" spans="1:2">
      <c r="A195" s="49">
        <v>0</v>
      </c>
      <c r="B195" s="49">
        <v>0</v>
      </c>
    </row>
    <row r="196" spans="1:2">
      <c r="A196" s="49">
        <v>1.6650700000000001</v>
      </c>
      <c r="B196" s="49">
        <v>1.6650700000000001</v>
      </c>
    </row>
    <row r="197" spans="1:2">
      <c r="A197" s="49">
        <v>0</v>
      </c>
      <c r="B197" s="49">
        <v>0</v>
      </c>
    </row>
    <row r="198" spans="1:2">
      <c r="A198" s="49">
        <v>1.16561</v>
      </c>
      <c r="B198" s="49">
        <v>1.16561</v>
      </c>
    </row>
    <row r="199" spans="1:2">
      <c r="A199" s="49">
        <v>0</v>
      </c>
      <c r="B199" s="49">
        <v>0</v>
      </c>
    </row>
    <row r="200" spans="1:2">
      <c r="A200" s="49">
        <v>0</v>
      </c>
      <c r="B200" s="49">
        <v>0</v>
      </c>
    </row>
    <row r="201" spans="1:2">
      <c r="A201" s="49">
        <v>0.85513499999999998</v>
      </c>
      <c r="B201" s="49">
        <v>0.85513499999999998</v>
      </c>
    </row>
    <row r="202" spans="1:2">
      <c r="A202" s="49">
        <v>0</v>
      </c>
      <c r="B202" s="49">
        <v>0</v>
      </c>
    </row>
    <row r="203" spans="1:2">
      <c r="A203" s="49">
        <v>0.63168899999999994</v>
      </c>
      <c r="B203" s="49">
        <v>0.63168899999999994</v>
      </c>
    </row>
    <row r="204" spans="1:2">
      <c r="A204" s="49">
        <v>0</v>
      </c>
      <c r="B204" s="49">
        <v>0</v>
      </c>
    </row>
    <row r="205" spans="1:2">
      <c r="A205" s="49">
        <v>0</v>
      </c>
      <c r="B205" s="49">
        <v>0</v>
      </c>
    </row>
    <row r="206" spans="1:2">
      <c r="A206" s="49">
        <v>0.52918900000000002</v>
      </c>
      <c r="B206" s="49">
        <v>0.52918900000000002</v>
      </c>
    </row>
    <row r="207" spans="1:2">
      <c r="A207" s="49">
        <v>0</v>
      </c>
      <c r="B207" s="49">
        <v>0</v>
      </c>
    </row>
    <row r="208" spans="1:2">
      <c r="A208" s="49">
        <v>0</v>
      </c>
      <c r="B208" s="49">
        <v>0</v>
      </c>
    </row>
    <row r="209" spans="1:2">
      <c r="A209" s="49">
        <v>0.429392</v>
      </c>
      <c r="B209" s="49">
        <v>0.429392</v>
      </c>
    </row>
    <row r="210" spans="1:2">
      <c r="A210" s="49">
        <v>0</v>
      </c>
      <c r="B210" s="49">
        <v>0</v>
      </c>
    </row>
    <row r="211" spans="1:2">
      <c r="A211" s="49">
        <v>0.31425700000000001</v>
      </c>
      <c r="B211" s="49">
        <v>0.31425700000000001</v>
      </c>
    </row>
    <row r="212" spans="1:2">
      <c r="A212" s="49">
        <v>0</v>
      </c>
      <c r="B212" s="49">
        <v>0</v>
      </c>
    </row>
    <row r="213" spans="1:2">
      <c r="A213" s="49">
        <v>0</v>
      </c>
      <c r="B213" s="49">
        <v>0</v>
      </c>
    </row>
    <row r="214" spans="1:2">
      <c r="A214" s="49">
        <v>0.13918900000000001</v>
      </c>
      <c r="B214" s="49">
        <v>0.13918900000000001</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0.51814199999999999</v>
      </c>
      <c r="B2" s="49">
        <v>0.44151099999999999</v>
      </c>
      <c r="C2">
        <v>0</v>
      </c>
      <c r="D2">
        <v>0</v>
      </c>
      <c r="E2" t="s">
        <v>1161</v>
      </c>
      <c r="F2" s="49">
        <f>IF(A2&lt;&gt;"",1,"")</f>
        <v>1</v>
      </c>
      <c r="G2">
        <f>IF($H8&gt;0,LOOKUP(COUNT(A2:A1000)*$H8,F2:F1000,A2:A1000),LOOKUP(1,F2:F1000,A2:A1000))</f>
        <v>0.53865399999999997</v>
      </c>
      <c r="H2">
        <f>IF($H8&gt;0,LOOKUP(COUNT(B2:B1000)*$H8,F2:F1000,B2:B1000),LOOKUP(1,F2:F1000,B2:B1000))</f>
        <v>0.47546300000000002</v>
      </c>
      <c r="J2" s="49">
        <f>IF(A2&lt;&gt;"",A2*10,"")</f>
        <v>5.1814200000000001</v>
      </c>
      <c r="K2" s="49">
        <f>IF(B2&lt;&gt;"",B2*100,"")</f>
        <v>44.1511</v>
      </c>
      <c r="L2" s="49">
        <f>IF(F2&lt;&gt;"",IF(K2&lt;&gt;0,K2/J2,0),"")</f>
        <v>8.5210424941425327</v>
      </c>
    </row>
    <row r="3" spans="1:12">
      <c r="A3" s="49">
        <v>0.51876800000000001</v>
      </c>
      <c r="B3" s="49">
        <v>0.44479099999999999</v>
      </c>
      <c r="C3">
        <v>0.35803099999999999</v>
      </c>
      <c r="D3">
        <v>0</v>
      </c>
      <c r="E3" t="s">
        <v>2560</v>
      </c>
      <c r="F3" s="49">
        <f>IF(A3&lt;&gt;"",F2+1,"")</f>
        <v>2</v>
      </c>
      <c r="G3">
        <f>IF($H9&gt;0,LOOKUP(COUNT(A2:A1000)*$H9,F2:F1000,A2:A1000),LOOKUP(1,F2:F1000,A2:A1000))</f>
        <v>0.52705400000000002</v>
      </c>
      <c r="H3">
        <f>IF($H9&gt;0,LOOKUP(COUNT(B2:B1000)*$H9,F2:F1000,B2:B1000),LOOKUP(1,F2:F1000,B2:B1000))</f>
        <v>0.418433</v>
      </c>
      <c r="J3" s="49">
        <f t="shared" ref="J3:J66" si="0">IF(A3&lt;&gt;"",A3*10,"")</f>
        <v>5.1876800000000003</v>
      </c>
      <c r="K3" s="49">
        <f t="shared" ref="K3:K66" si="1">IF(B3&lt;&gt;"",B3*100,"")</f>
        <v>44.479100000000003</v>
      </c>
      <c r="L3" s="49">
        <f t="shared" ref="L3:L66" si="2">IF(F3&lt;&gt;"",IF(K3&lt;&gt;0,K3/J3,0),"")</f>
        <v>8.573986830336489</v>
      </c>
    </row>
    <row r="4" spans="1:12">
      <c r="A4" s="49">
        <v>0.51988199999999996</v>
      </c>
      <c r="B4" s="49">
        <v>0.44781300000000002</v>
      </c>
      <c r="C4">
        <v>0.76689300000000005</v>
      </c>
      <c r="D4">
        <v>0</v>
      </c>
      <c r="E4" t="s">
        <v>2561</v>
      </c>
      <c r="F4" s="49">
        <f t="shared" ref="F4:F67" si="3">IF(A4&lt;&gt;"",F3+1,"")</f>
        <v>3</v>
      </c>
      <c r="G4" s="71" t="s">
        <v>209</v>
      </c>
      <c r="H4" s="23">
        <f>IF(ISERROR(G3-G2)=FALSE,(G3-G2)*10,0)</f>
        <v>-0.11599999999999944</v>
      </c>
      <c r="J4" s="49">
        <f t="shared" si="0"/>
        <v>5.1988199999999996</v>
      </c>
      <c r="K4" s="49">
        <f t="shared" si="1"/>
        <v>44.781300000000002</v>
      </c>
      <c r="L4" s="49">
        <f t="shared" si="2"/>
        <v>8.6137431186307669</v>
      </c>
    </row>
    <row r="5" spans="1:12">
      <c r="A5" s="49">
        <v>0.52140299999999995</v>
      </c>
      <c r="B5" s="49">
        <v>0.451322</v>
      </c>
      <c r="C5">
        <v>1.1734599999999999</v>
      </c>
      <c r="D5">
        <v>0</v>
      </c>
      <c r="E5" t="s">
        <v>2562</v>
      </c>
      <c r="F5" s="49">
        <f t="shared" si="3"/>
        <v>4</v>
      </c>
      <c r="G5" s="71" t="s">
        <v>210</v>
      </c>
      <c r="H5" s="23">
        <f>IF(ISERROR(H3-H2)=FALSE,H3-H2,0)</f>
        <v>-5.7030000000000025E-2</v>
      </c>
      <c r="J5" s="49">
        <f t="shared" si="0"/>
        <v>5.2140299999999993</v>
      </c>
      <c r="K5" s="49">
        <f t="shared" si="1"/>
        <v>45.132199999999997</v>
      </c>
      <c r="L5" s="49">
        <f t="shared" si="2"/>
        <v>8.655914906511855</v>
      </c>
    </row>
    <row r="6" spans="1:12">
      <c r="A6" s="49">
        <v>0.52316099999999999</v>
      </c>
      <c r="B6" s="49">
        <v>0.45520300000000002</v>
      </c>
      <c r="C6">
        <v>1.5711299999999999</v>
      </c>
      <c r="D6">
        <v>0</v>
      </c>
      <c r="E6" t="s">
        <v>2563</v>
      </c>
      <c r="F6" s="49">
        <f t="shared" si="3"/>
        <v>5</v>
      </c>
      <c r="G6" s="71" t="s">
        <v>211</v>
      </c>
      <c r="H6" s="23">
        <f>IF(H4&lt;&gt;0,H5/H4,0)</f>
        <v>0.49163793103448539</v>
      </c>
      <c r="J6" s="49">
        <f t="shared" si="0"/>
        <v>5.2316099999999999</v>
      </c>
      <c r="K6" s="49">
        <f t="shared" si="1"/>
        <v>45.520300000000006</v>
      </c>
      <c r="L6" s="49">
        <f t="shared" si="2"/>
        <v>8.7010117344373921</v>
      </c>
    </row>
    <row r="7" spans="1:12">
      <c r="A7" s="49">
        <v>0.52475700000000003</v>
      </c>
      <c r="B7" s="49">
        <v>0.457596</v>
      </c>
      <c r="C7">
        <v>1.9834499999999999</v>
      </c>
      <c r="D7">
        <v>0</v>
      </c>
      <c r="E7" t="s">
        <v>2564</v>
      </c>
      <c r="F7" s="49">
        <f t="shared" si="3"/>
        <v>6</v>
      </c>
      <c r="G7" s="71" t="s">
        <v>212</v>
      </c>
      <c r="H7" s="23">
        <f>DEGREES(ATAN(H6))</f>
        <v>26.180481606261761</v>
      </c>
      <c r="J7" s="49">
        <f t="shared" si="0"/>
        <v>5.2475700000000005</v>
      </c>
      <c r="K7" s="49">
        <f t="shared" si="1"/>
        <v>45.759599999999999</v>
      </c>
      <c r="L7" s="49">
        <f t="shared" si="2"/>
        <v>8.7201504696459491</v>
      </c>
    </row>
    <row r="8" spans="1:12">
      <c r="A8" s="49">
        <v>0.526451</v>
      </c>
      <c r="B8" s="49">
        <v>0.45951999999999998</v>
      </c>
      <c r="C8">
        <v>2.3902800000000002</v>
      </c>
      <c r="D8">
        <v>0</v>
      </c>
      <c r="E8" t="s">
        <v>2565</v>
      </c>
      <c r="F8" s="49">
        <f t="shared" si="3"/>
        <v>7</v>
      </c>
      <c r="G8" s="71" t="s">
        <v>213</v>
      </c>
      <c r="H8" s="72">
        <v>0.1</v>
      </c>
      <c r="J8" s="49">
        <f t="shared" si="0"/>
        <v>5.2645099999999996</v>
      </c>
      <c r="K8" s="49">
        <f t="shared" si="1"/>
        <v>45.951999999999998</v>
      </c>
      <c r="L8" s="49">
        <f t="shared" si="2"/>
        <v>8.7286376129972219</v>
      </c>
    </row>
    <row r="9" spans="1:12">
      <c r="A9" s="49">
        <v>0.52809499999999998</v>
      </c>
      <c r="B9" s="49">
        <v>0.46172999999999997</v>
      </c>
      <c r="C9">
        <v>2.7992900000000001</v>
      </c>
      <c r="D9">
        <v>0</v>
      </c>
      <c r="E9" t="s">
        <v>2566</v>
      </c>
      <c r="F9" s="49">
        <f t="shared" si="3"/>
        <v>8</v>
      </c>
      <c r="G9" s="71" t="s">
        <v>214</v>
      </c>
      <c r="H9" s="72">
        <v>0.9</v>
      </c>
      <c r="J9" s="49">
        <f t="shared" si="0"/>
        <v>5.2809499999999998</v>
      </c>
      <c r="K9" s="49">
        <f t="shared" si="1"/>
        <v>46.172999999999995</v>
      </c>
      <c r="L9" s="49">
        <f t="shared" si="2"/>
        <v>8.743313229627244</v>
      </c>
    </row>
    <row r="10" spans="1:12">
      <c r="A10" s="49">
        <v>0.52976599999999996</v>
      </c>
      <c r="B10" s="49">
        <v>0.46456799999999998</v>
      </c>
      <c r="C10">
        <v>3.2005400000000002</v>
      </c>
      <c r="D10">
        <v>0</v>
      </c>
      <c r="E10" t="s">
        <v>2567</v>
      </c>
      <c r="F10" s="49">
        <f t="shared" si="3"/>
        <v>9</v>
      </c>
      <c r="G10" t="s">
        <v>215</v>
      </c>
      <c r="J10" s="49">
        <f t="shared" si="0"/>
        <v>5.2976599999999996</v>
      </c>
      <c r="K10" s="49">
        <f t="shared" si="1"/>
        <v>46.456800000000001</v>
      </c>
      <c r="L10" s="49">
        <f t="shared" si="2"/>
        <v>8.7693056934571114</v>
      </c>
    </row>
    <row r="11" spans="1:12">
      <c r="A11" s="49">
        <v>0.53144499999999995</v>
      </c>
      <c r="B11" s="49">
        <v>0.46693000000000001</v>
      </c>
      <c r="C11">
        <v>3.6163500000000002</v>
      </c>
      <c r="D11">
        <v>0</v>
      </c>
      <c r="E11" t="s">
        <v>2568</v>
      </c>
      <c r="F11" s="49">
        <f t="shared" si="3"/>
        <v>10</v>
      </c>
      <c r="G11" s="71" t="s">
        <v>216</v>
      </c>
      <c r="H11" s="73">
        <f>MIN(B2:B1000)</f>
        <v>0.35736899999999999</v>
      </c>
      <c r="J11" s="49">
        <f t="shared" si="0"/>
        <v>5.314449999999999</v>
      </c>
      <c r="K11" s="49">
        <f t="shared" si="1"/>
        <v>46.692999999999998</v>
      </c>
      <c r="L11" s="49">
        <f t="shared" si="2"/>
        <v>8.7860455926765724</v>
      </c>
    </row>
    <row r="12" spans="1:12">
      <c r="A12" s="49">
        <v>0.53335399999999999</v>
      </c>
      <c r="B12" s="49">
        <v>0.46867599999999998</v>
      </c>
      <c r="C12">
        <v>4.0123600000000001</v>
      </c>
      <c r="D12">
        <v>0</v>
      </c>
      <c r="E12" t="s">
        <v>2569</v>
      </c>
      <c r="F12" s="49">
        <f t="shared" si="3"/>
        <v>11</v>
      </c>
      <c r="G12" s="71" t="s">
        <v>218</v>
      </c>
      <c r="H12" s="73">
        <f>MAX(B2:B1000)</f>
        <v>0.551481</v>
      </c>
      <c r="J12" s="49">
        <f t="shared" si="0"/>
        <v>5.3335400000000002</v>
      </c>
      <c r="K12" s="49">
        <f t="shared" si="1"/>
        <v>46.867599999999996</v>
      </c>
      <c r="L12" s="49">
        <f t="shared" si="2"/>
        <v>8.7873344907884814</v>
      </c>
    </row>
    <row r="13" spans="1:12">
      <c r="A13" s="49">
        <v>0.53522800000000004</v>
      </c>
      <c r="B13" s="49">
        <v>0.47056799999999999</v>
      </c>
      <c r="C13">
        <v>4.41798</v>
      </c>
      <c r="D13">
        <v>0</v>
      </c>
      <c r="E13" t="s">
        <v>2570</v>
      </c>
      <c r="F13" s="49">
        <f t="shared" si="3"/>
        <v>12</v>
      </c>
      <c r="G13" s="71" t="s">
        <v>220</v>
      </c>
      <c r="H13">
        <f>MATCH($H$11,B2:B1000,0)</f>
        <v>145</v>
      </c>
      <c r="J13" s="49">
        <f t="shared" si="0"/>
        <v>5.3522800000000004</v>
      </c>
      <c r="K13" s="49">
        <f t="shared" si="1"/>
        <v>47.056799999999996</v>
      </c>
      <c r="L13" s="49">
        <f t="shared" si="2"/>
        <v>8.7919167158668809</v>
      </c>
    </row>
    <row r="14" spans="1:12">
      <c r="A14" s="49">
        <v>0.53695899999999996</v>
      </c>
      <c r="B14" s="49">
        <v>0.47295500000000001</v>
      </c>
      <c r="C14">
        <v>4.8258799999999997</v>
      </c>
      <c r="D14">
        <v>0</v>
      </c>
      <c r="E14" t="s">
        <v>2571</v>
      </c>
      <c r="F14" s="49">
        <f t="shared" si="3"/>
        <v>13</v>
      </c>
      <c r="G14" s="71" t="s">
        <v>221</v>
      </c>
      <c r="H14">
        <f>MATCH($H$12,B2:B1000,0)</f>
        <v>60</v>
      </c>
      <c r="J14" s="49">
        <f t="shared" si="0"/>
        <v>5.3695899999999996</v>
      </c>
      <c r="K14" s="49">
        <f t="shared" si="1"/>
        <v>47.295500000000004</v>
      </c>
      <c r="L14" s="49">
        <f t="shared" si="2"/>
        <v>8.8080281734732093</v>
      </c>
    </row>
    <row r="15" spans="1:12">
      <c r="A15" s="49">
        <v>0.53865399999999997</v>
      </c>
      <c r="B15" s="49">
        <v>0.47546300000000002</v>
      </c>
      <c r="C15">
        <v>5.2370900000000002</v>
      </c>
      <c r="D15">
        <v>0</v>
      </c>
      <c r="E15" t="s">
        <v>2572</v>
      </c>
      <c r="F15" s="49">
        <f t="shared" si="3"/>
        <v>14</v>
      </c>
      <c r="G15">
        <f>LOOKUP($H13,F2:F1000,A2:A1000)</f>
        <v>0.52747599999999994</v>
      </c>
      <c r="H15">
        <f>LOOKUP($H13,F2:F1000,B2:B1000)</f>
        <v>0.35736899999999999</v>
      </c>
      <c r="J15" s="49">
        <f t="shared" si="0"/>
        <v>5.3865400000000001</v>
      </c>
      <c r="K15" s="49">
        <f t="shared" si="1"/>
        <v>47.546300000000002</v>
      </c>
      <c r="L15" s="49">
        <f t="shared" si="2"/>
        <v>8.8268721665484708</v>
      </c>
    </row>
    <row r="16" spans="1:12">
      <c r="A16" s="49">
        <v>0.54002300000000003</v>
      </c>
      <c r="B16" s="49">
        <v>0.47828100000000001</v>
      </c>
      <c r="C16">
        <v>5.6379099999999998</v>
      </c>
      <c r="D16">
        <v>0</v>
      </c>
      <c r="E16" t="s">
        <v>2573</v>
      </c>
      <c r="F16" s="49">
        <f t="shared" si="3"/>
        <v>15</v>
      </c>
      <c r="G16">
        <f>LOOKUP($H14,F2:F1000,A2:A1000)</f>
        <v>0.57749600000000001</v>
      </c>
      <c r="H16">
        <f>LOOKUP($H14,F2:F1000,B2:B1000)</f>
        <v>0.551481</v>
      </c>
      <c r="J16" s="49">
        <f t="shared" si="0"/>
        <v>5.4002300000000005</v>
      </c>
      <c r="K16" s="49">
        <f t="shared" si="1"/>
        <v>47.828099999999999</v>
      </c>
      <c r="L16" s="49">
        <f t="shared" si="2"/>
        <v>8.8566783266638627</v>
      </c>
    </row>
    <row r="17" spans="1:12">
      <c r="A17" s="49">
        <v>0.54170700000000005</v>
      </c>
      <c r="B17" s="49">
        <v>0.481184</v>
      </c>
      <c r="C17">
        <v>6.0479200000000004</v>
      </c>
      <c r="D17">
        <v>0</v>
      </c>
      <c r="E17" t="s">
        <v>2574</v>
      </c>
      <c r="F17" s="49">
        <f t="shared" si="3"/>
        <v>16</v>
      </c>
      <c r="J17" s="49">
        <f t="shared" si="0"/>
        <v>5.4170700000000007</v>
      </c>
      <c r="K17" s="49">
        <f t="shared" si="1"/>
        <v>48.118400000000001</v>
      </c>
      <c r="L17" s="49">
        <f t="shared" si="2"/>
        <v>8.8827355009257758</v>
      </c>
    </row>
    <row r="18" spans="1:12">
      <c r="A18" s="49">
        <v>0.543543</v>
      </c>
      <c r="B18" s="49">
        <v>0.48430800000000002</v>
      </c>
      <c r="C18">
        <v>6.4438500000000003</v>
      </c>
      <c r="D18">
        <v>0</v>
      </c>
      <c r="E18" t="s">
        <v>2575</v>
      </c>
      <c r="F18" s="49">
        <f t="shared" si="3"/>
        <v>17</v>
      </c>
      <c r="J18" s="49">
        <f t="shared" si="0"/>
        <v>5.4354300000000002</v>
      </c>
      <c r="K18" s="49">
        <f t="shared" si="1"/>
        <v>48.430800000000005</v>
      </c>
      <c r="L18" s="49">
        <f t="shared" si="2"/>
        <v>8.910205816283165</v>
      </c>
    </row>
    <row r="19" spans="1:12">
      <c r="A19" s="49">
        <v>0.54564199999999996</v>
      </c>
      <c r="B19" s="49">
        <v>0.48691699999999999</v>
      </c>
      <c r="C19">
        <v>6.8550399999999998</v>
      </c>
      <c r="D19">
        <v>0</v>
      </c>
      <c r="E19" t="s">
        <v>2576</v>
      </c>
      <c r="F19" s="49">
        <f t="shared" si="3"/>
        <v>18</v>
      </c>
      <c r="J19" s="49">
        <f t="shared" si="0"/>
        <v>5.4564199999999996</v>
      </c>
      <c r="K19" s="49">
        <f t="shared" si="1"/>
        <v>48.691699999999997</v>
      </c>
      <c r="L19" s="49">
        <f t="shared" si="2"/>
        <v>8.9237448730119748</v>
      </c>
    </row>
    <row r="20" spans="1:12">
      <c r="A20" s="49">
        <v>0.54787799999999998</v>
      </c>
      <c r="B20" s="49">
        <v>0.488902</v>
      </c>
      <c r="C20">
        <v>7.2626299999999997</v>
      </c>
      <c r="D20">
        <v>0</v>
      </c>
      <c r="E20" t="s">
        <v>2577</v>
      </c>
      <c r="F20" s="49">
        <f t="shared" si="3"/>
        <v>19</v>
      </c>
      <c r="J20" s="49">
        <f t="shared" si="0"/>
        <v>5.4787799999999995</v>
      </c>
      <c r="K20" s="49">
        <f t="shared" si="1"/>
        <v>48.8902</v>
      </c>
      <c r="L20" s="49">
        <f t="shared" si="2"/>
        <v>8.9235559741402284</v>
      </c>
    </row>
    <row r="21" spans="1:12">
      <c r="A21" s="49">
        <v>0.55026699999999995</v>
      </c>
      <c r="B21" s="49">
        <v>0.49049700000000002</v>
      </c>
      <c r="C21">
        <v>7.6699700000000002</v>
      </c>
      <c r="D21">
        <v>0</v>
      </c>
      <c r="E21" t="s">
        <v>2578</v>
      </c>
      <c r="F21" s="49">
        <f t="shared" si="3"/>
        <v>20</v>
      </c>
      <c r="J21" s="49">
        <f t="shared" si="0"/>
        <v>5.5026699999999993</v>
      </c>
      <c r="K21" s="49">
        <f t="shared" si="1"/>
        <v>49.049700000000001</v>
      </c>
      <c r="L21" s="49">
        <f t="shared" si="2"/>
        <v>8.9138000279864151</v>
      </c>
    </row>
    <row r="22" spans="1:12">
      <c r="A22" s="49">
        <v>0.55266000000000004</v>
      </c>
      <c r="B22" s="49">
        <v>0.49227500000000002</v>
      </c>
      <c r="C22">
        <v>8.0763300000000005</v>
      </c>
      <c r="D22">
        <v>0</v>
      </c>
      <c r="E22" t="s">
        <v>2579</v>
      </c>
      <c r="F22" s="49">
        <f t="shared" si="3"/>
        <v>21</v>
      </c>
      <c r="J22" s="49">
        <f t="shared" si="0"/>
        <v>5.5266000000000002</v>
      </c>
      <c r="K22" s="49">
        <f t="shared" si="1"/>
        <v>49.227499999999999</v>
      </c>
      <c r="L22" s="49">
        <f t="shared" si="2"/>
        <v>8.9073752397495749</v>
      </c>
    </row>
    <row r="23" spans="1:12">
      <c r="A23" s="49">
        <v>0.55510700000000002</v>
      </c>
      <c r="B23" s="49">
        <v>0.49397799999999997</v>
      </c>
      <c r="C23">
        <v>8.4880200000000006</v>
      </c>
      <c r="D23">
        <v>0</v>
      </c>
      <c r="E23" t="s">
        <v>2580</v>
      </c>
      <c r="F23" s="49">
        <f t="shared" si="3"/>
        <v>22</v>
      </c>
      <c r="J23" s="49">
        <f t="shared" si="0"/>
        <v>5.5510700000000002</v>
      </c>
      <c r="K23" s="49">
        <f t="shared" si="1"/>
        <v>49.397799999999997</v>
      </c>
      <c r="L23" s="49">
        <f t="shared" si="2"/>
        <v>8.8987888821434424</v>
      </c>
    </row>
    <row r="24" spans="1:12">
      <c r="A24" s="49">
        <v>0.55787500000000001</v>
      </c>
      <c r="B24" s="49">
        <v>0.49578299999999997</v>
      </c>
      <c r="C24">
        <v>8.8993599999999997</v>
      </c>
      <c r="D24">
        <v>0</v>
      </c>
      <c r="E24" t="s">
        <v>2581</v>
      </c>
      <c r="F24" s="49">
        <f t="shared" si="3"/>
        <v>23</v>
      </c>
      <c r="G24" t="s">
        <v>245</v>
      </c>
      <c r="H24">
        <f>COUNT(A2:A2000)</f>
        <v>146</v>
      </c>
      <c r="J24" s="49">
        <f t="shared" si="0"/>
        <v>5.5787500000000003</v>
      </c>
      <c r="K24" s="49">
        <f t="shared" si="1"/>
        <v>49.578299999999999</v>
      </c>
      <c r="L24" s="49">
        <f t="shared" si="2"/>
        <v>8.8869908133542452</v>
      </c>
    </row>
    <row r="25" spans="1:12">
      <c r="A25" s="49">
        <v>0.56048200000000004</v>
      </c>
      <c r="B25" s="49">
        <v>0.49779299999999999</v>
      </c>
      <c r="C25">
        <v>9.3028399999999998</v>
      </c>
      <c r="D25">
        <v>0</v>
      </c>
      <c r="E25" t="s">
        <v>2582</v>
      </c>
      <c r="F25" s="49">
        <f t="shared" si="3"/>
        <v>24</v>
      </c>
      <c r="J25" s="49">
        <f t="shared" si="0"/>
        <v>5.6048200000000001</v>
      </c>
      <c r="K25" s="49">
        <f t="shared" si="1"/>
        <v>49.779299999999999</v>
      </c>
      <c r="L25" s="49">
        <f t="shared" si="2"/>
        <v>8.8815162663564564</v>
      </c>
    </row>
    <row r="26" spans="1:12">
      <c r="A26" s="49">
        <v>0.56312200000000001</v>
      </c>
      <c r="B26" s="49">
        <v>0.49979000000000001</v>
      </c>
      <c r="C26">
        <v>9.7063199999999998</v>
      </c>
      <c r="D26">
        <v>0</v>
      </c>
      <c r="E26" t="s">
        <v>2583</v>
      </c>
      <c r="F26" s="49">
        <f t="shared" si="3"/>
        <v>25</v>
      </c>
      <c r="J26" s="49">
        <f t="shared" si="0"/>
        <v>5.6312199999999999</v>
      </c>
      <c r="K26" s="49">
        <f t="shared" si="1"/>
        <v>49.978999999999999</v>
      </c>
      <c r="L26" s="49">
        <f t="shared" si="2"/>
        <v>8.8753414002649507</v>
      </c>
    </row>
    <row r="27" spans="1:12">
      <c r="A27" s="49">
        <v>0.56542599999999998</v>
      </c>
      <c r="B27" s="49">
        <v>0.50197800000000004</v>
      </c>
      <c r="C27">
        <v>10.1159</v>
      </c>
      <c r="D27">
        <v>0</v>
      </c>
      <c r="E27" t="s">
        <v>2584</v>
      </c>
      <c r="F27" s="49">
        <f t="shared" si="3"/>
        <v>26</v>
      </c>
      <c r="J27" s="49">
        <f t="shared" si="0"/>
        <v>5.6542599999999998</v>
      </c>
      <c r="K27" s="49">
        <f t="shared" si="1"/>
        <v>50.197800000000001</v>
      </c>
      <c r="L27" s="49">
        <f t="shared" si="2"/>
        <v>8.8778726128618075</v>
      </c>
    </row>
    <row r="28" spans="1:12">
      <c r="A28" s="49">
        <v>0.56772800000000001</v>
      </c>
      <c r="B28" s="49">
        <v>0.50384300000000004</v>
      </c>
      <c r="C28">
        <v>10.5227</v>
      </c>
      <c r="D28">
        <v>0</v>
      </c>
      <c r="E28" t="s">
        <v>2585</v>
      </c>
      <c r="F28" s="49">
        <f t="shared" si="3"/>
        <v>27</v>
      </c>
      <c r="J28" s="49">
        <f t="shared" si="0"/>
        <v>5.6772799999999997</v>
      </c>
      <c r="K28" s="49">
        <f t="shared" si="1"/>
        <v>50.384300000000003</v>
      </c>
      <c r="L28" s="49">
        <f t="shared" si="2"/>
        <v>8.8747252205281413</v>
      </c>
    </row>
    <row r="29" spans="1:12">
      <c r="A29" s="49">
        <v>0.56999500000000003</v>
      </c>
      <c r="B29" s="49">
        <v>0.50530399999999998</v>
      </c>
      <c r="C29">
        <v>10.9354</v>
      </c>
      <c r="D29">
        <v>0</v>
      </c>
      <c r="E29" t="s">
        <v>2586</v>
      </c>
      <c r="F29" s="49">
        <f t="shared" si="3"/>
        <v>28</v>
      </c>
      <c r="J29" s="49">
        <f t="shared" si="0"/>
        <v>5.6999500000000003</v>
      </c>
      <c r="K29" s="49">
        <f t="shared" si="1"/>
        <v>50.5304</v>
      </c>
      <c r="L29" s="49">
        <f t="shared" si="2"/>
        <v>8.8650602198264892</v>
      </c>
    </row>
    <row r="30" spans="1:12">
      <c r="A30" s="49">
        <v>0.57238900000000004</v>
      </c>
      <c r="B30" s="49">
        <v>0.50619000000000003</v>
      </c>
      <c r="C30">
        <v>11.331099999999999</v>
      </c>
      <c r="D30">
        <v>0</v>
      </c>
      <c r="E30" t="s">
        <v>2587</v>
      </c>
      <c r="F30" s="49">
        <f t="shared" si="3"/>
        <v>29</v>
      </c>
      <c r="J30" s="49">
        <f t="shared" si="0"/>
        <v>5.7238900000000008</v>
      </c>
      <c r="K30" s="49">
        <f t="shared" si="1"/>
        <v>50.619</v>
      </c>
      <c r="L30" s="49">
        <f t="shared" si="2"/>
        <v>8.8434613523320671</v>
      </c>
    </row>
    <row r="31" spans="1:12">
      <c r="A31" s="49">
        <v>0.57489699999999999</v>
      </c>
      <c r="B31" s="49">
        <v>0.50705299999999998</v>
      </c>
      <c r="C31">
        <v>11.745100000000001</v>
      </c>
      <c r="D31">
        <v>0</v>
      </c>
      <c r="E31" t="s">
        <v>2588</v>
      </c>
      <c r="F31" s="49">
        <f t="shared" si="3"/>
        <v>30</v>
      </c>
      <c r="J31" s="49">
        <f t="shared" si="0"/>
        <v>5.7489699999999999</v>
      </c>
      <c r="K31" s="49">
        <f t="shared" si="1"/>
        <v>50.705299999999994</v>
      </c>
      <c r="L31" s="49">
        <f t="shared" si="2"/>
        <v>8.8198929547379787</v>
      </c>
    </row>
    <row r="32" spans="1:12">
      <c r="A32" s="49">
        <v>0.57732600000000001</v>
      </c>
      <c r="B32" s="49">
        <v>0.50799300000000003</v>
      </c>
      <c r="C32">
        <v>12.1601</v>
      </c>
      <c r="D32">
        <v>0</v>
      </c>
      <c r="E32" t="s">
        <v>2589</v>
      </c>
      <c r="F32" s="49">
        <f t="shared" si="3"/>
        <v>31</v>
      </c>
      <c r="J32" s="49">
        <f t="shared" si="0"/>
        <v>5.7732600000000005</v>
      </c>
      <c r="K32" s="49">
        <f t="shared" si="1"/>
        <v>50.799300000000002</v>
      </c>
      <c r="L32" s="49">
        <f t="shared" si="2"/>
        <v>8.7990667317945146</v>
      </c>
    </row>
    <row r="33" spans="1:12">
      <c r="A33" s="49">
        <v>0.57940199999999997</v>
      </c>
      <c r="B33" s="49">
        <v>0.50939800000000002</v>
      </c>
      <c r="C33">
        <v>12.557700000000001</v>
      </c>
      <c r="D33">
        <v>0</v>
      </c>
      <c r="E33" t="s">
        <v>2590</v>
      </c>
      <c r="F33" s="49">
        <f t="shared" si="3"/>
        <v>32</v>
      </c>
      <c r="J33" s="49">
        <f t="shared" si="0"/>
        <v>5.7940199999999997</v>
      </c>
      <c r="K33" s="49">
        <f t="shared" si="1"/>
        <v>50.939800000000005</v>
      </c>
      <c r="L33" s="49">
        <f t="shared" si="2"/>
        <v>8.7917887753235249</v>
      </c>
    </row>
    <row r="34" spans="1:12">
      <c r="A34" s="49">
        <v>0.58129600000000003</v>
      </c>
      <c r="B34" s="49">
        <v>0.51119499999999995</v>
      </c>
      <c r="C34">
        <v>12.9636</v>
      </c>
      <c r="D34">
        <v>0</v>
      </c>
      <c r="E34" t="s">
        <v>2591</v>
      </c>
      <c r="F34" s="49">
        <f t="shared" si="3"/>
        <v>33</v>
      </c>
      <c r="J34" s="49">
        <f t="shared" si="0"/>
        <v>5.8129600000000003</v>
      </c>
      <c r="K34" s="49">
        <f t="shared" si="1"/>
        <v>51.119499999999995</v>
      </c>
      <c r="L34" s="49">
        <f t="shared" si="2"/>
        <v>8.7940567284137501</v>
      </c>
    </row>
    <row r="35" spans="1:12">
      <c r="A35" s="49">
        <v>0.58302500000000002</v>
      </c>
      <c r="B35" s="49">
        <v>0.51314199999999999</v>
      </c>
      <c r="C35">
        <v>13.374700000000001</v>
      </c>
      <c r="D35">
        <v>0</v>
      </c>
      <c r="E35" t="s">
        <v>2592</v>
      </c>
      <c r="F35" s="49">
        <f t="shared" si="3"/>
        <v>34</v>
      </c>
      <c r="J35" s="49">
        <f t="shared" si="0"/>
        <v>5.8302500000000004</v>
      </c>
      <c r="K35" s="49">
        <f t="shared" si="1"/>
        <v>51.3142</v>
      </c>
      <c r="L35" s="49">
        <f t="shared" si="2"/>
        <v>8.8013721538527498</v>
      </c>
    </row>
    <row r="36" spans="1:12">
      <c r="A36" s="49">
        <v>0.58460500000000004</v>
      </c>
      <c r="B36" s="49">
        <v>0.51525699999999997</v>
      </c>
      <c r="C36">
        <v>13.7735</v>
      </c>
      <c r="D36">
        <v>0</v>
      </c>
      <c r="E36" t="s">
        <v>2593</v>
      </c>
      <c r="F36" s="49">
        <f t="shared" si="3"/>
        <v>35</v>
      </c>
      <c r="J36" s="49">
        <f t="shared" si="0"/>
        <v>5.84605</v>
      </c>
      <c r="K36" s="49">
        <f t="shared" si="1"/>
        <v>51.525699999999993</v>
      </c>
      <c r="L36" s="49">
        <f t="shared" si="2"/>
        <v>8.8137631392136555</v>
      </c>
    </row>
    <row r="37" spans="1:12">
      <c r="A37" s="49">
        <v>0.585982</v>
      </c>
      <c r="B37" s="49">
        <v>0.51768999999999998</v>
      </c>
      <c r="C37">
        <v>14.1873</v>
      </c>
      <c r="D37">
        <v>0</v>
      </c>
      <c r="E37" t="s">
        <v>2594</v>
      </c>
      <c r="F37" s="49">
        <f t="shared" si="3"/>
        <v>36</v>
      </c>
      <c r="J37" s="49">
        <f t="shared" si="0"/>
        <v>5.85982</v>
      </c>
      <c r="K37" s="49">
        <f t="shared" si="1"/>
        <v>51.768999999999998</v>
      </c>
      <c r="L37" s="49">
        <f t="shared" si="2"/>
        <v>8.8345717103938348</v>
      </c>
    </row>
    <row r="38" spans="1:12">
      <c r="A38" s="49">
        <v>0.58743199999999995</v>
      </c>
      <c r="B38" s="49">
        <v>0.52031499999999997</v>
      </c>
      <c r="C38">
        <v>14.5869</v>
      </c>
      <c r="D38">
        <v>0</v>
      </c>
      <c r="E38" t="s">
        <v>2595</v>
      </c>
      <c r="F38" s="49">
        <f t="shared" si="3"/>
        <v>37</v>
      </c>
      <c r="J38" s="49">
        <f t="shared" si="0"/>
        <v>5.8743199999999991</v>
      </c>
      <c r="K38" s="49">
        <f t="shared" si="1"/>
        <v>52.031499999999994</v>
      </c>
      <c r="L38" s="49">
        <f t="shared" si="2"/>
        <v>8.8574507347233382</v>
      </c>
    </row>
    <row r="39" spans="1:12">
      <c r="A39" s="49">
        <v>0.58859300000000003</v>
      </c>
      <c r="B39" s="49">
        <v>0.52287399999999995</v>
      </c>
      <c r="C39">
        <v>14.987</v>
      </c>
      <c r="D39">
        <v>0</v>
      </c>
      <c r="E39" t="s">
        <v>2596</v>
      </c>
      <c r="F39" s="49">
        <f t="shared" si="3"/>
        <v>38</v>
      </c>
      <c r="J39" s="49">
        <f t="shared" si="0"/>
        <v>5.8859300000000001</v>
      </c>
      <c r="K39" s="49">
        <f t="shared" si="1"/>
        <v>52.287399999999998</v>
      </c>
      <c r="L39" s="49">
        <f t="shared" si="2"/>
        <v>8.8834559704243841</v>
      </c>
    </row>
    <row r="40" spans="1:12">
      <c r="A40" s="49">
        <v>0.58948900000000004</v>
      </c>
      <c r="B40" s="49">
        <v>0.52535900000000002</v>
      </c>
      <c r="C40">
        <v>15.3963</v>
      </c>
      <c r="D40">
        <v>0</v>
      </c>
      <c r="E40" t="s">
        <v>2597</v>
      </c>
      <c r="F40" s="49">
        <f t="shared" si="3"/>
        <v>39</v>
      </c>
      <c r="J40" s="49">
        <f t="shared" si="0"/>
        <v>5.8948900000000002</v>
      </c>
      <c r="K40" s="49">
        <f t="shared" si="1"/>
        <v>52.535900000000005</v>
      </c>
      <c r="L40" s="49">
        <f t="shared" si="2"/>
        <v>8.9121086228920312</v>
      </c>
    </row>
    <row r="41" spans="1:12">
      <c r="A41" s="49">
        <v>0.59068200000000004</v>
      </c>
      <c r="B41" s="49">
        <v>0.52801600000000004</v>
      </c>
      <c r="C41">
        <v>15.8073</v>
      </c>
      <c r="D41">
        <v>0</v>
      </c>
      <c r="E41" t="s">
        <v>2598</v>
      </c>
      <c r="F41" s="49">
        <f t="shared" si="3"/>
        <v>40</v>
      </c>
      <c r="J41" s="49">
        <f t="shared" si="0"/>
        <v>5.9068200000000006</v>
      </c>
      <c r="K41" s="49">
        <f t="shared" si="1"/>
        <v>52.801600000000008</v>
      </c>
      <c r="L41" s="49">
        <f t="shared" si="2"/>
        <v>8.9390907459512903</v>
      </c>
    </row>
    <row r="42" spans="1:12">
      <c r="A42" s="49">
        <v>0.59158299999999997</v>
      </c>
      <c r="B42" s="49">
        <v>0.53056000000000003</v>
      </c>
      <c r="C42">
        <v>16.2178</v>
      </c>
      <c r="D42">
        <v>0</v>
      </c>
      <c r="E42" t="s">
        <v>2599</v>
      </c>
      <c r="F42" s="49">
        <f t="shared" si="3"/>
        <v>41</v>
      </c>
      <c r="J42" s="49">
        <f t="shared" si="0"/>
        <v>5.9158299999999997</v>
      </c>
      <c r="K42" s="49">
        <f t="shared" si="1"/>
        <v>53.056000000000004</v>
      </c>
      <c r="L42" s="49">
        <f t="shared" si="2"/>
        <v>8.9684794863949779</v>
      </c>
    </row>
    <row r="43" spans="1:12">
      <c r="A43" s="49">
        <v>0.59220300000000003</v>
      </c>
      <c r="B43" s="49">
        <v>0.53265899999999999</v>
      </c>
      <c r="C43">
        <v>16.619900000000001</v>
      </c>
      <c r="D43">
        <v>0</v>
      </c>
      <c r="E43" t="s">
        <v>2600</v>
      </c>
      <c r="F43" s="49">
        <f t="shared" si="3"/>
        <v>42</v>
      </c>
      <c r="J43" s="49">
        <f t="shared" si="0"/>
        <v>5.9220300000000003</v>
      </c>
      <c r="K43" s="49">
        <f t="shared" si="1"/>
        <v>53.265900000000002</v>
      </c>
      <c r="L43" s="49">
        <f t="shared" si="2"/>
        <v>8.9945339689261949</v>
      </c>
    </row>
    <row r="44" spans="1:12">
      <c r="A44" s="49">
        <v>0.59254700000000005</v>
      </c>
      <c r="B44" s="49">
        <v>0.53440900000000002</v>
      </c>
      <c r="C44">
        <v>17.027999999999999</v>
      </c>
      <c r="D44">
        <v>0</v>
      </c>
      <c r="E44" t="s">
        <v>2601</v>
      </c>
      <c r="F44" s="49">
        <f t="shared" si="3"/>
        <v>43</v>
      </c>
      <c r="J44" s="49">
        <f t="shared" si="0"/>
        <v>5.9254700000000007</v>
      </c>
      <c r="K44" s="49">
        <f t="shared" si="1"/>
        <v>53.440899999999999</v>
      </c>
      <c r="L44" s="49">
        <f t="shared" si="2"/>
        <v>9.0188457624458476</v>
      </c>
    </row>
    <row r="45" spans="1:12">
      <c r="A45" s="49">
        <v>0.59291799999999995</v>
      </c>
      <c r="B45" s="49">
        <v>0.53666499999999995</v>
      </c>
      <c r="C45">
        <v>17.427399999999999</v>
      </c>
      <c r="D45">
        <v>0</v>
      </c>
      <c r="E45" t="s">
        <v>2602</v>
      </c>
      <c r="F45" s="49">
        <f t="shared" si="3"/>
        <v>44</v>
      </c>
      <c r="J45" s="49">
        <f t="shared" si="0"/>
        <v>5.9291799999999997</v>
      </c>
      <c r="K45" s="49">
        <f t="shared" si="1"/>
        <v>53.666499999999992</v>
      </c>
      <c r="L45" s="49">
        <f t="shared" si="2"/>
        <v>9.0512516064616015</v>
      </c>
    </row>
    <row r="46" spans="1:12">
      <c r="A46" s="49">
        <v>0.59329699999999996</v>
      </c>
      <c r="B46" s="49">
        <v>0.53932999999999998</v>
      </c>
      <c r="C46">
        <v>17.839200000000002</v>
      </c>
      <c r="D46">
        <v>0</v>
      </c>
      <c r="E46" t="s">
        <v>2603</v>
      </c>
      <c r="F46" s="49">
        <f t="shared" si="3"/>
        <v>45</v>
      </c>
      <c r="J46" s="49">
        <f t="shared" si="0"/>
        <v>5.9329699999999992</v>
      </c>
      <c r="K46" s="49">
        <f t="shared" si="1"/>
        <v>53.933</v>
      </c>
      <c r="L46" s="49">
        <f t="shared" si="2"/>
        <v>9.0903881192724736</v>
      </c>
    </row>
    <row r="47" spans="1:12">
      <c r="A47" s="49">
        <v>0.59355500000000005</v>
      </c>
      <c r="B47" s="49">
        <v>0.54217800000000005</v>
      </c>
      <c r="C47">
        <v>18.246300000000002</v>
      </c>
      <c r="D47">
        <v>0</v>
      </c>
      <c r="E47" t="s">
        <v>2604</v>
      </c>
      <c r="F47" s="49">
        <f t="shared" si="3"/>
        <v>46</v>
      </c>
      <c r="J47" s="49">
        <f t="shared" si="0"/>
        <v>5.935550000000001</v>
      </c>
      <c r="K47" s="49">
        <f t="shared" si="1"/>
        <v>54.217800000000004</v>
      </c>
      <c r="L47" s="49">
        <f t="shared" si="2"/>
        <v>9.1344188828330974</v>
      </c>
    </row>
    <row r="48" spans="1:12">
      <c r="A48" s="49">
        <v>0.59343299999999999</v>
      </c>
      <c r="B48" s="49">
        <v>0.54473700000000003</v>
      </c>
      <c r="C48">
        <v>18.6494</v>
      </c>
      <c r="D48">
        <v>0</v>
      </c>
      <c r="E48" t="s">
        <v>2605</v>
      </c>
      <c r="F48" s="49">
        <f t="shared" si="3"/>
        <v>47</v>
      </c>
      <c r="J48" s="49">
        <f t="shared" si="0"/>
        <v>5.9343300000000001</v>
      </c>
      <c r="K48" s="49">
        <f t="shared" si="1"/>
        <v>54.473700000000001</v>
      </c>
      <c r="L48" s="49">
        <f t="shared" si="2"/>
        <v>9.179418738088378</v>
      </c>
    </row>
    <row r="49" spans="1:12">
      <c r="A49" s="49">
        <v>0.59278399999999998</v>
      </c>
      <c r="B49" s="49">
        <v>0.54665900000000001</v>
      </c>
      <c r="C49">
        <v>19.058800000000002</v>
      </c>
      <c r="D49">
        <v>0</v>
      </c>
      <c r="E49" t="s">
        <v>2606</v>
      </c>
      <c r="F49" s="49">
        <f t="shared" si="3"/>
        <v>48</v>
      </c>
      <c r="J49" s="49">
        <f t="shared" si="0"/>
        <v>5.9278399999999998</v>
      </c>
      <c r="K49" s="49">
        <f t="shared" si="1"/>
        <v>54.665900000000001</v>
      </c>
      <c r="L49" s="49">
        <f t="shared" si="2"/>
        <v>9.2218919538988917</v>
      </c>
    </row>
    <row r="50" spans="1:12">
      <c r="A50" s="49">
        <v>0.59198600000000001</v>
      </c>
      <c r="B50" s="49">
        <v>0.54784600000000006</v>
      </c>
      <c r="C50">
        <v>19.469899999999999</v>
      </c>
      <c r="D50">
        <v>0</v>
      </c>
      <c r="E50" t="s">
        <v>2607</v>
      </c>
      <c r="F50" s="49">
        <f t="shared" si="3"/>
        <v>49</v>
      </c>
      <c r="J50" s="49">
        <f t="shared" si="0"/>
        <v>5.9198599999999999</v>
      </c>
      <c r="K50" s="49">
        <f t="shared" si="1"/>
        <v>54.784600000000005</v>
      </c>
      <c r="L50" s="49">
        <f t="shared" si="2"/>
        <v>9.2543742588507172</v>
      </c>
    </row>
    <row r="51" spans="1:12">
      <c r="A51" s="49">
        <v>0.59092500000000003</v>
      </c>
      <c r="B51" s="49">
        <v>0.54853200000000002</v>
      </c>
      <c r="C51">
        <v>19.870699999999999</v>
      </c>
      <c r="D51">
        <v>0</v>
      </c>
      <c r="E51" t="s">
        <v>2608</v>
      </c>
      <c r="F51" s="49">
        <f t="shared" si="3"/>
        <v>50</v>
      </c>
      <c r="J51" s="49">
        <f t="shared" si="0"/>
        <v>5.9092500000000001</v>
      </c>
      <c r="K51" s="49">
        <f t="shared" si="1"/>
        <v>54.853200000000001</v>
      </c>
      <c r="L51" s="49">
        <f t="shared" si="2"/>
        <v>9.2825993146338366</v>
      </c>
    </row>
    <row r="52" spans="1:12">
      <c r="A52" s="49">
        <v>0.59006899999999995</v>
      </c>
      <c r="B52" s="49">
        <v>0.54911600000000005</v>
      </c>
      <c r="C52">
        <v>20.2761</v>
      </c>
      <c r="D52">
        <v>0</v>
      </c>
      <c r="E52" t="s">
        <v>2609</v>
      </c>
      <c r="F52" s="49">
        <f t="shared" si="3"/>
        <v>51</v>
      </c>
      <c r="J52" s="49">
        <f t="shared" si="0"/>
        <v>5.9006899999999991</v>
      </c>
      <c r="K52" s="49">
        <f t="shared" si="1"/>
        <v>54.911600000000007</v>
      </c>
      <c r="L52" s="49">
        <f t="shared" si="2"/>
        <v>9.3059625230269702</v>
      </c>
    </row>
    <row r="53" spans="1:12">
      <c r="A53" s="49">
        <v>0.58897999999999995</v>
      </c>
      <c r="B53" s="49">
        <v>0.54942400000000002</v>
      </c>
      <c r="C53">
        <v>20.6767</v>
      </c>
      <c r="D53">
        <v>0</v>
      </c>
      <c r="E53" t="s">
        <v>2610</v>
      </c>
      <c r="F53" s="49">
        <f t="shared" si="3"/>
        <v>52</v>
      </c>
      <c r="J53" s="49">
        <f t="shared" si="0"/>
        <v>5.8897999999999993</v>
      </c>
      <c r="K53" s="49">
        <f t="shared" si="1"/>
        <v>54.942399999999999</v>
      </c>
      <c r="L53" s="49">
        <f t="shared" si="2"/>
        <v>9.3283982478182637</v>
      </c>
    </row>
    <row r="54" spans="1:12">
      <c r="A54" s="49">
        <v>0.58758500000000002</v>
      </c>
      <c r="B54" s="49">
        <v>0.54916299999999996</v>
      </c>
      <c r="C54">
        <v>21.083400000000001</v>
      </c>
      <c r="D54">
        <v>0</v>
      </c>
      <c r="E54" t="s">
        <v>2611</v>
      </c>
      <c r="F54" s="49">
        <f t="shared" si="3"/>
        <v>53</v>
      </c>
      <c r="J54" s="49">
        <f t="shared" si="0"/>
        <v>5.8758499999999998</v>
      </c>
      <c r="K54" s="49">
        <f t="shared" si="1"/>
        <v>54.916299999999993</v>
      </c>
      <c r="L54" s="49">
        <f t="shared" si="2"/>
        <v>9.3461031169958382</v>
      </c>
    </row>
    <row r="55" spans="1:12">
      <c r="A55" s="49">
        <v>0.58588499999999999</v>
      </c>
      <c r="B55" s="49">
        <v>0.54920599999999997</v>
      </c>
      <c r="C55">
        <v>21.499600000000001</v>
      </c>
      <c r="D55">
        <v>0</v>
      </c>
      <c r="E55" t="s">
        <v>2612</v>
      </c>
      <c r="F55" s="49">
        <f t="shared" si="3"/>
        <v>54</v>
      </c>
      <c r="J55" s="49">
        <f t="shared" si="0"/>
        <v>5.8588500000000003</v>
      </c>
      <c r="K55" s="49">
        <f t="shared" si="1"/>
        <v>54.9206</v>
      </c>
      <c r="L55" s="49">
        <f t="shared" si="2"/>
        <v>9.3739556397586554</v>
      </c>
    </row>
    <row r="56" spans="1:12">
      <c r="A56" s="49">
        <v>0.58409500000000003</v>
      </c>
      <c r="B56" s="49">
        <v>0.54971099999999995</v>
      </c>
      <c r="C56">
        <v>21.891400000000001</v>
      </c>
      <c r="D56">
        <v>0</v>
      </c>
      <c r="E56" t="s">
        <v>2613</v>
      </c>
      <c r="F56" s="49">
        <f t="shared" si="3"/>
        <v>55</v>
      </c>
      <c r="J56" s="49">
        <f t="shared" si="0"/>
        <v>5.8409500000000003</v>
      </c>
      <c r="K56" s="49">
        <f t="shared" si="1"/>
        <v>54.971099999999993</v>
      </c>
      <c r="L56" s="49">
        <f t="shared" si="2"/>
        <v>9.4113286366087685</v>
      </c>
    </row>
    <row r="57" spans="1:12">
      <c r="A57" s="49">
        <v>0.58241100000000001</v>
      </c>
      <c r="B57" s="49">
        <v>0.55044599999999999</v>
      </c>
      <c r="C57">
        <v>22.316199999999998</v>
      </c>
      <c r="D57">
        <v>0</v>
      </c>
      <c r="E57" t="s">
        <v>2614</v>
      </c>
      <c r="F57" s="49">
        <f t="shared" si="3"/>
        <v>56</v>
      </c>
      <c r="J57" s="49">
        <f t="shared" si="0"/>
        <v>5.8241100000000001</v>
      </c>
      <c r="K57" s="49">
        <f t="shared" si="1"/>
        <v>55.044600000000003</v>
      </c>
      <c r="L57" s="49">
        <f t="shared" si="2"/>
        <v>9.4511607782133247</v>
      </c>
    </row>
    <row r="58" spans="1:12">
      <c r="A58" s="49">
        <v>0.58095300000000005</v>
      </c>
      <c r="B58" s="49">
        <v>0.55093499999999995</v>
      </c>
      <c r="C58">
        <v>22.712399999999999</v>
      </c>
      <c r="D58">
        <v>0</v>
      </c>
      <c r="E58" t="s">
        <v>2615</v>
      </c>
      <c r="F58" s="49">
        <f t="shared" si="3"/>
        <v>57</v>
      </c>
      <c r="J58" s="49">
        <f t="shared" si="0"/>
        <v>5.8095300000000005</v>
      </c>
      <c r="K58" s="49">
        <f t="shared" si="1"/>
        <v>55.093499999999992</v>
      </c>
      <c r="L58" s="49">
        <f t="shared" si="2"/>
        <v>9.4832972718963475</v>
      </c>
    </row>
    <row r="59" spans="1:12">
      <c r="A59" s="49">
        <v>0.57958299999999996</v>
      </c>
      <c r="B59" s="49">
        <v>0.55113299999999998</v>
      </c>
      <c r="C59">
        <v>23.110499999999998</v>
      </c>
      <c r="D59">
        <v>0</v>
      </c>
      <c r="E59" t="s">
        <v>2616</v>
      </c>
      <c r="F59" s="49">
        <f t="shared" si="3"/>
        <v>58</v>
      </c>
      <c r="J59" s="49">
        <f t="shared" si="0"/>
        <v>5.7958299999999996</v>
      </c>
      <c r="K59" s="49">
        <f t="shared" si="1"/>
        <v>55.113299999999995</v>
      </c>
      <c r="L59" s="49">
        <f t="shared" si="2"/>
        <v>9.5091298399021369</v>
      </c>
    </row>
    <row r="60" spans="1:12">
      <c r="A60" s="49">
        <v>0.57852300000000001</v>
      </c>
      <c r="B60" s="49">
        <v>0.55133299999999996</v>
      </c>
      <c r="C60">
        <v>23.511099999999999</v>
      </c>
      <c r="D60">
        <v>0</v>
      </c>
      <c r="E60" t="s">
        <v>2617</v>
      </c>
      <c r="F60" s="49">
        <f t="shared" si="3"/>
        <v>59</v>
      </c>
      <c r="J60" s="49">
        <f t="shared" si="0"/>
        <v>5.7852300000000003</v>
      </c>
      <c r="K60" s="49">
        <f t="shared" si="1"/>
        <v>55.133299999999998</v>
      </c>
      <c r="L60" s="49">
        <f t="shared" si="2"/>
        <v>9.5300100428159293</v>
      </c>
    </row>
    <row r="61" spans="1:12">
      <c r="A61" s="49">
        <v>0.57749600000000001</v>
      </c>
      <c r="B61" s="49">
        <v>0.551481</v>
      </c>
      <c r="C61">
        <v>23.918700000000001</v>
      </c>
      <c r="D61">
        <v>0</v>
      </c>
      <c r="E61" t="s">
        <v>2618</v>
      </c>
      <c r="F61" s="49">
        <f t="shared" si="3"/>
        <v>60</v>
      </c>
      <c r="J61" s="49">
        <f t="shared" si="0"/>
        <v>5.7749600000000001</v>
      </c>
      <c r="K61" s="49">
        <f t="shared" si="1"/>
        <v>55.148099999999999</v>
      </c>
      <c r="L61" s="49">
        <f t="shared" si="2"/>
        <v>9.5495206893207918</v>
      </c>
    </row>
    <row r="62" spans="1:12">
      <c r="A62" s="49">
        <v>0.57620800000000005</v>
      </c>
      <c r="B62" s="49">
        <v>0.55114099999999999</v>
      </c>
      <c r="C62">
        <v>24.326499999999999</v>
      </c>
      <c r="D62">
        <v>0</v>
      </c>
      <c r="E62" t="s">
        <v>2619</v>
      </c>
      <c r="F62" s="49">
        <f t="shared" si="3"/>
        <v>61</v>
      </c>
      <c r="J62" s="49">
        <f t="shared" si="0"/>
        <v>5.762080000000001</v>
      </c>
      <c r="K62" s="49">
        <f t="shared" si="1"/>
        <v>55.114100000000001</v>
      </c>
      <c r="L62" s="49">
        <f t="shared" si="2"/>
        <v>9.5649661233443464</v>
      </c>
    </row>
    <row r="63" spans="1:12">
      <c r="A63" s="49">
        <v>0.574627</v>
      </c>
      <c r="B63" s="49">
        <v>0.55090700000000004</v>
      </c>
      <c r="C63">
        <v>24.743400000000001</v>
      </c>
      <c r="D63">
        <v>0</v>
      </c>
      <c r="E63" t="s">
        <v>2620</v>
      </c>
      <c r="F63" s="49">
        <f t="shared" si="3"/>
        <v>62</v>
      </c>
      <c r="J63" s="49">
        <f t="shared" si="0"/>
        <v>5.74627</v>
      </c>
      <c r="K63" s="49">
        <f t="shared" si="1"/>
        <v>55.090700000000005</v>
      </c>
      <c r="L63" s="49">
        <f t="shared" si="2"/>
        <v>9.5872104861066401</v>
      </c>
    </row>
    <row r="64" spans="1:12">
      <c r="A64" s="49">
        <v>0.57353600000000005</v>
      </c>
      <c r="B64" s="49">
        <v>0.55060900000000002</v>
      </c>
      <c r="C64">
        <v>25.139900000000001</v>
      </c>
      <c r="D64">
        <v>0</v>
      </c>
      <c r="E64" t="s">
        <v>2621</v>
      </c>
      <c r="F64" s="49">
        <f t="shared" si="3"/>
        <v>63</v>
      </c>
      <c r="J64" s="49">
        <f t="shared" si="0"/>
        <v>5.73536</v>
      </c>
      <c r="K64" s="49">
        <f t="shared" si="1"/>
        <v>55.060900000000004</v>
      </c>
      <c r="L64" s="49">
        <f t="shared" si="2"/>
        <v>9.6002517714668318</v>
      </c>
    </row>
    <row r="65" spans="1:12">
      <c r="A65" s="49">
        <v>0.57308400000000004</v>
      </c>
      <c r="B65" s="49">
        <v>0.55012300000000003</v>
      </c>
      <c r="C65">
        <v>25.552600000000002</v>
      </c>
      <c r="D65">
        <v>0</v>
      </c>
      <c r="E65" t="s">
        <v>2622</v>
      </c>
      <c r="F65" s="49">
        <f t="shared" si="3"/>
        <v>64</v>
      </c>
      <c r="J65" s="49">
        <f t="shared" si="0"/>
        <v>5.7308400000000006</v>
      </c>
      <c r="K65" s="49">
        <f t="shared" si="1"/>
        <v>55.012300000000003</v>
      </c>
      <c r="L65" s="49">
        <f t="shared" si="2"/>
        <v>9.5993432027416574</v>
      </c>
    </row>
    <row r="66" spans="1:12">
      <c r="A66" s="49">
        <v>0.57262100000000005</v>
      </c>
      <c r="B66" s="49">
        <v>0.54989500000000002</v>
      </c>
      <c r="C66">
        <v>25.957000000000001</v>
      </c>
      <c r="D66">
        <v>0</v>
      </c>
      <c r="E66" t="s">
        <v>2623</v>
      </c>
      <c r="F66" s="49">
        <f t="shared" si="3"/>
        <v>65</v>
      </c>
      <c r="J66" s="49">
        <f t="shared" si="0"/>
        <v>5.72621</v>
      </c>
      <c r="K66" s="49">
        <f t="shared" si="1"/>
        <v>54.9895</v>
      </c>
      <c r="L66" s="49">
        <f t="shared" si="2"/>
        <v>9.6031231826985035</v>
      </c>
    </row>
    <row r="67" spans="1:12">
      <c r="A67" s="49">
        <v>0.57222200000000001</v>
      </c>
      <c r="B67" s="49">
        <v>0.54957</v>
      </c>
      <c r="C67">
        <v>26.353899999999999</v>
      </c>
      <c r="D67">
        <v>0</v>
      </c>
      <c r="E67" t="s">
        <v>2624</v>
      </c>
      <c r="F67" s="49">
        <f t="shared" si="3"/>
        <v>66</v>
      </c>
      <c r="J67" s="49">
        <f t="shared" ref="J67:J130" si="4">IF(A67&lt;&gt;"",A67*10,"")</f>
        <v>5.7222200000000001</v>
      </c>
      <c r="K67" s="49">
        <f t="shared" ref="K67:K130" si="5">IF(B67&lt;&gt;"",B67*100,"")</f>
        <v>54.957000000000001</v>
      </c>
      <c r="L67" s="49">
        <f t="shared" ref="L67:L130" si="6">IF(F67&lt;&gt;"",IF(K67&lt;&gt;0,K67/J67,0),"")</f>
        <v>9.6041396520930693</v>
      </c>
    </row>
    <row r="68" spans="1:12">
      <c r="A68" s="49">
        <v>0.57216699999999998</v>
      </c>
      <c r="B68" s="49">
        <v>0.548952</v>
      </c>
      <c r="C68">
        <v>26.769600000000001</v>
      </c>
      <c r="D68">
        <v>0</v>
      </c>
      <c r="E68" t="s">
        <v>2625</v>
      </c>
      <c r="F68" s="49">
        <f t="shared" ref="F68:F131" si="7">IF(A68&lt;&gt;"",F67+1,"")</f>
        <v>67</v>
      </c>
      <c r="J68" s="49">
        <f t="shared" si="4"/>
        <v>5.7216699999999996</v>
      </c>
      <c r="K68" s="49">
        <f t="shared" si="5"/>
        <v>54.895200000000003</v>
      </c>
      <c r="L68" s="49">
        <f t="shared" si="6"/>
        <v>9.5942618151693484</v>
      </c>
    </row>
    <row r="69" spans="1:12">
      <c r="A69" s="49">
        <v>0.57225400000000004</v>
      </c>
      <c r="B69" s="49">
        <v>0.54808500000000004</v>
      </c>
      <c r="C69">
        <v>27.177099999999999</v>
      </c>
      <c r="D69">
        <v>0</v>
      </c>
      <c r="E69" t="s">
        <v>2626</v>
      </c>
      <c r="F69" s="49">
        <f t="shared" si="7"/>
        <v>68</v>
      </c>
      <c r="J69" s="49">
        <f t="shared" si="4"/>
        <v>5.7225400000000004</v>
      </c>
      <c r="K69" s="49">
        <f t="shared" si="5"/>
        <v>54.808500000000002</v>
      </c>
      <c r="L69" s="49">
        <f t="shared" si="6"/>
        <v>9.5776525808469657</v>
      </c>
    </row>
    <row r="70" spans="1:12">
      <c r="A70" s="49">
        <v>0.57221500000000003</v>
      </c>
      <c r="B70" s="49">
        <v>0.54723100000000002</v>
      </c>
      <c r="C70">
        <v>27.5852</v>
      </c>
      <c r="D70">
        <v>0</v>
      </c>
      <c r="E70" t="s">
        <v>2627</v>
      </c>
      <c r="F70" s="49">
        <f t="shared" si="7"/>
        <v>69</v>
      </c>
      <c r="J70" s="49">
        <f t="shared" si="4"/>
        <v>5.7221500000000001</v>
      </c>
      <c r="K70" s="49">
        <f t="shared" si="5"/>
        <v>54.723100000000002</v>
      </c>
      <c r="L70" s="49">
        <f t="shared" si="6"/>
        <v>9.5633808970404477</v>
      </c>
    </row>
    <row r="71" spans="1:12">
      <c r="A71" s="49">
        <v>0.57188899999999998</v>
      </c>
      <c r="B71" s="49">
        <v>0.54656899999999997</v>
      </c>
      <c r="C71">
        <v>27.993600000000001</v>
      </c>
      <c r="D71">
        <v>0</v>
      </c>
      <c r="E71" t="s">
        <v>2628</v>
      </c>
      <c r="F71" s="49">
        <f t="shared" si="7"/>
        <v>70</v>
      </c>
      <c r="J71" s="49">
        <f t="shared" si="4"/>
        <v>5.71889</v>
      </c>
      <c r="K71" s="49">
        <f t="shared" si="5"/>
        <v>54.6569</v>
      </c>
      <c r="L71" s="49">
        <f t="shared" si="6"/>
        <v>9.5572567403814368</v>
      </c>
    </row>
    <row r="72" spans="1:12">
      <c r="A72" s="49">
        <v>0.57153200000000004</v>
      </c>
      <c r="B72" s="49">
        <v>0.54570399999999997</v>
      </c>
      <c r="C72">
        <v>28.384799999999998</v>
      </c>
      <c r="D72">
        <v>0</v>
      </c>
      <c r="E72" t="s">
        <v>2629</v>
      </c>
      <c r="F72" s="49">
        <f t="shared" si="7"/>
        <v>71</v>
      </c>
      <c r="J72" s="49">
        <f t="shared" si="4"/>
        <v>5.7153200000000002</v>
      </c>
      <c r="K72" s="49">
        <f t="shared" si="5"/>
        <v>54.570399999999999</v>
      </c>
      <c r="L72" s="49">
        <f t="shared" si="6"/>
        <v>9.5480917953850355</v>
      </c>
    </row>
    <row r="73" spans="1:12">
      <c r="A73" s="49">
        <v>0.57138199999999995</v>
      </c>
      <c r="B73" s="49">
        <v>0.54468300000000003</v>
      </c>
      <c r="C73">
        <v>28.793299999999999</v>
      </c>
      <c r="D73">
        <v>0</v>
      </c>
      <c r="E73" t="s">
        <v>2630</v>
      </c>
      <c r="F73" s="49">
        <f t="shared" si="7"/>
        <v>72</v>
      </c>
      <c r="J73" s="49">
        <f t="shared" si="4"/>
        <v>5.7138199999999992</v>
      </c>
      <c r="K73" s="49">
        <f t="shared" si="5"/>
        <v>54.468299999999999</v>
      </c>
      <c r="L73" s="49">
        <f t="shared" si="6"/>
        <v>9.5327294174475234</v>
      </c>
    </row>
    <row r="74" spans="1:12">
      <c r="A74" s="49">
        <v>0.57145199999999996</v>
      </c>
      <c r="B74" s="49">
        <v>0.54371899999999995</v>
      </c>
      <c r="C74">
        <v>29.196000000000002</v>
      </c>
      <c r="D74">
        <v>0</v>
      </c>
      <c r="E74" t="s">
        <v>2631</v>
      </c>
      <c r="F74" s="49">
        <f t="shared" si="7"/>
        <v>73</v>
      </c>
      <c r="J74" s="49">
        <f t="shared" si="4"/>
        <v>5.7145199999999994</v>
      </c>
      <c r="K74" s="49">
        <f t="shared" si="5"/>
        <v>54.371899999999997</v>
      </c>
      <c r="L74" s="49">
        <f t="shared" si="6"/>
        <v>9.5146923976116984</v>
      </c>
    </row>
    <row r="75" spans="1:12">
      <c r="A75" s="49">
        <v>0.57145999999999997</v>
      </c>
      <c r="B75" s="49">
        <v>0.54292499999999999</v>
      </c>
      <c r="C75">
        <v>29.6127</v>
      </c>
      <c r="D75">
        <v>0</v>
      </c>
      <c r="E75" t="s">
        <v>2632</v>
      </c>
      <c r="F75" s="49">
        <f t="shared" si="7"/>
        <v>74</v>
      </c>
      <c r="J75" s="49">
        <f t="shared" si="4"/>
        <v>5.7145999999999999</v>
      </c>
      <c r="K75" s="49">
        <f t="shared" si="5"/>
        <v>54.292499999999997</v>
      </c>
      <c r="L75" s="49">
        <f t="shared" si="6"/>
        <v>9.5006649634270115</v>
      </c>
    </row>
    <row r="76" spans="1:12">
      <c r="A76" s="49">
        <v>0.57143100000000002</v>
      </c>
      <c r="B76" s="49">
        <v>0.54220299999999999</v>
      </c>
      <c r="C76">
        <v>30.009499999999999</v>
      </c>
      <c r="D76">
        <v>0</v>
      </c>
      <c r="E76" t="s">
        <v>2633</v>
      </c>
      <c r="F76" s="49">
        <f t="shared" si="7"/>
        <v>75</v>
      </c>
      <c r="J76" s="49">
        <f t="shared" si="4"/>
        <v>5.7143100000000002</v>
      </c>
      <c r="K76" s="49">
        <f t="shared" si="5"/>
        <v>54.220300000000002</v>
      </c>
      <c r="L76" s="49">
        <f t="shared" si="6"/>
        <v>9.4885121738232616</v>
      </c>
    </row>
    <row r="77" spans="1:12">
      <c r="A77" s="49">
        <v>0.57118800000000003</v>
      </c>
      <c r="B77" s="49">
        <v>0.54128900000000002</v>
      </c>
      <c r="C77">
        <v>30.427499999999998</v>
      </c>
      <c r="D77">
        <v>0</v>
      </c>
      <c r="E77" t="s">
        <v>2634</v>
      </c>
      <c r="F77" s="49">
        <f t="shared" si="7"/>
        <v>76</v>
      </c>
      <c r="J77" s="49">
        <f t="shared" si="4"/>
        <v>5.7118800000000007</v>
      </c>
      <c r="K77" s="49">
        <f t="shared" si="5"/>
        <v>54.128900000000002</v>
      </c>
      <c r="L77" s="49">
        <f t="shared" si="6"/>
        <v>9.4765471263401881</v>
      </c>
    </row>
    <row r="78" spans="1:12">
      <c r="A78" s="49">
        <v>0.571183</v>
      </c>
      <c r="B78" s="49">
        <v>0.54046899999999998</v>
      </c>
      <c r="C78">
        <v>30.837199999999999</v>
      </c>
      <c r="D78">
        <v>0</v>
      </c>
      <c r="E78" t="s">
        <v>2635</v>
      </c>
      <c r="F78" s="49">
        <f t="shared" si="7"/>
        <v>77</v>
      </c>
      <c r="J78" s="49">
        <f t="shared" si="4"/>
        <v>5.71183</v>
      </c>
      <c r="K78" s="49">
        <f t="shared" si="5"/>
        <v>54.046900000000001</v>
      </c>
      <c r="L78" s="49">
        <f t="shared" si="6"/>
        <v>9.4622739122137745</v>
      </c>
    </row>
    <row r="79" spans="1:12">
      <c r="A79" s="49">
        <v>0.571025</v>
      </c>
      <c r="B79" s="49">
        <v>0.54008800000000001</v>
      </c>
      <c r="C79">
        <v>31.230599999999999</v>
      </c>
      <c r="D79">
        <v>0</v>
      </c>
      <c r="E79" t="s">
        <v>2636</v>
      </c>
      <c r="F79" s="49">
        <f t="shared" si="7"/>
        <v>78</v>
      </c>
      <c r="J79" s="49">
        <f t="shared" si="4"/>
        <v>5.7102500000000003</v>
      </c>
      <c r="K79" s="49">
        <f t="shared" si="5"/>
        <v>54.008800000000001</v>
      </c>
      <c r="L79" s="49">
        <f t="shared" si="6"/>
        <v>9.4582198677816205</v>
      </c>
    </row>
    <row r="80" spans="1:12">
      <c r="A80" s="49">
        <v>0.57060299999999997</v>
      </c>
      <c r="B80" s="49">
        <v>0.53966199999999998</v>
      </c>
      <c r="C80">
        <v>31.640899999999998</v>
      </c>
      <c r="D80">
        <v>0</v>
      </c>
      <c r="E80" t="s">
        <v>2637</v>
      </c>
      <c r="F80" s="49">
        <f t="shared" si="7"/>
        <v>79</v>
      </c>
      <c r="J80" s="49">
        <f t="shared" si="4"/>
        <v>5.7060300000000002</v>
      </c>
      <c r="K80" s="49">
        <f t="shared" si="5"/>
        <v>53.966200000000001</v>
      </c>
      <c r="L80" s="49">
        <f t="shared" si="6"/>
        <v>9.4577490829876467</v>
      </c>
    </row>
    <row r="81" spans="1:12">
      <c r="A81" s="49">
        <v>0.56994500000000003</v>
      </c>
      <c r="B81" s="49">
        <v>0.53890800000000005</v>
      </c>
      <c r="C81">
        <v>32.049500000000002</v>
      </c>
      <c r="D81">
        <v>0</v>
      </c>
      <c r="E81" t="s">
        <v>2638</v>
      </c>
      <c r="F81" s="49">
        <f t="shared" si="7"/>
        <v>80</v>
      </c>
      <c r="J81" s="49">
        <f t="shared" si="4"/>
        <v>5.6994500000000006</v>
      </c>
      <c r="K81" s="49">
        <f t="shared" si="5"/>
        <v>53.890800000000006</v>
      </c>
      <c r="L81" s="49">
        <f t="shared" si="6"/>
        <v>9.4554386826799082</v>
      </c>
    </row>
    <row r="82" spans="1:12">
      <c r="A82" s="49">
        <v>0.56892600000000004</v>
      </c>
      <c r="B82" s="49">
        <v>0.53786599999999996</v>
      </c>
      <c r="C82">
        <v>32.460099999999997</v>
      </c>
      <c r="D82">
        <v>0</v>
      </c>
      <c r="E82" t="s">
        <v>2639</v>
      </c>
      <c r="F82" s="49">
        <f t="shared" si="7"/>
        <v>81</v>
      </c>
      <c r="J82" s="49">
        <f t="shared" si="4"/>
        <v>5.6892600000000009</v>
      </c>
      <c r="K82" s="49">
        <f t="shared" si="5"/>
        <v>53.786599999999993</v>
      </c>
      <c r="L82" s="49">
        <f t="shared" si="6"/>
        <v>9.4540590516165519</v>
      </c>
    </row>
    <row r="83" spans="1:12">
      <c r="A83" s="49">
        <v>0.56792100000000001</v>
      </c>
      <c r="B83" s="49">
        <v>0.53703800000000002</v>
      </c>
      <c r="C83">
        <v>32.870100000000001</v>
      </c>
      <c r="D83">
        <v>0</v>
      </c>
      <c r="E83" t="s">
        <v>2640</v>
      </c>
      <c r="F83" s="49">
        <f t="shared" si="7"/>
        <v>82</v>
      </c>
      <c r="J83" s="49">
        <f t="shared" si="4"/>
        <v>5.6792100000000003</v>
      </c>
      <c r="K83" s="49">
        <f t="shared" si="5"/>
        <v>53.703800000000001</v>
      </c>
      <c r="L83" s="49">
        <f t="shared" si="6"/>
        <v>9.4562095784448896</v>
      </c>
    </row>
    <row r="84" spans="1:12">
      <c r="A84" s="49">
        <v>0.56700499999999998</v>
      </c>
      <c r="B84" s="49">
        <v>0.53608199999999995</v>
      </c>
      <c r="C84">
        <v>33.267699999999998</v>
      </c>
      <c r="D84">
        <v>0</v>
      </c>
      <c r="E84" t="s">
        <v>2641</v>
      </c>
      <c r="F84" s="49">
        <f t="shared" si="7"/>
        <v>83</v>
      </c>
      <c r="J84" s="49">
        <f t="shared" si="4"/>
        <v>5.6700499999999998</v>
      </c>
      <c r="K84" s="49">
        <f t="shared" si="5"/>
        <v>53.608199999999997</v>
      </c>
      <c r="L84" s="49">
        <f t="shared" si="6"/>
        <v>9.4546256205853556</v>
      </c>
    </row>
    <row r="85" spans="1:12">
      <c r="A85" s="49">
        <v>0.565994</v>
      </c>
      <c r="B85" s="49">
        <v>0.535076</v>
      </c>
      <c r="C85">
        <v>33.676200000000001</v>
      </c>
      <c r="D85">
        <v>0</v>
      </c>
      <c r="E85" t="s">
        <v>2642</v>
      </c>
      <c r="F85" s="49">
        <f t="shared" si="7"/>
        <v>84</v>
      </c>
      <c r="J85" s="49">
        <f t="shared" si="4"/>
        <v>5.6599399999999997</v>
      </c>
      <c r="K85" s="49">
        <f t="shared" si="5"/>
        <v>53.507599999999996</v>
      </c>
      <c r="L85" s="49">
        <f t="shared" si="6"/>
        <v>9.453739792294618</v>
      </c>
    </row>
    <row r="86" spans="1:12">
      <c r="A86" s="49">
        <v>0.56504299999999996</v>
      </c>
      <c r="B86" s="49">
        <v>0.53412999999999999</v>
      </c>
      <c r="C86">
        <v>34.076799999999999</v>
      </c>
      <c r="D86">
        <v>0</v>
      </c>
      <c r="E86" t="s">
        <v>2643</v>
      </c>
      <c r="F86" s="49">
        <f t="shared" si="7"/>
        <v>85</v>
      </c>
      <c r="J86" s="49">
        <f t="shared" si="4"/>
        <v>5.6504300000000001</v>
      </c>
      <c r="K86" s="49">
        <f t="shared" si="5"/>
        <v>53.412999999999997</v>
      </c>
      <c r="L86" s="49">
        <f t="shared" si="6"/>
        <v>9.4529088936594192</v>
      </c>
    </row>
    <row r="87" spans="1:12">
      <c r="A87" s="49">
        <v>0.56427700000000003</v>
      </c>
      <c r="B87" s="49">
        <v>0.53292899999999999</v>
      </c>
      <c r="C87">
        <v>34.476300000000002</v>
      </c>
      <c r="D87">
        <v>0</v>
      </c>
      <c r="E87" t="s">
        <v>2644</v>
      </c>
      <c r="F87" s="49">
        <f t="shared" si="7"/>
        <v>86</v>
      </c>
      <c r="J87" s="49">
        <f t="shared" si="4"/>
        <v>5.6427700000000005</v>
      </c>
      <c r="K87" s="49">
        <f t="shared" si="5"/>
        <v>53.292899999999996</v>
      </c>
      <c r="L87" s="49">
        <f t="shared" si="6"/>
        <v>9.4444572435169238</v>
      </c>
    </row>
    <row r="88" spans="1:12">
      <c r="A88" s="49">
        <v>0.56360500000000002</v>
      </c>
      <c r="B88" s="49">
        <v>0.53130299999999997</v>
      </c>
      <c r="C88">
        <v>34.895099999999999</v>
      </c>
      <c r="D88">
        <v>0</v>
      </c>
      <c r="E88" t="s">
        <v>2645</v>
      </c>
      <c r="F88" s="49">
        <f t="shared" si="7"/>
        <v>87</v>
      </c>
      <c r="J88" s="49">
        <f t="shared" si="4"/>
        <v>5.63605</v>
      </c>
      <c r="K88" s="49">
        <f t="shared" si="5"/>
        <v>53.130299999999998</v>
      </c>
      <c r="L88" s="49">
        <f t="shared" si="6"/>
        <v>9.4268681079834273</v>
      </c>
    </row>
    <row r="89" spans="1:12">
      <c r="A89" s="49">
        <v>0.56287500000000001</v>
      </c>
      <c r="B89" s="49">
        <v>0.52957600000000005</v>
      </c>
      <c r="C89">
        <v>35.307600000000001</v>
      </c>
      <c r="D89">
        <v>0</v>
      </c>
      <c r="E89" t="s">
        <v>2646</v>
      </c>
      <c r="F89" s="49">
        <f t="shared" si="7"/>
        <v>88</v>
      </c>
      <c r="J89" s="49">
        <f t="shared" si="4"/>
        <v>5.6287500000000001</v>
      </c>
      <c r="K89" s="49">
        <f t="shared" si="5"/>
        <v>52.957600000000006</v>
      </c>
      <c r="L89" s="49">
        <f t="shared" si="6"/>
        <v>9.4084121696646683</v>
      </c>
    </row>
    <row r="90" spans="1:12">
      <c r="A90" s="49">
        <v>0.56170299999999995</v>
      </c>
      <c r="B90" s="49">
        <v>0.52807000000000004</v>
      </c>
      <c r="C90">
        <v>35.706899999999997</v>
      </c>
      <c r="D90">
        <v>0</v>
      </c>
      <c r="E90" t="s">
        <v>2647</v>
      </c>
      <c r="F90" s="49">
        <f t="shared" si="7"/>
        <v>89</v>
      </c>
      <c r="J90" s="49">
        <f t="shared" si="4"/>
        <v>5.6170299999999997</v>
      </c>
      <c r="K90" s="49">
        <f t="shared" si="5"/>
        <v>52.807000000000002</v>
      </c>
      <c r="L90" s="49">
        <f t="shared" si="6"/>
        <v>9.4012316117236345</v>
      </c>
    </row>
    <row r="91" spans="1:12">
      <c r="A91" s="49">
        <v>0.56017300000000003</v>
      </c>
      <c r="B91" s="49">
        <v>0.52670099999999997</v>
      </c>
      <c r="C91">
        <v>36.110199999999999</v>
      </c>
      <c r="D91">
        <v>0</v>
      </c>
      <c r="E91" t="s">
        <v>2648</v>
      </c>
      <c r="F91" s="49">
        <f t="shared" si="7"/>
        <v>90</v>
      </c>
      <c r="J91" s="49">
        <f t="shared" si="4"/>
        <v>5.6017299999999999</v>
      </c>
      <c r="K91" s="49">
        <f t="shared" si="5"/>
        <v>52.670099999999998</v>
      </c>
      <c r="L91" s="49">
        <f t="shared" si="6"/>
        <v>9.4024703082797636</v>
      </c>
    </row>
    <row r="92" spans="1:12">
      <c r="A92" s="49">
        <v>0.55864899999999995</v>
      </c>
      <c r="B92" s="49">
        <v>0.52529499999999996</v>
      </c>
      <c r="C92">
        <v>36.515300000000003</v>
      </c>
      <c r="D92">
        <v>0</v>
      </c>
      <c r="E92" t="s">
        <v>2649</v>
      </c>
      <c r="F92" s="49">
        <f t="shared" si="7"/>
        <v>91</v>
      </c>
      <c r="J92" s="49">
        <f t="shared" si="4"/>
        <v>5.5864899999999995</v>
      </c>
      <c r="K92" s="49">
        <f t="shared" si="5"/>
        <v>52.529499999999999</v>
      </c>
      <c r="L92" s="49">
        <f t="shared" si="6"/>
        <v>9.4029524800008595</v>
      </c>
    </row>
    <row r="93" spans="1:12">
      <c r="A93" s="49">
        <v>0.55693700000000002</v>
      </c>
      <c r="B93" s="49">
        <v>0.52416399999999996</v>
      </c>
      <c r="C93">
        <v>36.919199999999996</v>
      </c>
      <c r="D93">
        <v>0</v>
      </c>
      <c r="E93" t="s">
        <v>2650</v>
      </c>
      <c r="F93" s="49">
        <f t="shared" si="7"/>
        <v>92</v>
      </c>
      <c r="J93" s="49">
        <f t="shared" si="4"/>
        <v>5.5693700000000002</v>
      </c>
      <c r="K93" s="49">
        <f t="shared" si="5"/>
        <v>52.416399999999996</v>
      </c>
      <c r="L93" s="49">
        <f t="shared" si="6"/>
        <v>9.4115492416556972</v>
      </c>
    </row>
    <row r="94" spans="1:12">
      <c r="A94" s="49">
        <v>0.55512799999999995</v>
      </c>
      <c r="B94" s="49">
        <v>0.523536</v>
      </c>
      <c r="C94">
        <v>37.325899999999997</v>
      </c>
      <c r="D94">
        <v>0</v>
      </c>
      <c r="E94" t="s">
        <v>2651</v>
      </c>
      <c r="F94" s="49">
        <f t="shared" si="7"/>
        <v>93</v>
      </c>
      <c r="J94" s="49">
        <f t="shared" si="4"/>
        <v>5.5512799999999993</v>
      </c>
      <c r="K94" s="49">
        <f t="shared" si="5"/>
        <v>52.3536</v>
      </c>
      <c r="L94" s="49">
        <f t="shared" si="6"/>
        <v>9.4309060252770536</v>
      </c>
    </row>
    <row r="95" spans="1:12">
      <c r="A95" s="49">
        <v>0.55323</v>
      </c>
      <c r="B95" s="49">
        <v>0.52302999999999999</v>
      </c>
      <c r="C95">
        <v>37.732300000000002</v>
      </c>
      <c r="D95">
        <v>0</v>
      </c>
      <c r="E95" t="s">
        <v>2652</v>
      </c>
      <c r="F95" s="49">
        <f t="shared" si="7"/>
        <v>94</v>
      </c>
      <c r="J95" s="49">
        <f t="shared" si="4"/>
        <v>5.5323000000000002</v>
      </c>
      <c r="K95" s="49">
        <f t="shared" si="5"/>
        <v>52.302999999999997</v>
      </c>
      <c r="L95" s="49">
        <f t="shared" si="6"/>
        <v>9.4541149250763681</v>
      </c>
    </row>
    <row r="96" spans="1:12">
      <c r="A96" s="49">
        <v>0.55158399999999996</v>
      </c>
      <c r="B96" s="49">
        <v>0.52235900000000002</v>
      </c>
      <c r="C96">
        <v>38.144599999999997</v>
      </c>
      <c r="D96">
        <v>0</v>
      </c>
      <c r="E96" t="s">
        <v>2653</v>
      </c>
      <c r="F96" s="49">
        <f t="shared" si="7"/>
        <v>95</v>
      </c>
      <c r="J96" s="49">
        <f t="shared" si="4"/>
        <v>5.5158399999999999</v>
      </c>
      <c r="K96" s="49">
        <f t="shared" si="5"/>
        <v>52.235900000000001</v>
      </c>
      <c r="L96" s="49">
        <f t="shared" si="6"/>
        <v>9.4701622962232417</v>
      </c>
    </row>
    <row r="97" spans="1:12">
      <c r="A97" s="49">
        <v>0.55021900000000001</v>
      </c>
      <c r="B97" s="49">
        <v>0.52132900000000004</v>
      </c>
      <c r="C97">
        <v>38.546500000000002</v>
      </c>
      <c r="D97">
        <v>0</v>
      </c>
      <c r="E97" t="s">
        <v>2654</v>
      </c>
      <c r="F97" s="49">
        <f t="shared" si="7"/>
        <v>96</v>
      </c>
      <c r="J97" s="49">
        <f t="shared" si="4"/>
        <v>5.5021900000000006</v>
      </c>
      <c r="K97" s="49">
        <f t="shared" si="5"/>
        <v>52.132900000000006</v>
      </c>
      <c r="L97" s="49">
        <f t="shared" si="6"/>
        <v>9.4749363435286682</v>
      </c>
    </row>
    <row r="98" spans="1:12">
      <c r="A98" s="49">
        <v>0.54910499999999995</v>
      </c>
      <c r="B98" s="49">
        <v>0.52037500000000003</v>
      </c>
      <c r="C98">
        <v>38.950000000000003</v>
      </c>
      <c r="D98">
        <v>0</v>
      </c>
      <c r="E98" t="s">
        <v>2655</v>
      </c>
      <c r="F98" s="49">
        <f t="shared" si="7"/>
        <v>97</v>
      </c>
      <c r="J98" s="49">
        <f t="shared" si="4"/>
        <v>5.4910499999999995</v>
      </c>
      <c r="K98" s="49">
        <f t="shared" si="5"/>
        <v>52.037500000000001</v>
      </c>
      <c r="L98" s="49">
        <f t="shared" si="6"/>
        <v>9.4767849500550909</v>
      </c>
    </row>
    <row r="99" spans="1:12">
      <c r="A99" s="49">
        <v>0.54819600000000002</v>
      </c>
      <c r="B99" s="49">
        <v>0.519015</v>
      </c>
      <c r="C99">
        <v>39.3551</v>
      </c>
      <c r="D99">
        <v>0</v>
      </c>
      <c r="E99" t="s">
        <v>2656</v>
      </c>
      <c r="F99" s="49">
        <f t="shared" si="7"/>
        <v>98</v>
      </c>
      <c r="J99" s="49">
        <f t="shared" si="4"/>
        <v>5.4819599999999999</v>
      </c>
      <c r="K99" s="49">
        <f t="shared" si="5"/>
        <v>51.901499999999999</v>
      </c>
      <c r="L99" s="49">
        <f t="shared" si="6"/>
        <v>9.4676903881093626</v>
      </c>
    </row>
    <row r="100" spans="1:12">
      <c r="A100" s="49">
        <v>0.54761300000000002</v>
      </c>
      <c r="B100" s="49">
        <v>0.517208</v>
      </c>
      <c r="C100">
        <v>39.764800000000001</v>
      </c>
      <c r="D100">
        <v>0</v>
      </c>
      <c r="E100" t="s">
        <v>2657</v>
      </c>
      <c r="F100" s="49">
        <f t="shared" si="7"/>
        <v>99</v>
      </c>
      <c r="J100" s="49">
        <f t="shared" si="4"/>
        <v>5.4761300000000004</v>
      </c>
      <c r="K100" s="49">
        <f t="shared" si="5"/>
        <v>51.720799999999997</v>
      </c>
      <c r="L100" s="49">
        <f t="shared" si="6"/>
        <v>9.4447721292226436</v>
      </c>
    </row>
    <row r="101" spans="1:12">
      <c r="A101" s="49">
        <v>0.54732800000000004</v>
      </c>
      <c r="B101" s="49">
        <v>0.51536999999999999</v>
      </c>
      <c r="C101">
        <v>40.170099999999998</v>
      </c>
      <c r="D101">
        <v>0</v>
      </c>
      <c r="E101" t="s">
        <v>2658</v>
      </c>
      <c r="F101" s="49">
        <f t="shared" si="7"/>
        <v>100</v>
      </c>
      <c r="J101" s="49">
        <f t="shared" si="4"/>
        <v>5.4732800000000008</v>
      </c>
      <c r="K101" s="49">
        <f t="shared" si="5"/>
        <v>51.536999999999999</v>
      </c>
      <c r="L101" s="49">
        <f t="shared" si="6"/>
        <v>9.4161088049579025</v>
      </c>
    </row>
    <row r="102" spans="1:12">
      <c r="A102" s="49">
        <v>0.547099</v>
      </c>
      <c r="B102" s="49">
        <v>0.51366100000000003</v>
      </c>
      <c r="C102">
        <v>40.5944</v>
      </c>
      <c r="D102">
        <v>0</v>
      </c>
      <c r="E102" t="s">
        <v>2659</v>
      </c>
      <c r="F102" s="49">
        <f t="shared" si="7"/>
        <v>101</v>
      </c>
      <c r="J102" s="49">
        <f t="shared" si="4"/>
        <v>5.4709900000000005</v>
      </c>
      <c r="K102" s="49">
        <f t="shared" si="5"/>
        <v>51.366100000000003</v>
      </c>
      <c r="L102" s="49">
        <f t="shared" si="6"/>
        <v>9.3888126280618316</v>
      </c>
    </row>
    <row r="103" spans="1:12">
      <c r="A103" s="49">
        <v>0.54674100000000003</v>
      </c>
      <c r="B103" s="49">
        <v>0.512046</v>
      </c>
      <c r="C103">
        <v>41.000700000000002</v>
      </c>
      <c r="D103">
        <v>0</v>
      </c>
      <c r="E103" t="s">
        <v>2660</v>
      </c>
      <c r="F103" s="49">
        <f t="shared" si="7"/>
        <v>102</v>
      </c>
      <c r="J103" s="49">
        <f t="shared" si="4"/>
        <v>5.4674100000000001</v>
      </c>
      <c r="K103" s="49">
        <f t="shared" si="5"/>
        <v>51.204599999999999</v>
      </c>
      <c r="L103" s="49">
        <f t="shared" si="6"/>
        <v>9.3654216530313246</v>
      </c>
    </row>
    <row r="104" spans="1:12">
      <c r="A104" s="49">
        <v>0.54664500000000005</v>
      </c>
      <c r="B104" s="49">
        <v>0.51047200000000004</v>
      </c>
      <c r="C104">
        <v>41.3977</v>
      </c>
      <c r="D104">
        <v>0</v>
      </c>
      <c r="E104" t="s">
        <v>2661</v>
      </c>
      <c r="F104" s="49">
        <f t="shared" si="7"/>
        <v>103</v>
      </c>
      <c r="J104" s="49">
        <f t="shared" si="4"/>
        <v>5.46645</v>
      </c>
      <c r="K104" s="49">
        <f t="shared" si="5"/>
        <v>51.047200000000004</v>
      </c>
      <c r="L104" s="49">
        <f t="shared" si="6"/>
        <v>9.3382725534853517</v>
      </c>
    </row>
    <row r="105" spans="1:12">
      <c r="A105" s="49">
        <v>0.54654000000000003</v>
      </c>
      <c r="B105" s="49">
        <v>0.50862300000000005</v>
      </c>
      <c r="C105">
        <v>41.799500000000002</v>
      </c>
      <c r="D105">
        <v>0</v>
      </c>
      <c r="E105" t="s">
        <v>2662</v>
      </c>
      <c r="F105" s="49">
        <f t="shared" si="7"/>
        <v>104</v>
      </c>
      <c r="J105" s="49">
        <f t="shared" si="4"/>
        <v>5.4654000000000007</v>
      </c>
      <c r="K105" s="49">
        <f t="shared" si="5"/>
        <v>50.862300000000005</v>
      </c>
      <c r="L105" s="49">
        <f t="shared" si="6"/>
        <v>9.3062355911735644</v>
      </c>
    </row>
    <row r="106" spans="1:12">
      <c r="A106" s="49">
        <v>0.54642400000000002</v>
      </c>
      <c r="B106" s="49">
        <v>0.50664399999999998</v>
      </c>
      <c r="C106">
        <v>42.202199999999998</v>
      </c>
      <c r="D106">
        <v>0</v>
      </c>
      <c r="E106" t="s">
        <v>2663</v>
      </c>
      <c r="F106" s="49">
        <f t="shared" si="7"/>
        <v>105</v>
      </c>
      <c r="J106" s="49">
        <f t="shared" si="4"/>
        <v>5.4642400000000002</v>
      </c>
      <c r="K106" s="49">
        <f t="shared" si="5"/>
        <v>50.664400000000001</v>
      </c>
      <c r="L106" s="49">
        <f t="shared" si="6"/>
        <v>9.2719939094915294</v>
      </c>
    </row>
    <row r="107" spans="1:12">
      <c r="A107" s="49">
        <v>0.54635100000000003</v>
      </c>
      <c r="B107" s="49">
        <v>0.50433300000000003</v>
      </c>
      <c r="C107">
        <v>42.610300000000002</v>
      </c>
      <c r="D107">
        <v>0</v>
      </c>
      <c r="E107" t="s">
        <v>2664</v>
      </c>
      <c r="F107" s="49">
        <f t="shared" si="7"/>
        <v>106</v>
      </c>
      <c r="J107" s="49">
        <f t="shared" si="4"/>
        <v>5.4635100000000003</v>
      </c>
      <c r="K107" s="49">
        <f t="shared" si="5"/>
        <v>50.433300000000003</v>
      </c>
      <c r="L107" s="49">
        <f t="shared" si="6"/>
        <v>9.2309339600366798</v>
      </c>
    </row>
    <row r="108" spans="1:12">
      <c r="A108" s="49">
        <v>0.54600499999999996</v>
      </c>
      <c r="B108" s="49">
        <v>0.50180800000000003</v>
      </c>
      <c r="C108">
        <v>43.017699999999998</v>
      </c>
      <c r="D108">
        <v>0</v>
      </c>
      <c r="E108" t="s">
        <v>2665</v>
      </c>
      <c r="F108" s="49">
        <f t="shared" si="7"/>
        <v>107</v>
      </c>
      <c r="J108" s="49">
        <f t="shared" si="4"/>
        <v>5.4600499999999998</v>
      </c>
      <c r="K108" s="49">
        <f t="shared" si="5"/>
        <v>50.180800000000005</v>
      </c>
      <c r="L108" s="49">
        <f t="shared" si="6"/>
        <v>9.1905385481817952</v>
      </c>
    </row>
    <row r="109" spans="1:12">
      <c r="A109" s="49">
        <v>0.54553700000000005</v>
      </c>
      <c r="B109" s="49">
        <v>0.49934800000000001</v>
      </c>
      <c r="C109">
        <v>43.431399999999996</v>
      </c>
      <c r="D109">
        <v>0</v>
      </c>
      <c r="E109" t="s">
        <v>2666</v>
      </c>
      <c r="F109" s="49">
        <f t="shared" si="7"/>
        <v>108</v>
      </c>
      <c r="J109" s="49">
        <f t="shared" si="4"/>
        <v>5.4553700000000003</v>
      </c>
      <c r="K109" s="49">
        <f t="shared" si="5"/>
        <v>49.934800000000003</v>
      </c>
      <c r="L109" s="49">
        <f t="shared" si="6"/>
        <v>9.1533296550004852</v>
      </c>
    </row>
    <row r="110" spans="1:12">
      <c r="A110" s="49">
        <v>0.54488099999999995</v>
      </c>
      <c r="B110" s="49">
        <v>0.49672899999999998</v>
      </c>
      <c r="C110">
        <v>43.819899999999997</v>
      </c>
      <c r="D110">
        <v>0</v>
      </c>
      <c r="E110" t="s">
        <v>2667</v>
      </c>
      <c r="F110" s="49">
        <f t="shared" si="7"/>
        <v>109</v>
      </c>
      <c r="J110" s="49">
        <f t="shared" si="4"/>
        <v>5.4488099999999999</v>
      </c>
      <c r="K110" s="49">
        <f t="shared" si="5"/>
        <v>49.672899999999998</v>
      </c>
      <c r="L110" s="49">
        <f t="shared" si="6"/>
        <v>9.1162841060708661</v>
      </c>
    </row>
    <row r="111" spans="1:12">
      <c r="A111" s="49">
        <v>0.54409399999999997</v>
      </c>
      <c r="B111" s="49">
        <v>0.49374499999999999</v>
      </c>
      <c r="C111">
        <v>44.2348</v>
      </c>
      <c r="D111">
        <v>0</v>
      </c>
      <c r="E111" t="s">
        <v>2668</v>
      </c>
      <c r="F111" s="49">
        <f t="shared" si="7"/>
        <v>110</v>
      </c>
      <c r="J111" s="49">
        <f t="shared" si="4"/>
        <v>5.4409399999999994</v>
      </c>
      <c r="K111" s="49">
        <f t="shared" si="5"/>
        <v>49.374499999999998</v>
      </c>
      <c r="L111" s="49">
        <f t="shared" si="6"/>
        <v>9.0746268108084269</v>
      </c>
    </row>
    <row r="112" spans="1:12">
      <c r="A112" s="49">
        <v>0.54348200000000002</v>
      </c>
      <c r="B112" s="49">
        <v>0.49085400000000001</v>
      </c>
      <c r="C112">
        <v>44.652799999999999</v>
      </c>
      <c r="D112">
        <v>0</v>
      </c>
      <c r="E112" t="s">
        <v>2669</v>
      </c>
      <c r="F112" s="49">
        <f t="shared" si="7"/>
        <v>111</v>
      </c>
      <c r="J112" s="49">
        <f t="shared" si="4"/>
        <v>5.4348200000000002</v>
      </c>
      <c r="K112" s="49">
        <f t="shared" si="5"/>
        <v>49.0854</v>
      </c>
      <c r="L112" s="49">
        <f t="shared" si="6"/>
        <v>9.0316514622379387</v>
      </c>
    </row>
    <row r="113" spans="1:12">
      <c r="A113" s="49">
        <v>0.54284299999999996</v>
      </c>
      <c r="B113" s="49">
        <v>0.48784300000000003</v>
      </c>
      <c r="C113">
        <v>45.0471</v>
      </c>
      <c r="D113">
        <v>0</v>
      </c>
      <c r="E113" t="s">
        <v>2670</v>
      </c>
      <c r="F113" s="49">
        <f t="shared" si="7"/>
        <v>112</v>
      </c>
      <c r="J113" s="49">
        <f t="shared" si="4"/>
        <v>5.4284299999999996</v>
      </c>
      <c r="K113" s="49">
        <f t="shared" si="5"/>
        <v>48.784300000000002</v>
      </c>
      <c r="L113" s="49">
        <f t="shared" si="6"/>
        <v>8.9868157091461072</v>
      </c>
    </row>
    <row r="114" spans="1:12">
      <c r="A114" s="49">
        <v>0.54193000000000002</v>
      </c>
      <c r="B114" s="49">
        <v>0.48492800000000003</v>
      </c>
      <c r="C114">
        <v>45.456000000000003</v>
      </c>
      <c r="D114">
        <v>0</v>
      </c>
      <c r="E114" t="s">
        <v>2671</v>
      </c>
      <c r="F114" s="49">
        <f t="shared" si="7"/>
        <v>113</v>
      </c>
      <c r="J114" s="49">
        <f t="shared" si="4"/>
        <v>5.4192999999999998</v>
      </c>
      <c r="K114" s="49">
        <f t="shared" si="5"/>
        <v>48.492800000000003</v>
      </c>
      <c r="L114" s="49">
        <f t="shared" si="6"/>
        <v>8.948166737401511</v>
      </c>
    </row>
    <row r="115" spans="1:12">
      <c r="A115" s="49">
        <v>0.54102499999999998</v>
      </c>
      <c r="B115" s="49">
        <v>0.48182399999999997</v>
      </c>
      <c r="C115">
        <v>45.863100000000003</v>
      </c>
      <c r="D115">
        <v>0</v>
      </c>
      <c r="E115" t="s">
        <v>2672</v>
      </c>
      <c r="F115" s="49">
        <f t="shared" si="7"/>
        <v>114</v>
      </c>
      <c r="J115" s="49">
        <f t="shared" si="4"/>
        <v>5.4102499999999996</v>
      </c>
      <c r="K115" s="49">
        <f t="shared" si="5"/>
        <v>48.182399999999994</v>
      </c>
      <c r="L115" s="49">
        <f t="shared" si="6"/>
        <v>8.9057622106187324</v>
      </c>
    </row>
    <row r="116" spans="1:12">
      <c r="A116" s="49">
        <v>0.54041799999999995</v>
      </c>
      <c r="B116" s="49">
        <v>0.47836899999999999</v>
      </c>
      <c r="C116">
        <v>46.276400000000002</v>
      </c>
      <c r="D116">
        <v>0</v>
      </c>
      <c r="E116" t="s">
        <v>2673</v>
      </c>
      <c r="F116" s="49">
        <f t="shared" si="7"/>
        <v>115</v>
      </c>
      <c r="J116" s="49">
        <f t="shared" si="4"/>
        <v>5.4041799999999993</v>
      </c>
      <c r="K116" s="49">
        <f t="shared" si="5"/>
        <v>47.8369</v>
      </c>
      <c r="L116" s="49">
        <f t="shared" si="6"/>
        <v>8.8518332105888415</v>
      </c>
    </row>
    <row r="117" spans="1:12">
      <c r="A117" s="49">
        <v>0.539937</v>
      </c>
      <c r="B117" s="49">
        <v>0.4743</v>
      </c>
      <c r="C117">
        <v>46.682099999999998</v>
      </c>
      <c r="D117">
        <v>0</v>
      </c>
      <c r="E117" t="s">
        <v>2674</v>
      </c>
      <c r="F117" s="49">
        <f t="shared" si="7"/>
        <v>116</v>
      </c>
      <c r="J117" s="49">
        <f t="shared" si="4"/>
        <v>5.3993700000000002</v>
      </c>
      <c r="K117" s="49">
        <f t="shared" si="5"/>
        <v>47.43</v>
      </c>
      <c r="L117" s="49">
        <f t="shared" si="6"/>
        <v>8.7843581751204312</v>
      </c>
    </row>
    <row r="118" spans="1:12">
      <c r="A118" s="49">
        <v>0.53946400000000005</v>
      </c>
      <c r="B118" s="49">
        <v>0.46973300000000001</v>
      </c>
      <c r="C118">
        <v>47.078299999999999</v>
      </c>
      <c r="D118">
        <v>0</v>
      </c>
      <c r="E118" t="s">
        <v>2675</v>
      </c>
      <c r="F118" s="49">
        <f t="shared" si="7"/>
        <v>117</v>
      </c>
      <c r="J118" s="49">
        <f t="shared" si="4"/>
        <v>5.3946400000000008</v>
      </c>
      <c r="K118" s="49">
        <f t="shared" si="5"/>
        <v>46.973300000000002</v>
      </c>
      <c r="L118" s="49">
        <f t="shared" si="6"/>
        <v>8.7074021621461295</v>
      </c>
    </row>
    <row r="119" spans="1:12">
      <c r="A119" s="49">
        <v>0.53885000000000005</v>
      </c>
      <c r="B119" s="49">
        <v>0.46481099999999997</v>
      </c>
      <c r="C119">
        <v>47.481099999999998</v>
      </c>
      <c r="D119">
        <v>0</v>
      </c>
      <c r="E119" t="s">
        <v>2676</v>
      </c>
      <c r="F119" s="49">
        <f t="shared" si="7"/>
        <v>118</v>
      </c>
      <c r="J119" s="49">
        <f t="shared" si="4"/>
        <v>5.3885000000000005</v>
      </c>
      <c r="K119" s="49">
        <f t="shared" si="5"/>
        <v>46.481099999999998</v>
      </c>
      <c r="L119" s="49">
        <f t="shared" si="6"/>
        <v>8.6259812563793243</v>
      </c>
    </row>
    <row r="120" spans="1:12">
      <c r="A120" s="49">
        <v>0.53820800000000002</v>
      </c>
      <c r="B120" s="49">
        <v>0.459534</v>
      </c>
      <c r="C120">
        <v>47.888500000000001</v>
      </c>
      <c r="D120">
        <v>0</v>
      </c>
      <c r="E120" t="s">
        <v>2677</v>
      </c>
      <c r="F120" s="49">
        <f t="shared" si="7"/>
        <v>119</v>
      </c>
      <c r="J120" s="49">
        <f t="shared" si="4"/>
        <v>5.3820800000000002</v>
      </c>
      <c r="K120" s="49">
        <f t="shared" si="5"/>
        <v>45.953400000000002</v>
      </c>
      <c r="L120" s="49">
        <f t="shared" si="6"/>
        <v>8.5382231404958677</v>
      </c>
    </row>
    <row r="121" spans="1:12">
      <c r="A121" s="49">
        <v>0.537547</v>
      </c>
      <c r="B121" s="49">
        <v>0.45373200000000002</v>
      </c>
      <c r="C121">
        <v>48.302999999999997</v>
      </c>
      <c r="D121">
        <v>0</v>
      </c>
      <c r="E121" t="s">
        <v>2678</v>
      </c>
      <c r="F121" s="49">
        <f t="shared" si="7"/>
        <v>120</v>
      </c>
      <c r="J121" s="49">
        <f t="shared" si="4"/>
        <v>5.37547</v>
      </c>
      <c r="K121" s="49">
        <f t="shared" si="5"/>
        <v>45.373200000000004</v>
      </c>
      <c r="L121" s="49">
        <f t="shared" si="6"/>
        <v>8.4407875032322757</v>
      </c>
    </row>
    <row r="122" spans="1:12">
      <c r="A122" s="49">
        <v>0.53680399999999995</v>
      </c>
      <c r="B122" s="49">
        <v>0.44783600000000001</v>
      </c>
      <c r="C122">
        <v>48.705800000000004</v>
      </c>
      <c r="D122">
        <v>0</v>
      </c>
      <c r="E122" t="s">
        <v>2679</v>
      </c>
      <c r="F122" s="49">
        <f t="shared" si="7"/>
        <v>121</v>
      </c>
      <c r="J122" s="49">
        <f t="shared" si="4"/>
        <v>5.3680399999999997</v>
      </c>
      <c r="K122" s="49">
        <f t="shared" si="5"/>
        <v>44.7836</v>
      </c>
      <c r="L122" s="49">
        <f t="shared" si="6"/>
        <v>8.3426353007801737</v>
      </c>
    </row>
    <row r="123" spans="1:12">
      <c r="A123" s="49">
        <v>0.53600899999999996</v>
      </c>
      <c r="B123" s="49">
        <v>0.44212099999999999</v>
      </c>
      <c r="C123">
        <v>49.110100000000003</v>
      </c>
      <c r="D123">
        <v>0</v>
      </c>
      <c r="E123" t="s">
        <v>2680</v>
      </c>
      <c r="F123" s="49">
        <f t="shared" si="7"/>
        <v>122</v>
      </c>
      <c r="J123" s="49">
        <f t="shared" si="4"/>
        <v>5.3600899999999996</v>
      </c>
      <c r="K123" s="49">
        <f t="shared" si="5"/>
        <v>44.2121</v>
      </c>
      <c r="L123" s="49">
        <f t="shared" si="6"/>
        <v>8.2483876203571214</v>
      </c>
    </row>
    <row r="124" spans="1:12">
      <c r="A124" s="49">
        <v>0.53528900000000001</v>
      </c>
      <c r="B124" s="49">
        <v>0.43999199999999999</v>
      </c>
      <c r="C124">
        <v>49.517400000000002</v>
      </c>
      <c r="D124">
        <v>0</v>
      </c>
      <c r="E124" t="s">
        <v>2681</v>
      </c>
      <c r="F124" s="49">
        <f t="shared" si="7"/>
        <v>123</v>
      </c>
      <c r="J124" s="49">
        <f t="shared" si="4"/>
        <v>5.3528900000000004</v>
      </c>
      <c r="K124" s="49">
        <f t="shared" si="5"/>
        <v>43.999200000000002</v>
      </c>
      <c r="L124" s="49">
        <f t="shared" si="6"/>
        <v>8.2197093532652445</v>
      </c>
    </row>
    <row r="125" spans="1:12">
      <c r="A125" s="49">
        <v>0.53434899999999996</v>
      </c>
      <c r="B125" s="49">
        <v>0.43821199999999999</v>
      </c>
      <c r="C125">
        <v>49.915100000000002</v>
      </c>
      <c r="D125">
        <v>0</v>
      </c>
      <c r="E125" t="s">
        <v>2682</v>
      </c>
      <c r="F125" s="49">
        <f t="shared" si="7"/>
        <v>124</v>
      </c>
      <c r="J125" s="49">
        <f t="shared" si="4"/>
        <v>5.3434899999999992</v>
      </c>
      <c r="K125" s="49">
        <f t="shared" si="5"/>
        <v>43.821199999999997</v>
      </c>
      <c r="L125" s="49">
        <f t="shared" si="6"/>
        <v>8.2008574920136468</v>
      </c>
    </row>
    <row r="126" spans="1:12">
      <c r="A126" s="49">
        <v>0.53318200000000004</v>
      </c>
      <c r="B126" s="49">
        <v>0.43627700000000003</v>
      </c>
      <c r="C126">
        <v>50.321199999999997</v>
      </c>
      <c r="D126">
        <v>0</v>
      </c>
      <c r="E126" t="s">
        <v>2683</v>
      </c>
      <c r="F126" s="49">
        <f t="shared" si="7"/>
        <v>125</v>
      </c>
      <c r="J126" s="49">
        <f t="shared" si="4"/>
        <v>5.3318200000000004</v>
      </c>
      <c r="K126" s="49">
        <f t="shared" si="5"/>
        <v>43.627700000000004</v>
      </c>
      <c r="L126" s="49">
        <f t="shared" si="6"/>
        <v>8.1825155387841306</v>
      </c>
    </row>
    <row r="127" spans="1:12">
      <c r="A127" s="49">
        <v>0.53204600000000002</v>
      </c>
      <c r="B127" s="49">
        <v>0.43396600000000002</v>
      </c>
      <c r="C127">
        <v>50.734200000000001</v>
      </c>
      <c r="D127">
        <v>0</v>
      </c>
      <c r="E127" t="s">
        <v>2684</v>
      </c>
      <c r="F127" s="49">
        <f t="shared" si="7"/>
        <v>126</v>
      </c>
      <c r="J127" s="49">
        <f t="shared" si="4"/>
        <v>5.3204600000000006</v>
      </c>
      <c r="K127" s="49">
        <f t="shared" si="5"/>
        <v>43.396599999999999</v>
      </c>
      <c r="L127" s="49">
        <f t="shared" si="6"/>
        <v>8.1565503734639471</v>
      </c>
    </row>
    <row r="128" spans="1:12">
      <c r="A128" s="49">
        <v>0.53076199999999996</v>
      </c>
      <c r="B128" s="49">
        <v>0.43160700000000002</v>
      </c>
      <c r="C128">
        <v>51.138500000000001</v>
      </c>
      <c r="D128">
        <v>0</v>
      </c>
      <c r="E128" t="s">
        <v>2685</v>
      </c>
      <c r="F128" s="49">
        <f t="shared" si="7"/>
        <v>127</v>
      </c>
      <c r="J128" s="49">
        <f t="shared" si="4"/>
        <v>5.30762</v>
      </c>
      <c r="K128" s="49">
        <f t="shared" si="5"/>
        <v>43.160699999999999</v>
      </c>
      <c r="L128" s="49">
        <f t="shared" si="6"/>
        <v>8.1318368685022655</v>
      </c>
    </row>
    <row r="129" spans="1:12">
      <c r="A129" s="49">
        <v>0.52950600000000003</v>
      </c>
      <c r="B129" s="49">
        <v>0.42882999999999999</v>
      </c>
      <c r="C129">
        <v>51.550699999999999</v>
      </c>
      <c r="D129">
        <v>0</v>
      </c>
      <c r="E129" t="s">
        <v>2686</v>
      </c>
      <c r="F129" s="49">
        <f t="shared" si="7"/>
        <v>128</v>
      </c>
      <c r="J129" s="49">
        <f t="shared" si="4"/>
        <v>5.2950600000000003</v>
      </c>
      <c r="K129" s="49">
        <f t="shared" si="5"/>
        <v>42.882999999999996</v>
      </c>
      <c r="L129" s="49">
        <f t="shared" si="6"/>
        <v>8.0986806570652625</v>
      </c>
    </row>
    <row r="130" spans="1:12">
      <c r="A130" s="49">
        <v>0.52850699999999995</v>
      </c>
      <c r="B130" s="49">
        <v>0.42549999999999999</v>
      </c>
      <c r="C130">
        <v>51.948500000000003</v>
      </c>
      <c r="D130">
        <v>0</v>
      </c>
      <c r="E130" t="s">
        <v>2687</v>
      </c>
      <c r="F130" s="49">
        <f t="shared" si="7"/>
        <v>129</v>
      </c>
      <c r="J130" s="49">
        <f t="shared" si="4"/>
        <v>5.2850699999999993</v>
      </c>
      <c r="K130" s="49">
        <f t="shared" si="5"/>
        <v>42.55</v>
      </c>
      <c r="L130" s="49">
        <f t="shared" si="6"/>
        <v>8.0509813493482589</v>
      </c>
    </row>
    <row r="131" spans="1:12">
      <c r="A131" s="49">
        <v>0.52768599999999999</v>
      </c>
      <c r="B131" s="49">
        <v>0.421898</v>
      </c>
      <c r="C131">
        <v>52.356400000000001</v>
      </c>
      <c r="D131">
        <v>0</v>
      </c>
      <c r="E131" t="s">
        <v>2688</v>
      </c>
      <c r="F131" s="49">
        <f t="shared" si="7"/>
        <v>130</v>
      </c>
      <c r="J131" s="49">
        <f t="shared" ref="J131:J194" si="8">IF(A131&lt;&gt;"",A131*10,"")</f>
        <v>5.2768600000000001</v>
      </c>
      <c r="K131" s="49">
        <f t="shared" ref="K131:K194" si="9">IF(B131&lt;&gt;"",B131*100,"")</f>
        <v>42.189799999999998</v>
      </c>
      <c r="L131" s="49">
        <f t="shared" ref="L131:L194" si="10">IF(F131&lt;&gt;"",IF(K131&lt;&gt;0,K131/J131,0),"")</f>
        <v>7.9952471735084876</v>
      </c>
    </row>
    <row r="132" spans="1:12">
      <c r="A132" s="49">
        <v>0.52705400000000002</v>
      </c>
      <c r="B132" s="49">
        <v>0.418433</v>
      </c>
      <c r="C132">
        <v>52.762700000000002</v>
      </c>
      <c r="D132">
        <v>0</v>
      </c>
      <c r="E132" t="s">
        <v>2689</v>
      </c>
      <c r="F132" s="49">
        <f t="shared" ref="F132:F195" si="11">IF(A132&lt;&gt;"",F131+1,"")</f>
        <v>131</v>
      </c>
      <c r="J132" s="49">
        <f t="shared" si="8"/>
        <v>5.2705400000000004</v>
      </c>
      <c r="K132" s="49">
        <f t="shared" si="9"/>
        <v>41.843299999999999</v>
      </c>
      <c r="L132" s="49">
        <f t="shared" si="10"/>
        <v>7.9390916300796492</v>
      </c>
    </row>
    <row r="133" spans="1:12">
      <c r="A133" s="49">
        <v>0.52651800000000004</v>
      </c>
      <c r="B133" s="49">
        <v>0.41479700000000003</v>
      </c>
      <c r="C133">
        <v>53.1691</v>
      </c>
      <c r="D133">
        <v>0</v>
      </c>
      <c r="E133" t="s">
        <v>2690</v>
      </c>
      <c r="F133" s="49">
        <f t="shared" si="11"/>
        <v>132</v>
      </c>
      <c r="J133" s="49">
        <f t="shared" si="8"/>
        <v>5.2651800000000009</v>
      </c>
      <c r="K133" s="49">
        <f t="shared" si="9"/>
        <v>41.479700000000001</v>
      </c>
      <c r="L133" s="49">
        <f t="shared" si="10"/>
        <v>7.8781162277452994</v>
      </c>
    </row>
    <row r="134" spans="1:12">
      <c r="A134" s="49">
        <v>0.52605000000000002</v>
      </c>
      <c r="B134" s="49">
        <v>0.41095999999999999</v>
      </c>
      <c r="C134">
        <v>53.574100000000001</v>
      </c>
      <c r="D134">
        <v>0</v>
      </c>
      <c r="E134" t="s">
        <v>2691</v>
      </c>
      <c r="F134" s="49">
        <f t="shared" si="11"/>
        <v>133</v>
      </c>
      <c r="J134" s="49">
        <f t="shared" si="8"/>
        <v>5.2605000000000004</v>
      </c>
      <c r="K134" s="49">
        <f t="shared" si="9"/>
        <v>41.095999999999997</v>
      </c>
      <c r="L134" s="49">
        <f t="shared" si="10"/>
        <v>7.8121851535025177</v>
      </c>
    </row>
    <row r="135" spans="1:12">
      <c r="A135" s="49">
        <v>0.52572799999999997</v>
      </c>
      <c r="B135" s="49">
        <v>0.40715899999999999</v>
      </c>
      <c r="C135">
        <v>53.981299999999997</v>
      </c>
      <c r="D135">
        <v>0</v>
      </c>
      <c r="E135" t="s">
        <v>2692</v>
      </c>
      <c r="F135" s="49">
        <f t="shared" si="11"/>
        <v>134</v>
      </c>
      <c r="J135" s="49">
        <f t="shared" si="8"/>
        <v>5.2572799999999997</v>
      </c>
      <c r="K135" s="49">
        <f t="shared" si="9"/>
        <v>40.715899999999998</v>
      </c>
      <c r="L135" s="49">
        <f t="shared" si="10"/>
        <v>7.7446702477326674</v>
      </c>
    </row>
    <row r="136" spans="1:12">
      <c r="A136" s="49">
        <v>0.52551800000000004</v>
      </c>
      <c r="B136" s="49">
        <v>0.40328900000000001</v>
      </c>
      <c r="C136">
        <v>54.3917</v>
      </c>
      <c r="D136">
        <v>0</v>
      </c>
      <c r="E136" t="s">
        <v>2693</v>
      </c>
      <c r="F136" s="49">
        <f t="shared" si="11"/>
        <v>135</v>
      </c>
      <c r="J136" s="49">
        <f t="shared" si="8"/>
        <v>5.2551800000000002</v>
      </c>
      <c r="K136" s="49">
        <f t="shared" si="9"/>
        <v>40.328900000000004</v>
      </c>
      <c r="L136" s="49">
        <f t="shared" si="10"/>
        <v>7.6741234363047512</v>
      </c>
    </row>
    <row r="137" spans="1:12">
      <c r="A137" s="49">
        <v>0.52504499999999998</v>
      </c>
      <c r="B137" s="49">
        <v>0.39922600000000003</v>
      </c>
      <c r="C137">
        <v>54.801099999999998</v>
      </c>
      <c r="D137">
        <v>0</v>
      </c>
      <c r="E137" t="s">
        <v>2694</v>
      </c>
      <c r="F137" s="49">
        <f t="shared" si="11"/>
        <v>136</v>
      </c>
      <c r="J137" s="49">
        <f t="shared" si="8"/>
        <v>5.2504499999999998</v>
      </c>
      <c r="K137" s="49">
        <f t="shared" si="9"/>
        <v>39.922600000000003</v>
      </c>
      <c r="L137" s="49">
        <f t="shared" si="10"/>
        <v>7.6036530202173154</v>
      </c>
    </row>
    <row r="138" spans="1:12">
      <c r="A138" s="49">
        <v>0.52479200000000004</v>
      </c>
      <c r="B138" s="49">
        <v>0.39508900000000002</v>
      </c>
      <c r="C138">
        <v>55.2012</v>
      </c>
      <c r="D138">
        <v>0</v>
      </c>
      <c r="E138" t="s">
        <v>2695</v>
      </c>
      <c r="F138" s="49">
        <f t="shared" si="11"/>
        <v>137</v>
      </c>
      <c r="J138" s="49">
        <f t="shared" si="8"/>
        <v>5.2479200000000006</v>
      </c>
      <c r="K138" s="49">
        <f t="shared" si="9"/>
        <v>39.508900000000004</v>
      </c>
      <c r="L138" s="49">
        <f t="shared" si="10"/>
        <v>7.5284874769432459</v>
      </c>
    </row>
    <row r="139" spans="1:12">
      <c r="A139" s="49">
        <v>0.52458499999999997</v>
      </c>
      <c r="B139" s="49">
        <v>0.39071</v>
      </c>
      <c r="C139">
        <v>55.607799999999997</v>
      </c>
      <c r="D139">
        <v>0</v>
      </c>
      <c r="E139" t="s">
        <v>2696</v>
      </c>
      <c r="F139" s="49">
        <f t="shared" si="11"/>
        <v>138</v>
      </c>
      <c r="J139" s="49">
        <f t="shared" si="8"/>
        <v>5.2458499999999999</v>
      </c>
      <c r="K139" s="49">
        <f t="shared" si="9"/>
        <v>39.070999999999998</v>
      </c>
      <c r="L139" s="49">
        <f t="shared" si="10"/>
        <v>7.4479826910796154</v>
      </c>
    </row>
    <row r="140" spans="1:12">
      <c r="A140" s="49">
        <v>0.52453700000000003</v>
      </c>
      <c r="B140" s="49">
        <v>0.38581100000000002</v>
      </c>
      <c r="C140">
        <v>56.011099999999999</v>
      </c>
      <c r="D140">
        <v>0</v>
      </c>
      <c r="E140" t="s">
        <v>2697</v>
      </c>
      <c r="F140" s="49">
        <f t="shared" si="11"/>
        <v>139</v>
      </c>
      <c r="J140" s="49">
        <f t="shared" si="8"/>
        <v>5.2453700000000003</v>
      </c>
      <c r="K140" s="49">
        <f t="shared" si="9"/>
        <v>38.581099999999999</v>
      </c>
      <c r="L140" s="49">
        <f t="shared" si="10"/>
        <v>7.3552675979006246</v>
      </c>
    </row>
    <row r="141" spans="1:12">
      <c r="A141" s="49">
        <v>0.52463700000000002</v>
      </c>
      <c r="B141" s="49">
        <v>0.38042599999999999</v>
      </c>
      <c r="C141">
        <v>56.433300000000003</v>
      </c>
      <c r="D141">
        <v>0</v>
      </c>
      <c r="E141" t="s">
        <v>2698</v>
      </c>
      <c r="F141" s="49">
        <f t="shared" si="11"/>
        <v>140</v>
      </c>
      <c r="J141" s="49">
        <f t="shared" si="8"/>
        <v>5.2463700000000006</v>
      </c>
      <c r="K141" s="49">
        <f t="shared" si="9"/>
        <v>38.0426</v>
      </c>
      <c r="L141" s="49">
        <f t="shared" si="10"/>
        <v>7.2512232267262879</v>
      </c>
    </row>
    <row r="142" spans="1:12">
      <c r="A142" s="49">
        <v>0.52484299999999995</v>
      </c>
      <c r="B142" s="49">
        <v>0.37502400000000002</v>
      </c>
      <c r="C142">
        <v>56.841999999999999</v>
      </c>
      <c r="D142">
        <v>0</v>
      </c>
      <c r="E142" t="s">
        <v>2699</v>
      </c>
      <c r="F142" s="49">
        <f t="shared" si="11"/>
        <v>141</v>
      </c>
      <c r="J142" s="49">
        <f t="shared" si="8"/>
        <v>5.248429999999999</v>
      </c>
      <c r="K142" s="49">
        <f t="shared" si="9"/>
        <v>37.502400000000002</v>
      </c>
      <c r="L142" s="49">
        <f t="shared" si="10"/>
        <v>7.1454511158575054</v>
      </c>
    </row>
    <row r="143" spans="1:12">
      <c r="A143" s="49">
        <v>0.52516300000000005</v>
      </c>
      <c r="B143" s="49">
        <v>0.36971700000000002</v>
      </c>
      <c r="C143">
        <v>57.244999999999997</v>
      </c>
      <c r="D143">
        <v>0</v>
      </c>
      <c r="E143" t="s">
        <v>2700</v>
      </c>
      <c r="F143" s="49">
        <f t="shared" si="11"/>
        <v>142</v>
      </c>
      <c r="J143" s="49">
        <f t="shared" si="8"/>
        <v>5.2516300000000005</v>
      </c>
      <c r="K143" s="49">
        <f t="shared" si="9"/>
        <v>36.971699999999998</v>
      </c>
      <c r="L143" s="49">
        <f t="shared" si="10"/>
        <v>7.0400428057574498</v>
      </c>
    </row>
    <row r="144" spans="1:12">
      <c r="A144" s="49">
        <v>0.52624099999999996</v>
      </c>
      <c r="B144" s="49">
        <v>0.36410500000000001</v>
      </c>
      <c r="C144">
        <v>57.658700000000003</v>
      </c>
      <c r="D144">
        <v>0</v>
      </c>
      <c r="E144" t="s">
        <v>2701</v>
      </c>
      <c r="F144" s="49">
        <f t="shared" si="11"/>
        <v>143</v>
      </c>
      <c r="J144" s="49">
        <f t="shared" si="8"/>
        <v>5.2624099999999991</v>
      </c>
      <c r="K144" s="49">
        <f t="shared" si="9"/>
        <v>36.410499999999999</v>
      </c>
      <c r="L144" s="49">
        <f t="shared" si="10"/>
        <v>6.918978186800345</v>
      </c>
    </row>
    <row r="145" spans="1:12">
      <c r="A145" s="49">
        <v>0.52723500000000001</v>
      </c>
      <c r="B145" s="49">
        <v>0.35947299999999999</v>
      </c>
      <c r="C145">
        <v>58.06</v>
      </c>
      <c r="D145">
        <v>0</v>
      </c>
      <c r="E145" t="s">
        <v>2702</v>
      </c>
      <c r="F145" s="49">
        <f t="shared" si="11"/>
        <v>144</v>
      </c>
      <c r="J145" s="49">
        <f t="shared" si="8"/>
        <v>5.2723500000000003</v>
      </c>
      <c r="K145" s="49">
        <f t="shared" si="9"/>
        <v>35.947299999999998</v>
      </c>
      <c r="L145" s="49">
        <f t="shared" si="10"/>
        <v>6.8180792246341761</v>
      </c>
    </row>
    <row r="146" spans="1:12">
      <c r="A146" s="49">
        <v>0.52747599999999994</v>
      </c>
      <c r="B146" s="49">
        <v>0.35736899999999999</v>
      </c>
      <c r="C146">
        <v>58.465400000000002</v>
      </c>
      <c r="D146">
        <v>0</v>
      </c>
      <c r="E146" t="s">
        <v>2703</v>
      </c>
      <c r="F146" s="49">
        <f t="shared" si="11"/>
        <v>145</v>
      </c>
      <c r="J146" s="49">
        <f t="shared" si="8"/>
        <v>5.2747599999999997</v>
      </c>
      <c r="K146" s="49">
        <f t="shared" si="9"/>
        <v>35.736899999999999</v>
      </c>
      <c r="L146" s="49">
        <f t="shared" si="10"/>
        <v>6.7750760224161857</v>
      </c>
    </row>
    <row r="147" spans="1:12">
      <c r="A147" s="49">
        <v>0.52876699999999999</v>
      </c>
      <c r="B147" s="49">
        <v>0.35945300000000002</v>
      </c>
      <c r="C147">
        <v>58.881599999999999</v>
      </c>
      <c r="D147">
        <v>0</v>
      </c>
      <c r="E147" t="s">
        <v>2704</v>
      </c>
      <c r="F147" s="49">
        <f t="shared" si="11"/>
        <v>146</v>
      </c>
      <c r="J147" s="49">
        <f t="shared" si="8"/>
        <v>5.2876700000000003</v>
      </c>
      <c r="K147" s="49">
        <f t="shared" si="9"/>
        <v>35.945300000000003</v>
      </c>
      <c r="L147" s="49">
        <f t="shared" si="10"/>
        <v>6.7979469218010964</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45854.539027777777</v>
      </c>
      <c r="B2" t="s">
        <v>2705</v>
      </c>
      <c r="C2" s="49"/>
      <c r="D2" s="49"/>
      <c r="E2" s="49">
        <v>4.9234099999999996</v>
      </c>
      <c r="F2" s="49">
        <v>2.7156799999999999</v>
      </c>
      <c r="G2" s="49">
        <v>0.47032499999999999</v>
      </c>
      <c r="H2" s="49">
        <v>0</v>
      </c>
      <c r="I2" s="49">
        <v>20.892700000000001</v>
      </c>
      <c r="J2" s="49">
        <v>145</v>
      </c>
      <c r="K2" s="49">
        <v>145</v>
      </c>
      <c r="L2" s="49">
        <v>100</v>
      </c>
      <c r="M2" s="521" t="s">
        <v>1549</v>
      </c>
      <c r="O2" s="565" t="str">
        <f>IF(FH_info!B2="","",TRIM(MID(SUBSTITUTE(FH_info!B2,"^",REPT(" ",LEN(FH_info!B2))),LEN(FH_info!B2)*2-LEN(FH_info!B2)+1,LEN(FH_info!B2))))</f>
        <v>IB4i</v>
      </c>
      <c r="P2" s="565" t="str">
        <f>IF(FH_info!O2="","",TRIM(MID(SUBSTITUTE(FH_info!O2," ",REPT(" ",LEN(FH_info!O2))),LEN(FH_info!O2)*1-LEN(FH_info!O2)+1,LEN(FH_info!O2))))</f>
        <v>IB4i</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20.892703999999998</v>
      </c>
      <c r="D2">
        <f>MAX(B2:B257)</f>
        <v>47.383986999999998</v>
      </c>
      <c r="G2" t="s">
        <v>1590</v>
      </c>
      <c r="H2">
        <v>4.9234140000000002</v>
      </c>
      <c r="I2">
        <v>20.892703999999998</v>
      </c>
      <c r="J2">
        <v>0</v>
      </c>
      <c r="K2">
        <v>145</v>
      </c>
      <c r="L2">
        <v>145</v>
      </c>
      <c r="M2">
        <v>2.7156750000000001</v>
      </c>
      <c r="N2">
        <v>0.47032499999999999</v>
      </c>
      <c r="O2">
        <v>0.22120600000000001</v>
      </c>
    </row>
    <row r="3" spans="1:15">
      <c r="A3">
        <v>0</v>
      </c>
      <c r="B3">
        <v>0</v>
      </c>
      <c r="G3" t="s">
        <v>1591</v>
      </c>
      <c r="H3">
        <v>4.9234140000000002</v>
      </c>
      <c r="I3">
        <v>47.383986999999998</v>
      </c>
      <c r="J3">
        <v>0</v>
      </c>
      <c r="K3">
        <v>60</v>
      </c>
      <c r="L3">
        <v>60</v>
      </c>
      <c r="M3">
        <v>1.248407</v>
      </c>
      <c r="N3">
        <v>0.67335</v>
      </c>
      <c r="O3">
        <v>0.45340000000000003</v>
      </c>
    </row>
    <row r="4" spans="1:15">
      <c r="A4">
        <v>0</v>
      </c>
      <c r="B4">
        <v>0</v>
      </c>
    </row>
    <row r="5" spans="1:15">
      <c r="A5">
        <v>0</v>
      </c>
      <c r="B5">
        <v>16.518243999999999</v>
      </c>
    </row>
    <row r="6" spans="1:15">
      <c r="A6">
        <v>0</v>
      </c>
      <c r="B6">
        <v>0</v>
      </c>
    </row>
    <row r="7" spans="1:15">
      <c r="A7">
        <v>0</v>
      </c>
      <c r="B7">
        <v>0</v>
      </c>
    </row>
    <row r="8" spans="1:15">
      <c r="A8">
        <v>0</v>
      </c>
      <c r="B8">
        <v>27.765944999999999</v>
      </c>
    </row>
    <row r="9" spans="1:15">
      <c r="A9">
        <v>0</v>
      </c>
      <c r="B9">
        <v>0</v>
      </c>
    </row>
    <row r="10" spans="1:15">
      <c r="A10">
        <v>0</v>
      </c>
      <c r="B10">
        <v>31.251958999999999</v>
      </c>
    </row>
    <row r="11" spans="1:15">
      <c r="A11">
        <v>0</v>
      </c>
      <c r="B11">
        <v>0</v>
      </c>
    </row>
    <row r="12" spans="1:15">
      <c r="A12">
        <v>0</v>
      </c>
      <c r="B12">
        <v>0</v>
      </c>
    </row>
    <row r="13" spans="1:15">
      <c r="A13">
        <v>0</v>
      </c>
      <c r="B13">
        <v>30.057231999999999</v>
      </c>
    </row>
    <row r="14" spans="1:15">
      <c r="A14">
        <v>0</v>
      </c>
      <c r="B14">
        <v>0</v>
      </c>
    </row>
    <row r="15" spans="1:15">
      <c r="A15">
        <v>0</v>
      </c>
      <c r="B15">
        <v>29.411553999999999</v>
      </c>
    </row>
    <row r="16" spans="1:15">
      <c r="A16">
        <v>0</v>
      </c>
      <c r="B16">
        <v>0</v>
      </c>
    </row>
    <row r="17" spans="1:2">
      <c r="A17">
        <v>0</v>
      </c>
      <c r="B17">
        <v>0</v>
      </c>
    </row>
    <row r="18" spans="1:2">
      <c r="A18">
        <v>0</v>
      </c>
      <c r="B18">
        <v>29.861958000000001</v>
      </c>
    </row>
    <row r="19" spans="1:2">
      <c r="A19">
        <v>0</v>
      </c>
      <c r="B19">
        <v>0</v>
      </c>
    </row>
    <row r="20" spans="1:2">
      <c r="A20">
        <v>0</v>
      </c>
      <c r="B20">
        <v>0</v>
      </c>
    </row>
    <row r="21" spans="1:2">
      <c r="A21">
        <v>0</v>
      </c>
      <c r="B21">
        <v>30.604595</v>
      </c>
    </row>
    <row r="22" spans="1:2">
      <c r="A22">
        <v>0</v>
      </c>
      <c r="B22">
        <v>0</v>
      </c>
    </row>
    <row r="23" spans="1:2">
      <c r="A23">
        <v>0</v>
      </c>
      <c r="B23">
        <v>31.181889999999999</v>
      </c>
    </row>
    <row r="24" spans="1:2">
      <c r="A24">
        <v>0</v>
      </c>
      <c r="B24">
        <v>0</v>
      </c>
    </row>
    <row r="25" spans="1:2">
      <c r="A25">
        <v>0</v>
      </c>
      <c r="B25">
        <v>0</v>
      </c>
    </row>
    <row r="26" spans="1:2">
      <c r="A26">
        <v>0</v>
      </c>
      <c r="B26">
        <v>31.279323999999999</v>
      </c>
    </row>
    <row r="27" spans="1:2">
      <c r="A27">
        <v>0</v>
      </c>
      <c r="B27">
        <v>0</v>
      </c>
    </row>
    <row r="28" spans="1:2">
      <c r="A28">
        <v>0</v>
      </c>
      <c r="B28">
        <v>31.820271000000002</v>
      </c>
    </row>
    <row r="29" spans="1:2">
      <c r="A29">
        <v>0</v>
      </c>
      <c r="B29">
        <v>0</v>
      </c>
    </row>
    <row r="30" spans="1:2">
      <c r="A30">
        <v>0</v>
      </c>
      <c r="B30">
        <v>0</v>
      </c>
    </row>
    <row r="31" spans="1:2">
      <c r="A31">
        <v>3.4459999999999998E-3</v>
      </c>
      <c r="B31">
        <v>32.908378999999996</v>
      </c>
    </row>
    <row r="32" spans="1:2">
      <c r="A32">
        <v>0</v>
      </c>
      <c r="B32">
        <v>0</v>
      </c>
    </row>
    <row r="33" spans="1:2">
      <c r="A33">
        <v>8.0409999999999995E-3</v>
      </c>
      <c r="B33">
        <v>34.552093999999997</v>
      </c>
    </row>
    <row r="34" spans="1:2">
      <c r="A34">
        <v>0</v>
      </c>
      <c r="B34">
        <v>0</v>
      </c>
    </row>
    <row r="35" spans="1:2">
      <c r="A35">
        <v>0</v>
      </c>
      <c r="B35">
        <v>0</v>
      </c>
    </row>
    <row r="36" spans="1:2">
      <c r="A36">
        <v>2.4797E-2</v>
      </c>
      <c r="B36">
        <v>36.210608999999998</v>
      </c>
    </row>
    <row r="37" spans="1:2">
      <c r="A37">
        <v>0</v>
      </c>
      <c r="B37">
        <v>0</v>
      </c>
    </row>
    <row r="38" spans="1:2">
      <c r="A38">
        <v>0</v>
      </c>
      <c r="B38">
        <v>0</v>
      </c>
    </row>
    <row r="39" spans="1:2">
      <c r="A39">
        <v>2.8784000000000001E-2</v>
      </c>
      <c r="B39">
        <v>37.730334999999997</v>
      </c>
    </row>
    <row r="40" spans="1:2">
      <c r="A40">
        <v>0</v>
      </c>
      <c r="B40">
        <v>0</v>
      </c>
    </row>
    <row r="41" spans="1:2">
      <c r="A41">
        <v>2.3514E-2</v>
      </c>
      <c r="B41">
        <v>39.250675000000001</v>
      </c>
    </row>
    <row r="42" spans="1:2">
      <c r="A42">
        <v>0</v>
      </c>
      <c r="B42">
        <v>0</v>
      </c>
    </row>
    <row r="43" spans="1:2">
      <c r="A43">
        <v>0</v>
      </c>
      <c r="B43">
        <v>0</v>
      </c>
    </row>
    <row r="44" spans="1:2">
      <c r="A44">
        <v>4.027E-2</v>
      </c>
      <c r="B44">
        <v>40.542834999999997</v>
      </c>
    </row>
    <row r="45" spans="1:2">
      <c r="A45">
        <v>0</v>
      </c>
      <c r="B45">
        <v>0</v>
      </c>
    </row>
    <row r="46" spans="1:2">
      <c r="A46">
        <v>2.6419000000000002E-2</v>
      </c>
      <c r="B46">
        <v>42.078175000000002</v>
      </c>
    </row>
    <row r="47" spans="1:2">
      <c r="A47">
        <v>0</v>
      </c>
      <c r="B47">
        <v>0</v>
      </c>
    </row>
    <row r="48" spans="1:2">
      <c r="A48">
        <v>0</v>
      </c>
      <c r="B48">
        <v>0</v>
      </c>
    </row>
    <row r="49" spans="1:2">
      <c r="A49">
        <v>8.8176000000000004E-2</v>
      </c>
      <c r="B49">
        <v>43.549999</v>
      </c>
    </row>
    <row r="50" spans="1:2">
      <c r="A50">
        <v>0</v>
      </c>
      <c r="B50">
        <v>0</v>
      </c>
    </row>
    <row r="51" spans="1:2">
      <c r="A51">
        <v>3.8242999999999999E-2</v>
      </c>
      <c r="B51">
        <v>44.767296000000002</v>
      </c>
    </row>
    <row r="52" spans="1:2">
      <c r="A52">
        <v>0</v>
      </c>
      <c r="B52">
        <v>0</v>
      </c>
    </row>
    <row r="53" spans="1:2">
      <c r="A53">
        <v>0</v>
      </c>
      <c r="B53">
        <v>0</v>
      </c>
    </row>
    <row r="54" spans="1:2">
      <c r="A54">
        <v>3.3377999999999998E-2</v>
      </c>
      <c r="B54">
        <v>45.511417000000002</v>
      </c>
    </row>
    <row r="55" spans="1:2">
      <c r="A55">
        <v>0</v>
      </c>
      <c r="B55">
        <v>0</v>
      </c>
    </row>
    <row r="56" spans="1:2">
      <c r="A56">
        <v>0</v>
      </c>
      <c r="B56">
        <v>0</v>
      </c>
    </row>
    <row r="57" spans="1:2">
      <c r="A57">
        <v>5.8985999999999997E-2</v>
      </c>
      <c r="B57">
        <v>46.231482999999997</v>
      </c>
    </row>
    <row r="58" spans="1:2">
      <c r="A58">
        <v>0</v>
      </c>
      <c r="B58">
        <v>0</v>
      </c>
    </row>
    <row r="59" spans="1:2">
      <c r="A59">
        <v>6.9391999999999995E-2</v>
      </c>
      <c r="B59">
        <v>46.783852000000003</v>
      </c>
    </row>
    <row r="60" spans="1:2">
      <c r="A60">
        <v>0</v>
      </c>
      <c r="B60">
        <v>0</v>
      </c>
    </row>
    <row r="61" spans="1:2">
      <c r="A61">
        <v>0</v>
      </c>
      <c r="B61">
        <v>0</v>
      </c>
    </row>
    <row r="62" spans="1:2">
      <c r="A62">
        <v>6.7229999999999998E-2</v>
      </c>
      <c r="B62">
        <v>47.383986999999998</v>
      </c>
    </row>
    <row r="63" spans="1:2">
      <c r="A63">
        <v>0</v>
      </c>
      <c r="B63">
        <v>0</v>
      </c>
    </row>
    <row r="64" spans="1:2">
      <c r="A64">
        <v>9.7568000000000002E-2</v>
      </c>
      <c r="B64">
        <v>46.952903999999997</v>
      </c>
    </row>
    <row r="65" spans="1:2">
      <c r="A65">
        <v>0</v>
      </c>
      <c r="B65">
        <v>0</v>
      </c>
    </row>
    <row r="66" spans="1:2">
      <c r="A66">
        <v>0</v>
      </c>
      <c r="B66">
        <v>0</v>
      </c>
    </row>
    <row r="67" spans="1:2">
      <c r="A67">
        <v>0.248919</v>
      </c>
      <c r="B67">
        <v>46.625064999999999</v>
      </c>
    </row>
    <row r="68" spans="1:2">
      <c r="A68">
        <v>0</v>
      </c>
      <c r="B68">
        <v>0</v>
      </c>
    </row>
    <row r="69" spans="1:2">
      <c r="A69">
        <v>0.35682399999999997</v>
      </c>
      <c r="B69">
        <v>46.338985000000001</v>
      </c>
    </row>
    <row r="70" spans="1:2">
      <c r="A70">
        <v>0</v>
      </c>
      <c r="B70">
        <v>0</v>
      </c>
    </row>
    <row r="71" spans="1:2">
      <c r="A71">
        <v>0</v>
      </c>
      <c r="B71">
        <v>0</v>
      </c>
    </row>
    <row r="72" spans="1:2">
      <c r="A72">
        <v>0.453986</v>
      </c>
      <c r="B72">
        <v>46.007164000000003</v>
      </c>
    </row>
    <row r="73" spans="1:2">
      <c r="A73">
        <v>0</v>
      </c>
      <c r="B73">
        <v>0</v>
      </c>
    </row>
    <row r="74" spans="1:2">
      <c r="A74">
        <v>0</v>
      </c>
      <c r="B74">
        <v>0</v>
      </c>
    </row>
    <row r="75" spans="1:2">
      <c r="A75">
        <v>0.59493200000000002</v>
      </c>
      <c r="B75">
        <v>45.242908</v>
      </c>
    </row>
    <row r="76" spans="1:2">
      <c r="A76">
        <v>0</v>
      </c>
      <c r="B76">
        <v>0</v>
      </c>
    </row>
    <row r="77" spans="1:2">
      <c r="A77">
        <v>0.615811</v>
      </c>
      <c r="B77">
        <v>44.568714</v>
      </c>
    </row>
    <row r="78" spans="1:2">
      <c r="A78">
        <v>0</v>
      </c>
      <c r="B78">
        <v>0</v>
      </c>
    </row>
    <row r="79" spans="1:2">
      <c r="A79">
        <v>0</v>
      </c>
      <c r="B79">
        <v>0</v>
      </c>
    </row>
    <row r="80" spans="1:2">
      <c r="A80">
        <v>0.88054100000000002</v>
      </c>
      <c r="B80">
        <v>43.630268000000001</v>
      </c>
    </row>
    <row r="81" spans="1:2">
      <c r="A81">
        <v>0</v>
      </c>
      <c r="B81">
        <v>0</v>
      </c>
    </row>
    <row r="82" spans="1:2">
      <c r="A82">
        <v>1.2264189999999999</v>
      </c>
      <c r="B82">
        <v>42.873916999999999</v>
      </c>
    </row>
    <row r="83" spans="1:2">
      <c r="A83">
        <v>0</v>
      </c>
      <c r="B83">
        <v>0</v>
      </c>
    </row>
    <row r="84" spans="1:2">
      <c r="A84">
        <v>0</v>
      </c>
      <c r="B84">
        <v>0</v>
      </c>
    </row>
    <row r="85" spans="1:2">
      <c r="A85">
        <v>1.9754050000000001</v>
      </c>
      <c r="B85">
        <v>41.744255000000003</v>
      </c>
    </row>
    <row r="86" spans="1:2">
      <c r="A86">
        <v>0</v>
      </c>
      <c r="B86">
        <v>0</v>
      </c>
    </row>
    <row r="87" spans="1:2">
      <c r="A87">
        <v>0</v>
      </c>
      <c r="B87">
        <v>0</v>
      </c>
    </row>
    <row r="88" spans="1:2">
      <c r="A88">
        <v>2.6993239999999998</v>
      </c>
      <c r="B88">
        <v>40.666621999999997</v>
      </c>
    </row>
    <row r="89" spans="1:2">
      <c r="A89">
        <v>0</v>
      </c>
      <c r="B89">
        <v>0</v>
      </c>
    </row>
    <row r="90" spans="1:2">
      <c r="A90">
        <v>3.091081</v>
      </c>
      <c r="B90">
        <v>38.837296000000002</v>
      </c>
    </row>
    <row r="91" spans="1:2">
      <c r="A91">
        <v>0</v>
      </c>
      <c r="B91">
        <v>0</v>
      </c>
    </row>
    <row r="92" spans="1:2">
      <c r="A92">
        <v>0</v>
      </c>
      <c r="B92">
        <v>0</v>
      </c>
    </row>
    <row r="93" spans="1:2">
      <c r="A93">
        <v>3.344932</v>
      </c>
      <c r="B93">
        <v>37.197029000000001</v>
      </c>
    </row>
    <row r="94" spans="1:2">
      <c r="A94">
        <v>0</v>
      </c>
      <c r="B94">
        <v>0</v>
      </c>
    </row>
    <row r="95" spans="1:2">
      <c r="A95">
        <v>3.5094599999999998</v>
      </c>
      <c r="B95">
        <v>35.240273000000002</v>
      </c>
    </row>
    <row r="96" spans="1:2">
      <c r="A96">
        <v>0</v>
      </c>
      <c r="B96">
        <v>0</v>
      </c>
    </row>
    <row r="97" spans="1:2">
      <c r="A97">
        <v>0</v>
      </c>
      <c r="B97">
        <v>0</v>
      </c>
    </row>
    <row r="98" spans="1:2">
      <c r="A98">
        <v>3.2503380000000002</v>
      </c>
      <c r="B98">
        <v>33.282837000000001</v>
      </c>
    </row>
    <row r="99" spans="1:2">
      <c r="A99">
        <v>0</v>
      </c>
      <c r="B99">
        <v>0</v>
      </c>
    </row>
    <row r="100" spans="1:2">
      <c r="A100">
        <v>3.4373649999999998</v>
      </c>
      <c r="B100">
        <v>31.074459000000001</v>
      </c>
    </row>
    <row r="101" spans="1:2">
      <c r="A101">
        <v>0</v>
      </c>
      <c r="B101">
        <v>0</v>
      </c>
    </row>
    <row r="102" spans="1:2">
      <c r="A102">
        <v>0</v>
      </c>
      <c r="B102">
        <v>0</v>
      </c>
    </row>
    <row r="103" spans="1:2">
      <c r="A103">
        <v>3.447095</v>
      </c>
      <c r="B103">
        <v>28.931013</v>
      </c>
    </row>
    <row r="104" spans="1:2">
      <c r="A104">
        <v>0</v>
      </c>
      <c r="B104">
        <v>0</v>
      </c>
    </row>
    <row r="105" spans="1:2">
      <c r="A105">
        <v>0</v>
      </c>
      <c r="B105">
        <v>0</v>
      </c>
    </row>
    <row r="106" spans="1:2">
      <c r="A106">
        <v>3.4442569999999999</v>
      </c>
      <c r="B106">
        <v>26.904325</v>
      </c>
    </row>
    <row r="107" spans="1:2">
      <c r="A107">
        <v>0</v>
      </c>
      <c r="B107">
        <v>0</v>
      </c>
    </row>
    <row r="108" spans="1:2">
      <c r="A108">
        <v>3.722162</v>
      </c>
      <c r="B108">
        <v>24.801689</v>
      </c>
    </row>
    <row r="109" spans="1:2">
      <c r="A109">
        <v>0</v>
      </c>
      <c r="B109">
        <v>0</v>
      </c>
    </row>
    <row r="110" spans="1:2">
      <c r="A110">
        <v>0</v>
      </c>
      <c r="B110">
        <v>0</v>
      </c>
    </row>
    <row r="111" spans="1:2">
      <c r="A111">
        <v>4.2430409999999998</v>
      </c>
      <c r="B111">
        <v>22.640203</v>
      </c>
    </row>
    <row r="112" spans="1:2">
      <c r="A112">
        <v>0</v>
      </c>
      <c r="B112">
        <v>0</v>
      </c>
    </row>
    <row r="113" spans="1:2">
      <c r="A113">
        <v>5.0648650000000002</v>
      </c>
      <c r="B113">
        <v>20.736419999999999</v>
      </c>
    </row>
    <row r="114" spans="1:2">
      <c r="A114">
        <v>0</v>
      </c>
      <c r="B114">
        <v>0</v>
      </c>
    </row>
    <row r="115" spans="1:2">
      <c r="A115">
        <v>0</v>
      </c>
      <c r="B115">
        <v>0</v>
      </c>
    </row>
    <row r="116" spans="1:2">
      <c r="A116">
        <v>5.9220940000000004</v>
      </c>
      <c r="B116">
        <v>18.915472000000001</v>
      </c>
    </row>
    <row r="117" spans="1:2">
      <c r="A117">
        <v>0</v>
      </c>
      <c r="B117">
        <v>0</v>
      </c>
    </row>
    <row r="118" spans="1:2">
      <c r="A118">
        <v>6.3232439999999999</v>
      </c>
      <c r="B118">
        <v>17.082229999999999</v>
      </c>
    </row>
    <row r="119" spans="1:2">
      <c r="A119">
        <v>0</v>
      </c>
      <c r="B119">
        <v>0</v>
      </c>
    </row>
    <row r="120" spans="1:2">
      <c r="A120">
        <v>0</v>
      </c>
      <c r="B120">
        <v>0</v>
      </c>
    </row>
    <row r="121" spans="1:2">
      <c r="A121">
        <v>7.7824999999999998</v>
      </c>
      <c r="B121">
        <v>15.39804</v>
      </c>
    </row>
    <row r="122" spans="1:2">
      <c r="A122">
        <v>0</v>
      </c>
      <c r="B122">
        <v>0</v>
      </c>
    </row>
    <row r="123" spans="1:2">
      <c r="A123">
        <v>0</v>
      </c>
      <c r="B123">
        <v>0</v>
      </c>
    </row>
    <row r="124" spans="1:2">
      <c r="A124">
        <v>9.1611480000000007</v>
      </c>
      <c r="B124">
        <v>13.759729</v>
      </c>
    </row>
    <row r="125" spans="1:2">
      <c r="A125">
        <v>0</v>
      </c>
      <c r="B125">
        <v>0</v>
      </c>
    </row>
    <row r="126" spans="1:2">
      <c r="A126">
        <v>10.349121999999999</v>
      </c>
      <c r="B126">
        <v>12.293851</v>
      </c>
    </row>
    <row r="127" spans="1:2">
      <c r="A127">
        <v>0</v>
      </c>
      <c r="B127">
        <v>0</v>
      </c>
    </row>
    <row r="128" spans="1:2">
      <c r="A128">
        <v>0</v>
      </c>
      <c r="B128">
        <v>0</v>
      </c>
    </row>
    <row r="129" spans="1:2">
      <c r="A129">
        <v>12.586487</v>
      </c>
      <c r="B129">
        <v>10.966487000000001</v>
      </c>
    </row>
    <row r="130" spans="1:2">
      <c r="A130">
        <v>0</v>
      </c>
      <c r="B130">
        <v>0</v>
      </c>
    </row>
    <row r="131" spans="1:2">
      <c r="A131">
        <v>13.558040999999999</v>
      </c>
      <c r="B131">
        <v>9.8483110000000007</v>
      </c>
    </row>
    <row r="132" spans="1:2">
      <c r="A132">
        <v>0</v>
      </c>
      <c r="B132">
        <v>0</v>
      </c>
    </row>
    <row r="133" spans="1:2">
      <c r="A133">
        <v>0</v>
      </c>
      <c r="B133">
        <v>0</v>
      </c>
    </row>
    <row r="134" spans="1:2">
      <c r="A134">
        <v>15.444798</v>
      </c>
      <c r="B134">
        <v>8.8335810000000006</v>
      </c>
    </row>
    <row r="135" spans="1:2">
      <c r="A135">
        <v>0</v>
      </c>
      <c r="B135">
        <v>0</v>
      </c>
    </row>
    <row r="136" spans="1:2">
      <c r="A136">
        <v>18.181488000000002</v>
      </c>
      <c r="B136">
        <v>7.8235140000000003</v>
      </c>
    </row>
    <row r="137" spans="1:2">
      <c r="A137">
        <v>0</v>
      </c>
      <c r="B137">
        <v>0</v>
      </c>
    </row>
    <row r="138" spans="1:2">
      <c r="A138">
        <v>0</v>
      </c>
      <c r="B138">
        <v>0</v>
      </c>
    </row>
    <row r="139" spans="1:2">
      <c r="A139">
        <v>18.440539999999999</v>
      </c>
      <c r="B139">
        <v>6.9420270000000004</v>
      </c>
    </row>
    <row r="140" spans="1:2">
      <c r="A140">
        <v>0</v>
      </c>
      <c r="B140">
        <v>0</v>
      </c>
    </row>
    <row r="141" spans="1:2">
      <c r="A141">
        <v>0</v>
      </c>
      <c r="B141">
        <v>0</v>
      </c>
    </row>
    <row r="142" spans="1:2">
      <c r="A142">
        <v>19.30142</v>
      </c>
      <c r="B142">
        <v>6.066351</v>
      </c>
    </row>
    <row r="143" spans="1:2">
      <c r="A143">
        <v>0</v>
      </c>
      <c r="B143">
        <v>0</v>
      </c>
    </row>
    <row r="144" spans="1:2">
      <c r="A144">
        <v>20.236622000000001</v>
      </c>
      <c r="B144">
        <v>5.3278379999999999</v>
      </c>
    </row>
    <row r="145" spans="1:2">
      <c r="A145">
        <v>0</v>
      </c>
      <c r="B145">
        <v>0</v>
      </c>
    </row>
    <row r="146" spans="1:2">
      <c r="A146">
        <v>0</v>
      </c>
      <c r="B146">
        <v>0</v>
      </c>
    </row>
    <row r="147" spans="1:2">
      <c r="A147">
        <v>20.892703999999998</v>
      </c>
      <c r="B147">
        <v>4.6222969999999997</v>
      </c>
    </row>
    <row r="148" spans="1:2">
      <c r="A148">
        <v>0</v>
      </c>
      <c r="B148">
        <v>0</v>
      </c>
    </row>
    <row r="149" spans="1:2">
      <c r="A149">
        <v>18.581623</v>
      </c>
      <c r="B149">
        <v>4.056216</v>
      </c>
    </row>
    <row r="150" spans="1:2">
      <c r="A150">
        <v>0</v>
      </c>
      <c r="B150">
        <v>0</v>
      </c>
    </row>
    <row r="151" spans="1:2">
      <c r="A151">
        <v>0</v>
      </c>
      <c r="B151">
        <v>0</v>
      </c>
    </row>
    <row r="152" spans="1:2">
      <c r="A152">
        <v>16.645676000000002</v>
      </c>
      <c r="B152">
        <v>3.5210129999999999</v>
      </c>
    </row>
    <row r="153" spans="1:2">
      <c r="A153">
        <v>0</v>
      </c>
      <c r="B153">
        <v>0</v>
      </c>
    </row>
    <row r="154" spans="1:2">
      <c r="A154">
        <v>14.941081000000001</v>
      </c>
      <c r="B154">
        <v>3.0254729999999999</v>
      </c>
    </row>
    <row r="155" spans="1:2">
      <c r="A155">
        <v>0</v>
      </c>
      <c r="B155">
        <v>0</v>
      </c>
    </row>
    <row r="156" spans="1:2">
      <c r="A156">
        <v>0</v>
      </c>
      <c r="B156">
        <v>0</v>
      </c>
    </row>
    <row r="157" spans="1:2">
      <c r="A157">
        <v>13.739594</v>
      </c>
      <c r="B157">
        <v>2.5333109999999999</v>
      </c>
    </row>
    <row r="158" spans="1:2">
      <c r="A158">
        <v>0</v>
      </c>
      <c r="B158">
        <v>0</v>
      </c>
    </row>
    <row r="159" spans="1:2">
      <c r="A159">
        <v>0</v>
      </c>
      <c r="B159">
        <v>0</v>
      </c>
    </row>
    <row r="160" spans="1:2">
      <c r="A160">
        <v>12.442973</v>
      </c>
      <c r="B160">
        <v>2.1542569999999999</v>
      </c>
    </row>
    <row r="161" spans="1:2">
      <c r="A161">
        <v>0</v>
      </c>
      <c r="B161">
        <v>0</v>
      </c>
    </row>
    <row r="162" spans="1:2">
      <c r="A162">
        <v>11.196756000000001</v>
      </c>
      <c r="B162">
        <v>1.7935810000000001</v>
      </c>
    </row>
    <row r="163" spans="1:2">
      <c r="A163">
        <v>0</v>
      </c>
      <c r="B163">
        <v>0</v>
      </c>
    </row>
    <row r="164" spans="1:2">
      <c r="A164">
        <v>0</v>
      </c>
      <c r="B164">
        <v>0</v>
      </c>
    </row>
    <row r="165" spans="1:2">
      <c r="A165">
        <v>10.760068</v>
      </c>
      <c r="B165">
        <v>1.4955400000000001</v>
      </c>
    </row>
    <row r="166" spans="1:2">
      <c r="A166">
        <v>0</v>
      </c>
      <c r="B166">
        <v>0</v>
      </c>
    </row>
    <row r="167" spans="1:2">
      <c r="A167">
        <v>9.2628380000000003</v>
      </c>
      <c r="B167">
        <v>1.253851</v>
      </c>
    </row>
    <row r="168" spans="1:2">
      <c r="A168">
        <v>0</v>
      </c>
      <c r="B168">
        <v>0</v>
      </c>
    </row>
    <row r="169" spans="1:2">
      <c r="A169">
        <v>0</v>
      </c>
      <c r="B169">
        <v>0</v>
      </c>
    </row>
    <row r="170" spans="1:2">
      <c r="A170">
        <v>8.5383110000000002</v>
      </c>
      <c r="B170">
        <v>1.0085809999999999</v>
      </c>
    </row>
    <row r="171" spans="1:2">
      <c r="A171">
        <v>0</v>
      </c>
      <c r="B171">
        <v>0</v>
      </c>
    </row>
    <row r="172" spans="1:2">
      <c r="A172">
        <v>0</v>
      </c>
      <c r="B172">
        <v>0.81054099999999996</v>
      </c>
    </row>
    <row r="173" spans="1:2">
      <c r="A173">
        <v>7.3270270000000002</v>
      </c>
      <c r="B173">
        <v>0</v>
      </c>
    </row>
    <row r="174" spans="1:2">
      <c r="A174">
        <v>0</v>
      </c>
      <c r="B174">
        <v>0</v>
      </c>
    </row>
    <row r="175" spans="1:2">
      <c r="A175">
        <v>6.1216220000000003</v>
      </c>
      <c r="B175">
        <v>0.63554100000000002</v>
      </c>
    </row>
    <row r="176" spans="1:2">
      <c r="A176">
        <v>0</v>
      </c>
      <c r="B176">
        <v>0</v>
      </c>
    </row>
    <row r="177" spans="1:2">
      <c r="A177">
        <v>0</v>
      </c>
      <c r="B177">
        <v>0</v>
      </c>
    </row>
    <row r="178" spans="1:2">
      <c r="A178">
        <v>5.430879</v>
      </c>
      <c r="B178">
        <v>0.48418899999999998</v>
      </c>
    </row>
    <row r="179" spans="1:2">
      <c r="A179">
        <v>0</v>
      </c>
      <c r="B179">
        <v>0</v>
      </c>
    </row>
    <row r="180" spans="1:2">
      <c r="A180">
        <v>4.4160139999999997</v>
      </c>
      <c r="B180">
        <v>0.38331100000000001</v>
      </c>
    </row>
    <row r="181" spans="1:2">
      <c r="A181">
        <v>0</v>
      </c>
      <c r="B181">
        <v>0</v>
      </c>
    </row>
    <row r="182" spans="1:2">
      <c r="A182">
        <v>0</v>
      </c>
      <c r="B182">
        <v>0</v>
      </c>
    </row>
    <row r="183" spans="1:2">
      <c r="A183">
        <v>3.4575680000000002</v>
      </c>
      <c r="B183">
        <v>0.29581099999999999</v>
      </c>
    </row>
    <row r="184" spans="1:2">
      <c r="A184">
        <v>0</v>
      </c>
      <c r="B184">
        <v>0</v>
      </c>
    </row>
    <row r="185" spans="1:2">
      <c r="A185">
        <v>2.9623650000000001</v>
      </c>
      <c r="B185">
        <v>0.21101400000000001</v>
      </c>
    </row>
    <row r="186" spans="1:2">
      <c r="A186">
        <v>0</v>
      </c>
      <c r="B186">
        <v>0</v>
      </c>
    </row>
    <row r="187" spans="1:2">
      <c r="A187">
        <v>0</v>
      </c>
      <c r="B187">
        <v>0</v>
      </c>
    </row>
    <row r="188" spans="1:2">
      <c r="A188">
        <v>2.2120950000000001</v>
      </c>
      <c r="B188">
        <v>0.13736499999999999</v>
      </c>
    </row>
    <row r="189" spans="1:2">
      <c r="A189">
        <v>0</v>
      </c>
      <c r="B189">
        <v>0</v>
      </c>
    </row>
    <row r="190" spans="1:2">
      <c r="A190">
        <v>0</v>
      </c>
      <c r="B190">
        <v>0</v>
      </c>
    </row>
    <row r="191" spans="1:2">
      <c r="A191">
        <v>1.9727699999999999</v>
      </c>
      <c r="B191">
        <v>9.6283999999999995E-2</v>
      </c>
    </row>
    <row r="192" spans="1:2">
      <c r="A192">
        <v>0</v>
      </c>
      <c r="B192">
        <v>0</v>
      </c>
    </row>
    <row r="193" spans="1:2">
      <c r="A193">
        <v>1.8843920000000001</v>
      </c>
      <c r="B193">
        <v>6.4054E-2</v>
      </c>
    </row>
    <row r="194" spans="1:2">
      <c r="A194">
        <v>0</v>
      </c>
      <c r="B194">
        <v>0</v>
      </c>
    </row>
    <row r="195" spans="1:2">
      <c r="A195">
        <v>0</v>
      </c>
      <c r="B195">
        <v>0</v>
      </c>
    </row>
    <row r="196" spans="1:2">
      <c r="A196">
        <v>1.665068</v>
      </c>
      <c r="B196">
        <v>4.2297000000000001E-2</v>
      </c>
    </row>
    <row r="197" spans="1:2">
      <c r="A197">
        <v>0</v>
      </c>
      <c r="B197">
        <v>0</v>
      </c>
    </row>
    <row r="198" spans="1:2">
      <c r="A198">
        <v>1.165608</v>
      </c>
      <c r="B198">
        <v>2.8580999999999999E-2</v>
      </c>
    </row>
    <row r="199" spans="1:2">
      <c r="A199">
        <v>0</v>
      </c>
      <c r="B199">
        <v>0</v>
      </c>
    </row>
    <row r="200" spans="1:2">
      <c r="A200">
        <v>0</v>
      </c>
      <c r="B200">
        <v>0</v>
      </c>
    </row>
    <row r="201" spans="1:2">
      <c r="A201">
        <v>0.85513499999999998</v>
      </c>
      <c r="B201">
        <v>1.7568E-2</v>
      </c>
    </row>
    <row r="202" spans="1:2">
      <c r="A202">
        <v>0</v>
      </c>
      <c r="B202">
        <v>0</v>
      </c>
    </row>
    <row r="203" spans="1:2">
      <c r="A203">
        <v>0.63168899999999994</v>
      </c>
      <c r="B203">
        <v>5.2700000000000004E-3</v>
      </c>
    </row>
    <row r="204" spans="1:2">
      <c r="A204">
        <v>0</v>
      </c>
      <c r="B204">
        <v>0</v>
      </c>
    </row>
    <row r="205" spans="1:2">
      <c r="A205">
        <v>0</v>
      </c>
      <c r="B205">
        <v>0</v>
      </c>
    </row>
    <row r="206" spans="1:2">
      <c r="A206">
        <v>0.52918900000000002</v>
      </c>
      <c r="B206">
        <v>2.7030000000000001E-3</v>
      </c>
    </row>
    <row r="207" spans="1:2">
      <c r="A207">
        <v>0</v>
      </c>
      <c r="B207">
        <v>0</v>
      </c>
    </row>
    <row r="208" spans="1:2">
      <c r="A208">
        <v>0</v>
      </c>
      <c r="B208">
        <v>0</v>
      </c>
    </row>
    <row r="209" spans="1:2">
      <c r="A209">
        <v>0.429392</v>
      </c>
      <c r="B209">
        <v>8.7799999999999998E-4</v>
      </c>
    </row>
    <row r="210" spans="1:2">
      <c r="A210">
        <v>0</v>
      </c>
      <c r="B210">
        <v>0</v>
      </c>
    </row>
    <row r="211" spans="1:2">
      <c r="A211">
        <v>0.31425700000000001</v>
      </c>
      <c r="B211">
        <v>1.35E-4</v>
      </c>
    </row>
    <row r="212" spans="1:2">
      <c r="A212">
        <v>0</v>
      </c>
      <c r="B212">
        <v>0</v>
      </c>
    </row>
    <row r="213" spans="1:2">
      <c r="A213">
        <v>0</v>
      </c>
      <c r="B213">
        <v>0</v>
      </c>
    </row>
    <row r="214" spans="1:2">
      <c r="A214">
        <v>0.13918900000000001</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ht="49.5">
      <c r="H1" s="56" t="str">
        <f>lang!B177</f>
        <v>뇌 피로도</v>
      </c>
      <c r="I1" s="56" t="str">
        <f>IF(Measurement!AQ7&lt;&gt;"",H4&amp;CHAR(10)&amp;ROUND(Measurement!AQ7,2),lang!B177)</f>
        <v>4.01473725130739
4.01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4.0147372513073938</v>
      </c>
      <c r="I4" s="322">
        <f>IF(Measurement!AQ7&lt;&gt;"",NORMSDIST((H6-$B$2)/$B$3)*100,"")</f>
        <v>99.062409454723166</v>
      </c>
      <c r="J4" t="str">
        <f>Measurement!AR7</f>
        <v>건강</v>
      </c>
    </row>
    <row r="5" spans="1:11">
      <c r="B5" s="171">
        <v>-10</v>
      </c>
      <c r="C5" s="171">
        <f>NORMSDIST(($B5-$B$2)/$B$3)*100</f>
        <v>7.1097265868555281E-5</v>
      </c>
      <c r="G5" t="s">
        <v>1539</v>
      </c>
      <c r="H5" s="320">
        <f>IF(Measurement!AQ7&lt;-7,-7,Measurement!AQ7)</f>
        <v>4.0147372513073938</v>
      </c>
      <c r="I5" s="321">
        <f>IF(Measurement!AQ7&lt;&gt;"",0,"")</f>
        <v>0</v>
      </c>
    </row>
    <row r="6" spans="1:11">
      <c r="B6" s="171">
        <f>B5+0.1</f>
        <v>-9.9</v>
      </c>
      <c r="C6" s="171">
        <f t="shared" ref="C6:C57" si="0">NORMSDIST(($B6-$B$2)/$B$3)*100</f>
        <v>9.1781224195367343E-5</v>
      </c>
      <c r="H6" s="320">
        <f>IF(Measurement!AQ7&lt;-7,-7,Measurement!AQ7)</f>
        <v>4.0147372513073938</v>
      </c>
      <c r="I6" s="321">
        <f>IF(Measurement!AQ7&lt;&gt;"",NORMSDIST((H6-$B$2)/$B$3)*100,"")</f>
        <v>99.062409454723166</v>
      </c>
    </row>
    <row r="7" spans="1:11">
      <c r="B7" s="171">
        <f t="shared" ref="B7:B70" si="1">B6+0.1</f>
        <v>-9.8000000000000007</v>
      </c>
      <c r="C7" s="171">
        <f t="shared" si="0"/>
        <v>1.1818368021892541E-4</v>
      </c>
      <c r="D7" s="171"/>
      <c r="H7" s="320">
        <f>IF(Measurement!AQ7&lt;&gt;"",-7,"")</f>
        <v>-7</v>
      </c>
      <c r="I7" s="321">
        <f>IF(Measurement!AQ7&lt;&gt;"",NORMSDIST((H6-$B$2)/$B$3)*100,"")</f>
        <v>99.062409454723166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60.15</v>
      </c>
      <c r="V4" t="s">
        <v>1218</v>
      </c>
    </row>
    <row r="5" spans="1:29">
      <c r="B5" s="171">
        <v>0</v>
      </c>
      <c r="C5" s="171">
        <f>NORMSDIST(($B5-$B$2)/$B$3)*100</f>
        <v>1.2153167836658598</v>
      </c>
      <c r="H5">
        <f>info!W36</f>
        <v>60.154499999999999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60.154499999999999</v>
      </c>
      <c r="I6" s="171">
        <f>NORMSDIST((H6-$B$2)/$B$3)*100</f>
        <v>67.631177862661758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67.631177862661758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2.7156799999999999</v>
      </c>
    </row>
    <row r="3" spans="1:11" ht="18">
      <c r="A3" s="71" t="s">
        <v>1065</v>
      </c>
      <c r="B3" s="557">
        <v>0.71290976993199895</v>
      </c>
      <c r="C3" s="523"/>
      <c r="H3" s="561" t="s">
        <v>2223</v>
      </c>
      <c r="I3" s="562">
        <f>IF(I2=0,0,NORMSDIST((I2-$B$2)/$B$3)*100)</f>
        <v>87.372052922277106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2.72</v>
      </c>
    </row>
    <row r="6" spans="1:11">
      <c r="B6" s="23">
        <v>0</v>
      </c>
      <c r="C6" s="23">
        <f>NORMSDIST(($B6-$B$2)/$B$3)*100</f>
        <v>0.38478836223957635</v>
      </c>
      <c r="H6" s="205">
        <f>IF(info!V36&gt;I1,I1,info!V36)</f>
        <v>2.7156799999999999</v>
      </c>
      <c r="I6" s="560">
        <v>0</v>
      </c>
    </row>
    <row r="7" spans="1:11">
      <c r="B7" s="23">
        <f>B5+0.05</f>
        <v>0</v>
      </c>
      <c r="C7" s="23">
        <f t="shared" ref="C7:E58" si="0">NORMSDIST(($B7-$B$2)/$B$3)*100</f>
        <v>0.38478836223957635</v>
      </c>
      <c r="H7" s="205">
        <f>IF(info!V36&gt;I1,I1,info!V36)</f>
        <v>2.7156799999999999</v>
      </c>
      <c r="I7" s="560">
        <f>NORMSDIST((H7-$B$2)/$B$3)*100</f>
        <v>87.372052922277106</v>
      </c>
    </row>
    <row r="8" spans="1:11">
      <c r="B8" s="23">
        <f t="shared" ref="B8:B71" si="1">B7+0.05</f>
        <v>0.05</v>
      </c>
      <c r="C8" s="23">
        <f t="shared" si="0"/>
        <v>0.47295624138584591</v>
      </c>
      <c r="D8" s="171"/>
      <c r="H8" s="205">
        <v>0</v>
      </c>
      <c r="I8" s="560">
        <f>NORMSDIST((H7-$B$2)/$B$3)*100</f>
        <v>87.372052922277106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감정변이도2.72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2.7156799999999999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2.7156799999999999</v>
      </c>
      <c r="I6" s="171">
        <f>NORMSDIST((H6-$B$2)/$B$3)*100</f>
        <v>0.11183286557903867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0.11183286557903867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764" t="str">
        <f>lang!B641</f>
        <v>감성 상태 검사 결과</v>
      </c>
      <c r="D3" s="764"/>
      <c r="E3" s="764"/>
      <c r="F3" s="764"/>
      <c r="G3" s="764"/>
      <c r="H3" s="764"/>
      <c r="I3" s="764"/>
      <c r="J3" s="764"/>
      <c r="K3" s="764"/>
      <c r="L3" s="764"/>
      <c r="M3" s="764"/>
      <c r="N3" s="764"/>
      <c r="O3" s="764"/>
      <c r="P3" s="764"/>
      <c r="Q3" s="765" t="str">
        <f>FH_info!AB2</f>
        <v>마인드아이</v>
      </c>
      <c r="R3" s="765"/>
      <c r="S3" s="765"/>
      <c r="T3" s="765"/>
    </row>
    <row r="4" spans="2:20" ht="14.25" customHeight="1">
      <c r="C4" s="764"/>
      <c r="D4" s="764"/>
      <c r="E4" s="764"/>
      <c r="F4" s="764"/>
      <c r="G4" s="764"/>
      <c r="H4" s="764"/>
      <c r="I4" s="764"/>
      <c r="J4" s="764"/>
      <c r="K4" s="764"/>
      <c r="L4" s="764"/>
      <c r="M4" s="764"/>
      <c r="N4" s="764"/>
      <c r="O4" s="764"/>
      <c r="P4" s="764"/>
      <c r="Q4" s="765"/>
      <c r="R4" s="765"/>
      <c r="S4" s="765"/>
      <c r="T4" s="765"/>
    </row>
    <row r="5" spans="2:20" ht="3" customHeight="1"/>
    <row r="6" spans="2:20" ht="1.5" customHeight="1" thickBot="1"/>
    <row r="7" spans="2:20">
      <c r="C7" s="766"/>
      <c r="D7" s="767"/>
      <c r="E7" s="768"/>
      <c r="F7" s="777" t="str">
        <f>lang!B159</f>
        <v>측정일</v>
      </c>
      <c r="G7" s="960"/>
      <c r="H7" s="771">
        <f>IF(FH_info!A2="","",FH_info!A2)</f>
        <v>45854.539027777777</v>
      </c>
      <c r="I7" s="772"/>
      <c r="J7" s="773"/>
      <c r="K7" s="166" t="str">
        <f>lang!B160</f>
        <v>나이</v>
      </c>
      <c r="L7" s="775" t="str">
        <f>IF(FH_info!B2="","", FH_info!T2)</f>
        <v>5</v>
      </c>
      <c r="M7" s="1159"/>
      <c r="N7" s="776"/>
      <c r="O7" s="166" t="str">
        <f>lang!B161</f>
        <v>성별</v>
      </c>
      <c r="P7" s="775" t="str">
        <f>IF(FH_info!B2="","", FH_info!S2)</f>
        <v>남성</v>
      </c>
      <c r="Q7" s="776"/>
      <c r="R7" s="777" t="str">
        <f>lang!B164</f>
        <v>측정장소</v>
      </c>
      <c r="S7" s="778"/>
      <c r="T7" s="779"/>
    </row>
    <row r="8" spans="2:20">
      <c r="C8" s="769"/>
      <c r="D8" s="749"/>
      <c r="E8" s="770"/>
      <c r="F8" s="961" t="str">
        <f>lang!B165</f>
        <v>이름</v>
      </c>
      <c r="G8" s="962"/>
      <c r="H8" s="780" t="str">
        <f>IF(FH_info!B2="","", FH_info!O2)</f>
        <v>IB4i</v>
      </c>
      <c r="I8" s="781"/>
      <c r="J8" s="782"/>
      <c r="K8" s="146" t="str">
        <f>lang!B669</f>
        <v>비고</v>
      </c>
      <c r="L8" s="780" t="str">
        <f>IF(FH_info!B2="","", FH_info!V2)</f>
        <v/>
      </c>
      <c r="M8" s="781"/>
      <c r="N8" s="781"/>
      <c r="O8" s="781"/>
      <c r="P8" s="781"/>
      <c r="Q8" s="782"/>
      <c r="R8" s="780" t="str">
        <f>IF(FH_info!B2="","", FH_info!U2)</f>
        <v/>
      </c>
      <c r="S8" s="781"/>
      <c r="T8" s="786"/>
    </row>
    <row r="9" spans="2:20" ht="9" customHeight="1">
      <c r="C9" s="769"/>
      <c r="D9" s="749"/>
      <c r="E9" s="770"/>
      <c r="F9" s="972"/>
      <c r="G9" s="973"/>
      <c r="H9" s="789"/>
      <c r="I9" s="790"/>
      <c r="J9" s="790"/>
      <c r="K9" s="790"/>
      <c r="L9" s="790"/>
      <c r="M9" s="790"/>
      <c r="N9" s="790"/>
      <c r="O9" s="790"/>
      <c r="P9" s="790"/>
      <c r="Q9" s="790"/>
      <c r="R9" s="790"/>
      <c r="S9" s="790"/>
      <c r="T9" s="791"/>
    </row>
    <row r="10" spans="2:20" ht="9" customHeight="1">
      <c r="C10" s="769"/>
      <c r="D10" s="749"/>
      <c r="E10" s="770"/>
      <c r="F10" s="974"/>
      <c r="G10" s="975"/>
      <c r="H10" s="792"/>
      <c r="I10" s="793"/>
      <c r="J10" s="793"/>
      <c r="K10" s="793"/>
      <c r="L10" s="793"/>
      <c r="M10" s="793"/>
      <c r="N10" s="793"/>
      <c r="O10" s="793"/>
      <c r="P10" s="793"/>
      <c r="Q10" s="793"/>
      <c r="R10" s="793"/>
      <c r="S10" s="793"/>
      <c r="T10" s="794"/>
    </row>
    <row r="11" spans="2:20" ht="19.5" customHeight="1" thickBot="1">
      <c r="C11" s="769"/>
      <c r="D11" s="749"/>
      <c r="E11" s="770"/>
      <c r="F11" s="974"/>
      <c r="G11" s="975"/>
      <c r="H11" s="792"/>
      <c r="I11" s="793"/>
      <c r="J11" s="793"/>
      <c r="K11" s="793"/>
      <c r="L11" s="793"/>
      <c r="M11" s="793"/>
      <c r="N11" s="793"/>
      <c r="O11" s="793"/>
      <c r="P11" s="793"/>
      <c r="Q11" s="793"/>
      <c r="R11" s="793"/>
      <c r="S11" s="793"/>
      <c r="T11" s="794"/>
    </row>
    <row r="12" spans="2:20" ht="22.5" hidden="1" customHeight="1" thickBot="1">
      <c r="C12" s="230"/>
      <c r="D12" s="231"/>
      <c r="E12" s="232"/>
      <c r="F12" s="976"/>
      <c r="G12" s="977"/>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26" t="str">
        <f>lang!B671</f>
        <v>단계별 감성상태</v>
      </c>
      <c r="D13" s="927"/>
      <c r="E13" s="927"/>
      <c r="F13" s="927"/>
      <c r="G13" s="927"/>
      <c r="H13" s="927"/>
      <c r="I13" s="927"/>
      <c r="J13" s="927"/>
      <c r="K13" s="927"/>
      <c r="L13" s="927"/>
      <c r="M13" s="927"/>
      <c r="N13" s="927"/>
      <c r="O13" s="927"/>
      <c r="P13" s="927"/>
      <c r="Q13" s="927"/>
      <c r="R13" s="927"/>
      <c r="S13" s="927"/>
      <c r="T13" s="928"/>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39" t="str">
        <f>lang!B645</f>
        <v>고활력도</v>
      </c>
      <c r="H15" s="939"/>
      <c r="I15" s="939"/>
      <c r="J15" s="939"/>
      <c r="K15" s="939"/>
      <c r="L15" s="939"/>
      <c r="M15" s="939"/>
      <c r="N15" s="939"/>
      <c r="O15" s="939"/>
      <c r="P15" s="939"/>
      <c r="Q15" s="578"/>
      <c r="R15" s="405"/>
      <c r="S15" s="405"/>
      <c r="T15" s="373"/>
    </row>
    <row r="16" spans="2:20" ht="27" customHeight="1">
      <c r="B16" s="79"/>
      <c r="C16" s="582"/>
      <c r="D16" s="372"/>
      <c r="E16" s="1156" t="str">
        <f>lang!B644</f>
        <v>불쾌</v>
      </c>
      <c r="F16" s="1156"/>
      <c r="G16" s="579"/>
      <c r="H16" s="579"/>
      <c r="I16" s="579"/>
      <c r="J16" s="579"/>
      <c r="K16" s="579"/>
      <c r="L16" s="580"/>
      <c r="M16" s="580"/>
      <c r="N16" s="580"/>
      <c r="O16" s="580"/>
      <c r="P16" s="580"/>
      <c r="Q16" s="1158" t="str">
        <f>lang!B643</f>
        <v>쾌</v>
      </c>
      <c r="R16" s="1158"/>
      <c r="S16" s="405"/>
      <c r="T16" s="373"/>
    </row>
    <row r="17" spans="2:22" ht="27" customHeight="1">
      <c r="B17" s="79"/>
      <c r="C17" s="582"/>
      <c r="D17" s="372"/>
      <c r="E17" s="1156"/>
      <c r="F17" s="1156"/>
      <c r="G17" s="579"/>
      <c r="H17" s="579"/>
      <c r="I17" s="579"/>
      <c r="J17" s="579"/>
      <c r="K17" s="579"/>
      <c r="L17" s="580"/>
      <c r="M17" s="580"/>
      <c r="N17" s="580"/>
      <c r="O17" s="580"/>
      <c r="P17" s="580"/>
      <c r="Q17" s="1158"/>
      <c r="R17" s="1158"/>
      <c r="S17" s="405"/>
      <c r="T17" s="373"/>
    </row>
    <row r="18" spans="2:22" ht="27" customHeight="1">
      <c r="B18" s="79"/>
      <c r="C18" s="582"/>
      <c r="D18" s="372"/>
      <c r="E18" s="1156"/>
      <c r="F18" s="1156"/>
      <c r="G18" s="579"/>
      <c r="H18" s="579"/>
      <c r="I18" s="579"/>
      <c r="J18" s="579"/>
      <c r="K18" s="579"/>
      <c r="L18" s="580"/>
      <c r="M18" s="580"/>
      <c r="N18" s="580"/>
      <c r="O18" s="580"/>
      <c r="P18" s="580"/>
      <c r="Q18" s="1158"/>
      <c r="R18" s="1158"/>
      <c r="S18" s="405"/>
      <c r="T18" s="373"/>
    </row>
    <row r="19" spans="2:22" ht="27" customHeight="1">
      <c r="B19" s="79"/>
      <c r="C19" s="582"/>
      <c r="D19" s="372"/>
      <c r="E19" s="1156"/>
      <c r="F19" s="1156"/>
      <c r="G19" s="579"/>
      <c r="H19" s="579"/>
      <c r="I19" s="579"/>
      <c r="J19" s="579"/>
      <c r="K19" s="579"/>
      <c r="L19" s="580"/>
      <c r="M19" s="580"/>
      <c r="N19" s="580"/>
      <c r="O19" s="580"/>
      <c r="P19" s="580"/>
      <c r="Q19" s="1158"/>
      <c r="R19" s="1158"/>
      <c r="S19" s="405"/>
      <c r="T19" s="373"/>
    </row>
    <row r="20" spans="2:22" ht="27" customHeight="1">
      <c r="C20" s="582"/>
      <c r="D20" s="372"/>
      <c r="E20" s="1156"/>
      <c r="F20" s="1156"/>
      <c r="G20" s="579"/>
      <c r="H20" s="579"/>
      <c r="I20" s="579"/>
      <c r="J20" s="579"/>
      <c r="K20" s="403"/>
      <c r="L20" s="403"/>
      <c r="M20" s="580"/>
      <c r="N20" s="580"/>
      <c r="O20" s="580"/>
      <c r="P20" s="580"/>
      <c r="Q20" s="1158"/>
      <c r="R20" s="1158"/>
      <c r="S20" s="405"/>
      <c r="T20" s="373"/>
      <c r="V20" s="80"/>
    </row>
    <row r="21" spans="2:22" ht="27" customHeight="1">
      <c r="C21" s="582"/>
      <c r="D21" s="372"/>
      <c r="E21" s="1156"/>
      <c r="F21" s="1156"/>
      <c r="G21" s="583"/>
      <c r="H21" s="583"/>
      <c r="I21" s="583"/>
      <c r="J21" s="583"/>
      <c r="K21" s="403"/>
      <c r="L21" s="403"/>
      <c r="M21" s="584"/>
      <c r="N21" s="584"/>
      <c r="O21" s="584"/>
      <c r="P21" s="584"/>
      <c r="Q21" s="1158"/>
      <c r="R21" s="1158"/>
      <c r="S21" s="405"/>
      <c r="T21" s="373"/>
      <c r="V21" s="80"/>
    </row>
    <row r="22" spans="2:22" ht="27" customHeight="1">
      <c r="C22" s="582"/>
      <c r="D22" s="372"/>
      <c r="E22" s="1156"/>
      <c r="F22" s="1156"/>
      <c r="G22" s="583"/>
      <c r="H22" s="583"/>
      <c r="I22" s="583"/>
      <c r="J22" s="583"/>
      <c r="K22" s="583"/>
      <c r="L22" s="584"/>
      <c r="M22" s="584"/>
      <c r="N22" s="584"/>
      <c r="O22" s="584"/>
      <c r="P22" s="584"/>
      <c r="Q22" s="1158"/>
      <c r="R22" s="1158"/>
      <c r="S22" s="405"/>
      <c r="T22" s="373"/>
    </row>
    <row r="23" spans="2:22" ht="27" customHeight="1">
      <c r="C23" s="582"/>
      <c r="D23" s="372"/>
      <c r="E23" s="1156"/>
      <c r="F23" s="1156"/>
      <c r="G23" s="583"/>
      <c r="H23" s="583"/>
      <c r="I23" s="583"/>
      <c r="J23" s="583"/>
      <c r="K23" s="583"/>
      <c r="L23" s="584"/>
      <c r="M23" s="584"/>
      <c r="N23" s="584"/>
      <c r="O23" s="584"/>
      <c r="P23" s="584"/>
      <c r="Q23" s="1158"/>
      <c r="R23" s="1158"/>
      <c r="S23" s="405"/>
      <c r="T23" s="373"/>
      <c r="V23" s="80"/>
    </row>
    <row r="24" spans="2:22" ht="27" customHeight="1">
      <c r="C24" s="582"/>
      <c r="D24" s="372"/>
      <c r="E24" s="1156"/>
      <c r="F24" s="1156"/>
      <c r="G24" s="583"/>
      <c r="H24" s="583"/>
      <c r="I24" s="583"/>
      <c r="J24" s="583"/>
      <c r="K24" s="583"/>
      <c r="L24" s="584"/>
      <c r="M24" s="584"/>
      <c r="N24" s="584"/>
      <c r="O24" s="584"/>
      <c r="P24" s="584"/>
      <c r="Q24" s="1158"/>
      <c r="R24" s="1158"/>
      <c r="S24" s="405"/>
      <c r="T24" s="373"/>
      <c r="V24" s="80"/>
    </row>
    <row r="25" spans="2:22" ht="27" customHeight="1">
      <c r="C25" s="585"/>
      <c r="D25" s="586"/>
      <c r="E25" s="1156"/>
      <c r="F25" s="1156"/>
      <c r="G25" s="583"/>
      <c r="H25" s="583"/>
      <c r="I25" s="583"/>
      <c r="J25" s="583"/>
      <c r="K25" s="583"/>
      <c r="L25" s="584"/>
      <c r="M25" s="584"/>
      <c r="N25" s="584"/>
      <c r="O25" s="584"/>
      <c r="P25" s="584"/>
      <c r="Q25" s="1158"/>
      <c r="R25" s="1158"/>
      <c r="S25" s="372"/>
      <c r="T25" s="373"/>
    </row>
    <row r="26" spans="2:22" ht="27" customHeight="1">
      <c r="C26" s="572"/>
      <c r="D26" s="171"/>
      <c r="E26" s="171"/>
      <c r="F26" s="171"/>
      <c r="G26" s="1157" t="str">
        <f>lang!B646</f>
        <v>저활력도</v>
      </c>
      <c r="H26" s="1157"/>
      <c r="I26" s="1157"/>
      <c r="J26" s="1157"/>
      <c r="K26" s="1157"/>
      <c r="L26" s="1157"/>
      <c r="M26" s="1157"/>
      <c r="N26" s="1157"/>
      <c r="O26" s="1157"/>
      <c r="P26" s="1157"/>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871"/>
      <c r="D46" s="872"/>
      <c r="E46" s="872"/>
      <c r="F46" s="872"/>
      <c r="G46" s="872"/>
      <c r="H46" s="872"/>
      <c r="I46" s="872"/>
      <c r="J46" s="872"/>
      <c r="K46" s="872"/>
      <c r="L46" s="872"/>
      <c r="M46" s="872"/>
      <c r="N46" s="872"/>
      <c r="O46" s="872"/>
      <c r="P46" s="872"/>
      <c r="Q46" s="872"/>
      <c r="R46" s="872"/>
      <c r="S46" s="872"/>
      <c r="T46" s="873"/>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C3:P4"/>
    <mergeCell ref="Q3:T4"/>
    <mergeCell ref="C7:E11"/>
    <mergeCell ref="F7:G7"/>
    <mergeCell ref="H7:J7"/>
    <mergeCell ref="P7:Q7"/>
    <mergeCell ref="R7:T7"/>
    <mergeCell ref="F8:G8"/>
    <mergeCell ref="H8:J8"/>
    <mergeCell ref="L7:N7"/>
    <mergeCell ref="E16:F25"/>
    <mergeCell ref="C46:T46"/>
    <mergeCell ref="R8:T8"/>
    <mergeCell ref="F9:G11"/>
    <mergeCell ref="H9:T11"/>
    <mergeCell ref="F12:G12"/>
    <mergeCell ref="C13:T13"/>
    <mergeCell ref="G26:P26"/>
    <mergeCell ref="Q16:R25"/>
    <mergeCell ref="L8:Q8"/>
    <mergeCell ref="G15:P15"/>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data_info!B50</f>
        <v>50</v>
      </c>
      <c r="R24" s="407">
        <f>data_info!B51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data_info!F50</f>
        <v>50</v>
      </c>
      <c r="R25" s="407">
        <f>data_info!F51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data_info!H50</f>
        <v>50</v>
      </c>
      <c r="R26" s="407">
        <f>data_info!H51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data_info!L50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data_info!J52</f>
        <v>보통</v>
      </c>
      <c r="G31" s="1163"/>
      <c r="H31" s="1163"/>
      <c r="I31" s="1163"/>
      <c r="J31" s="1164"/>
      <c r="K31" s="1161" t="str">
        <f>lang!B657</f>
        <v>피로도</v>
      </c>
      <c r="L31" s="1162"/>
      <c r="M31" s="1162"/>
      <c r="N31" s="1163" t="str">
        <f>data_info!J53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data_info!B52</f>
        <v>50</v>
      </c>
      <c r="D33" s="1172"/>
      <c r="E33" s="1172"/>
      <c r="F33" s="1172"/>
      <c r="G33" s="1172"/>
      <c r="H33" s="1172"/>
      <c r="I33" s="1172"/>
      <c r="J33" s="1173"/>
      <c r="K33" s="868">
        <f>data_info!B53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data_info!B52</f>
        <v>50</v>
      </c>
      <c r="G37" s="1182"/>
      <c r="H37" s="401">
        <f>data_info!F52</f>
        <v>50</v>
      </c>
      <c r="I37" s="401">
        <f>data_info!H52</f>
        <v>50</v>
      </c>
      <c r="J37" s="292"/>
      <c r="K37" s="389"/>
      <c r="L37" s="237"/>
      <c r="M37" s="237"/>
      <c r="N37" s="1183" t="str">
        <f>lang!B657</f>
        <v>피로도</v>
      </c>
      <c r="O37" s="1183"/>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data_info!K5</f>
        <v>낮음</v>
      </c>
      <c r="N40" s="854">
        <f>data_info!F5</f>
        <v>0</v>
      </c>
      <c r="O40" s="855"/>
      <c r="P40" s="856">
        <f>data_info!B5</f>
        <v>0</v>
      </c>
      <c r="Q40" s="857"/>
      <c r="R40" s="858">
        <f>data_info!H5</f>
        <v>0</v>
      </c>
      <c r="S40" s="859"/>
    </row>
    <row r="41" spans="3:19" ht="18" customHeight="1">
      <c r="C41" s="77"/>
      <c r="J41" s="84"/>
      <c r="K41" s="139" t="str">
        <f>lang!B15</f>
        <v>스트레스</v>
      </c>
      <c r="L41" s="90" t="s">
        <v>226</v>
      </c>
      <c r="M41" s="103" t="str">
        <f>data_info!K6</f>
        <v>낮음</v>
      </c>
      <c r="N41" s="860">
        <f>data_info!F6</f>
        <v>0</v>
      </c>
      <c r="O41" s="861"/>
      <c r="P41" s="862">
        <f>data_info!B6</f>
        <v>0</v>
      </c>
      <c r="Q41" s="863"/>
      <c r="R41" s="860">
        <f>data_info!H6</f>
        <v>0</v>
      </c>
      <c r="S41" s="864"/>
    </row>
    <row r="42" spans="3:19" ht="18" customHeight="1">
      <c r="C42" s="77"/>
      <c r="J42" s="84"/>
      <c r="K42" s="139" t="str">
        <f>lang!B16</f>
        <v>불안</v>
      </c>
      <c r="L42" s="90" t="s">
        <v>227</v>
      </c>
      <c r="M42" s="103" t="str">
        <f>data_info!K7</f>
        <v>낮음</v>
      </c>
      <c r="N42" s="860">
        <f>data_info!F7</f>
        <v>0</v>
      </c>
      <c r="O42" s="861"/>
      <c r="P42" s="862">
        <f>data_info!B7</f>
        <v>0</v>
      </c>
      <c r="Q42" s="863"/>
      <c r="R42" s="860">
        <f>data_info!H7</f>
        <v>0</v>
      </c>
      <c r="S42" s="864"/>
    </row>
    <row r="43" spans="3:19" ht="18" customHeight="1">
      <c r="C43" s="77"/>
      <c r="J43" s="84"/>
      <c r="K43" s="139" t="str">
        <f>lang!B17</f>
        <v>의심</v>
      </c>
      <c r="L43" s="90" t="s">
        <v>225</v>
      </c>
      <c r="M43" s="103" t="str">
        <f>data_info!K8</f>
        <v>낮음</v>
      </c>
      <c r="N43" s="860">
        <f>data_info!F8</f>
        <v>0</v>
      </c>
      <c r="O43" s="861"/>
      <c r="P43" s="862">
        <f>data_info!B8</f>
        <v>0</v>
      </c>
      <c r="Q43" s="863"/>
      <c r="R43" s="860">
        <f>data_info!H8</f>
        <v>0</v>
      </c>
      <c r="S43" s="864"/>
    </row>
    <row r="44" spans="3:19" ht="18" customHeight="1">
      <c r="C44" s="77"/>
      <c r="J44" s="84"/>
      <c r="K44" s="139" t="str">
        <f>lang!B18</f>
        <v>밸런스</v>
      </c>
      <c r="L44" s="90" t="s">
        <v>2171</v>
      </c>
      <c r="M44" s="103" t="str">
        <f>data_info!K9</f>
        <v>낮음</v>
      </c>
      <c r="N44" s="860">
        <f>data_info!F9</f>
        <v>0</v>
      </c>
      <c r="O44" s="861"/>
      <c r="P44" s="862">
        <f>data_info!B9</f>
        <v>0</v>
      </c>
      <c r="Q44" s="863"/>
      <c r="R44" s="860">
        <f>data_info!H9</f>
        <v>0</v>
      </c>
      <c r="S44" s="864"/>
    </row>
    <row r="45" spans="3:19" ht="18" customHeight="1">
      <c r="C45" s="77"/>
      <c r="J45" s="84"/>
      <c r="K45" s="139" t="str">
        <f>lang!B19</f>
        <v>카리스마</v>
      </c>
      <c r="L45" s="90" t="s">
        <v>229</v>
      </c>
      <c r="M45" s="103" t="str">
        <f>data_info!K10</f>
        <v>낮음</v>
      </c>
      <c r="N45" s="860">
        <f>data_info!F10</f>
        <v>0</v>
      </c>
      <c r="O45" s="861"/>
      <c r="P45" s="862">
        <f>data_info!B10</f>
        <v>0</v>
      </c>
      <c r="Q45" s="863"/>
      <c r="R45" s="860">
        <f>data_info!H10</f>
        <v>0</v>
      </c>
      <c r="S45" s="864"/>
    </row>
    <row r="46" spans="3:19" ht="18" customHeight="1">
      <c r="C46" s="77"/>
      <c r="J46" s="84"/>
      <c r="K46" s="139" t="str">
        <f>lang!B20</f>
        <v>에너지</v>
      </c>
      <c r="L46" s="90" t="s">
        <v>2170</v>
      </c>
      <c r="M46" s="103" t="str">
        <f>data_info!K11</f>
        <v>낮음</v>
      </c>
      <c r="N46" s="860">
        <f>data_info!F11</f>
        <v>0</v>
      </c>
      <c r="O46" s="861"/>
      <c r="P46" s="862">
        <f>data_info!B11</f>
        <v>0</v>
      </c>
      <c r="Q46" s="863"/>
      <c r="R46" s="860">
        <f>data_info!H11</f>
        <v>0</v>
      </c>
      <c r="S46" s="864"/>
    </row>
    <row r="47" spans="3:19" ht="18" customHeight="1">
      <c r="C47" s="77"/>
      <c r="J47" s="84"/>
      <c r="K47" s="139" t="str">
        <f>lang!B21</f>
        <v>자기조절</v>
      </c>
      <c r="L47" s="90" t="s">
        <v>230</v>
      </c>
      <c r="M47" s="103" t="str">
        <f>data_info!K12</f>
        <v>낮음</v>
      </c>
      <c r="N47" s="860">
        <f>data_info!F12</f>
        <v>0</v>
      </c>
      <c r="O47" s="861"/>
      <c r="P47" s="862">
        <f>data_info!B12</f>
        <v>0</v>
      </c>
      <c r="Q47" s="863"/>
      <c r="R47" s="860">
        <f>data_info!H12</f>
        <v>0</v>
      </c>
      <c r="S47" s="864"/>
    </row>
    <row r="48" spans="3:19" ht="18" customHeight="1">
      <c r="C48" s="77"/>
      <c r="J48" s="84"/>
      <c r="K48" s="139" t="str">
        <f>lang!B22</f>
        <v>억제</v>
      </c>
      <c r="L48" s="91" t="s">
        <v>248</v>
      </c>
      <c r="M48" s="103" t="str">
        <f>data_info!K13</f>
        <v>낮음</v>
      </c>
      <c r="N48" s="860">
        <f>data_info!F13</f>
        <v>0</v>
      </c>
      <c r="O48" s="861"/>
      <c r="P48" s="862">
        <f>data_info!B13</f>
        <v>0</v>
      </c>
      <c r="Q48" s="863"/>
      <c r="R48" s="860">
        <f>data_info!H13</f>
        <v>0</v>
      </c>
      <c r="S48" s="864"/>
    </row>
    <row r="49" spans="3:19" ht="18" customHeight="1" thickBot="1">
      <c r="C49" s="385"/>
      <c r="D49" s="248"/>
      <c r="E49" s="248"/>
      <c r="F49" s="248"/>
      <c r="G49" s="248"/>
      <c r="H49" s="248"/>
      <c r="I49" s="248"/>
      <c r="J49" s="386"/>
      <c r="K49" s="140" t="str">
        <f>lang!B23</f>
        <v>신경성</v>
      </c>
      <c r="L49" s="92" t="s">
        <v>231</v>
      </c>
      <c r="M49" s="371" t="str">
        <f>data_info!K14</f>
        <v>낮음</v>
      </c>
      <c r="N49" s="901">
        <f>data_info!F14</f>
        <v>0</v>
      </c>
      <c r="O49" s="902"/>
      <c r="P49" s="903">
        <f>data_info!B14</f>
        <v>0</v>
      </c>
      <c r="Q49" s="904"/>
      <c r="R49" s="901">
        <f>data_info!H14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I15:L20"/>
    <mergeCell ref="C13:S13"/>
    <mergeCell ref="F37:G37"/>
    <mergeCell ref="N37:O37"/>
    <mergeCell ref="N36:O36"/>
    <mergeCell ref="I23:L28"/>
    <mergeCell ref="F36:G36"/>
    <mergeCell ref="O23:P23"/>
    <mergeCell ref="O24:P24"/>
    <mergeCell ref="O25:P25"/>
    <mergeCell ref="O26:P26"/>
    <mergeCell ref="Q27:R27"/>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R40:S40"/>
    <mergeCell ref="N41:O41"/>
    <mergeCell ref="P41:Q41"/>
    <mergeCell ref="R41:S41"/>
    <mergeCell ref="N42:O42"/>
    <mergeCell ref="P42:Q42"/>
    <mergeCell ref="R42:S42"/>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C3:O4"/>
    <mergeCell ref="P3:S4"/>
    <mergeCell ref="C7:E11"/>
    <mergeCell ref="H7:J7"/>
    <mergeCell ref="L7:M7"/>
    <mergeCell ref="O7:P7"/>
    <mergeCell ref="Q7:S7"/>
    <mergeCell ref="H8:J8"/>
    <mergeCell ref="Q8:S8"/>
    <mergeCell ref="H9:S11"/>
    <mergeCell ref="F7:G7"/>
    <mergeCell ref="F8:G8"/>
    <mergeCell ref="F9:G11"/>
    <mergeCell ref="L8:P8"/>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data_info!V50</f>
        <v>50</v>
      </c>
      <c r="R24" s="407">
        <f>data_info!V51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data_info!Z50</f>
        <v>50</v>
      </c>
      <c r="R25" s="407">
        <f>data_info!Z51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data_info!AB50</f>
        <v>50</v>
      </c>
      <c r="R26" s="407">
        <f>data_info!AB51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data_info!AF50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data_info!AD52</f>
        <v>보통</v>
      </c>
      <c r="G31" s="1163"/>
      <c r="H31" s="1163"/>
      <c r="I31" s="1163"/>
      <c r="J31" s="1164"/>
      <c r="K31" s="1161" t="str">
        <f>lang!B657</f>
        <v>피로도</v>
      </c>
      <c r="L31" s="1162"/>
      <c r="M31" s="1162"/>
      <c r="N31" s="1163" t="str">
        <f>data_info!AD53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data_info!V52</f>
        <v>50</v>
      </c>
      <c r="D33" s="1172"/>
      <c r="E33" s="1172"/>
      <c r="F33" s="1172"/>
      <c r="G33" s="1172"/>
      <c r="H33" s="1172"/>
      <c r="I33" s="1172"/>
      <c r="J33" s="1173"/>
      <c r="K33" s="868">
        <f>data_info!V53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data_info!V52</f>
        <v>50</v>
      </c>
      <c r="G37" s="1182"/>
      <c r="H37" s="401">
        <f>data_info!Z52</f>
        <v>50</v>
      </c>
      <c r="I37" s="401">
        <f>data_info!AB52</f>
        <v>50</v>
      </c>
      <c r="J37" s="292"/>
      <c r="K37" s="389"/>
      <c r="L37" s="237"/>
      <c r="M37" s="237"/>
      <c r="N37" s="1183" t="str">
        <f>lang!B657</f>
        <v>피로도</v>
      </c>
      <c r="O37" s="1183"/>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data_info!AE5</f>
        <v>낮음</v>
      </c>
      <c r="N40" s="854">
        <f>data_info!Z5</f>
        <v>0</v>
      </c>
      <c r="O40" s="855"/>
      <c r="P40" s="856">
        <f>data_info!V5</f>
        <v>0</v>
      </c>
      <c r="Q40" s="857"/>
      <c r="R40" s="858">
        <f>data_info!AB5</f>
        <v>0</v>
      </c>
      <c r="S40" s="859"/>
    </row>
    <row r="41" spans="3:19" ht="18" customHeight="1">
      <c r="C41" s="77"/>
      <c r="J41" s="84"/>
      <c r="K41" s="139" t="str">
        <f>lang!B15</f>
        <v>스트레스</v>
      </c>
      <c r="L41" s="90" t="s">
        <v>226</v>
      </c>
      <c r="M41" s="103" t="str">
        <f>data_info!AE6</f>
        <v>낮음</v>
      </c>
      <c r="N41" s="860">
        <f>data_info!Z6</f>
        <v>0</v>
      </c>
      <c r="O41" s="861"/>
      <c r="P41" s="862">
        <f>data_info!V6</f>
        <v>0</v>
      </c>
      <c r="Q41" s="863"/>
      <c r="R41" s="860">
        <f>data_info!AB6</f>
        <v>0</v>
      </c>
      <c r="S41" s="864"/>
    </row>
    <row r="42" spans="3:19" ht="18" customHeight="1">
      <c r="C42" s="77"/>
      <c r="J42" s="84"/>
      <c r="K42" s="139" t="str">
        <f>lang!B16</f>
        <v>불안</v>
      </c>
      <c r="L42" s="90" t="s">
        <v>227</v>
      </c>
      <c r="M42" s="103" t="str">
        <f>data_info!AE7</f>
        <v>낮음</v>
      </c>
      <c r="N42" s="860">
        <f>data_info!Z7</f>
        <v>0</v>
      </c>
      <c r="O42" s="861"/>
      <c r="P42" s="862">
        <f>data_info!V7</f>
        <v>0</v>
      </c>
      <c r="Q42" s="863"/>
      <c r="R42" s="860">
        <f>data_info!AB7</f>
        <v>0</v>
      </c>
      <c r="S42" s="864"/>
    </row>
    <row r="43" spans="3:19" ht="18" customHeight="1">
      <c r="C43" s="77"/>
      <c r="J43" s="84"/>
      <c r="K43" s="139" t="str">
        <f>lang!B17</f>
        <v>의심</v>
      </c>
      <c r="L43" s="90" t="s">
        <v>225</v>
      </c>
      <c r="M43" s="103" t="str">
        <f>data_info!AE8</f>
        <v>낮음</v>
      </c>
      <c r="N43" s="860">
        <f>data_info!Z8</f>
        <v>0</v>
      </c>
      <c r="O43" s="861"/>
      <c r="P43" s="862">
        <f>data_info!V8</f>
        <v>0</v>
      </c>
      <c r="Q43" s="863"/>
      <c r="R43" s="860">
        <f>data_info!AB8</f>
        <v>0</v>
      </c>
      <c r="S43" s="864"/>
    </row>
    <row r="44" spans="3:19" ht="18" customHeight="1">
      <c r="C44" s="77"/>
      <c r="J44" s="84"/>
      <c r="K44" s="139" t="str">
        <f>lang!B18</f>
        <v>밸런스</v>
      </c>
      <c r="L44" s="90" t="s">
        <v>2171</v>
      </c>
      <c r="M44" s="103" t="str">
        <f>data_info!AE9</f>
        <v>낮음</v>
      </c>
      <c r="N44" s="860">
        <f>data_info!Z9</f>
        <v>0</v>
      </c>
      <c r="O44" s="861"/>
      <c r="P44" s="862">
        <f>data_info!V9</f>
        <v>0</v>
      </c>
      <c r="Q44" s="863"/>
      <c r="R44" s="860">
        <f>data_info!AB9</f>
        <v>0</v>
      </c>
      <c r="S44" s="864"/>
    </row>
    <row r="45" spans="3:19" ht="18" customHeight="1">
      <c r="C45" s="77"/>
      <c r="J45" s="84"/>
      <c r="K45" s="139" t="str">
        <f>lang!B19</f>
        <v>카리스마</v>
      </c>
      <c r="L45" s="90" t="s">
        <v>229</v>
      </c>
      <c r="M45" s="103" t="str">
        <f>data_info!AE10</f>
        <v>낮음</v>
      </c>
      <c r="N45" s="860">
        <f>data_info!Z10</f>
        <v>0</v>
      </c>
      <c r="O45" s="861"/>
      <c r="P45" s="862">
        <f>data_info!V10</f>
        <v>0</v>
      </c>
      <c r="Q45" s="863"/>
      <c r="R45" s="860">
        <f>data_info!AB10</f>
        <v>0</v>
      </c>
      <c r="S45" s="864"/>
    </row>
    <row r="46" spans="3:19" ht="18" customHeight="1">
      <c r="C46" s="77"/>
      <c r="J46" s="84"/>
      <c r="K46" s="139" t="str">
        <f>lang!B20</f>
        <v>에너지</v>
      </c>
      <c r="L46" s="90" t="s">
        <v>2170</v>
      </c>
      <c r="M46" s="103" t="str">
        <f>data_info!AE11</f>
        <v>낮음</v>
      </c>
      <c r="N46" s="860">
        <f>data_info!Z11</f>
        <v>0</v>
      </c>
      <c r="O46" s="861"/>
      <c r="P46" s="862">
        <f>data_info!V11</f>
        <v>0</v>
      </c>
      <c r="Q46" s="863"/>
      <c r="R46" s="860">
        <f>data_info!AB11</f>
        <v>0</v>
      </c>
      <c r="S46" s="864"/>
    </row>
    <row r="47" spans="3:19" ht="18" customHeight="1">
      <c r="C47" s="77"/>
      <c r="J47" s="84"/>
      <c r="K47" s="139" t="str">
        <f>lang!B21</f>
        <v>자기조절</v>
      </c>
      <c r="L47" s="90" t="s">
        <v>230</v>
      </c>
      <c r="M47" s="103" t="str">
        <f>data_info!AE12</f>
        <v>낮음</v>
      </c>
      <c r="N47" s="860">
        <f>data_info!Z12</f>
        <v>0</v>
      </c>
      <c r="O47" s="861"/>
      <c r="P47" s="862">
        <f>data_info!V12</f>
        <v>0</v>
      </c>
      <c r="Q47" s="863"/>
      <c r="R47" s="860">
        <f>data_info!AB12</f>
        <v>0</v>
      </c>
      <c r="S47" s="864"/>
    </row>
    <row r="48" spans="3:19" ht="18" customHeight="1">
      <c r="C48" s="77"/>
      <c r="J48" s="84"/>
      <c r="K48" s="139" t="str">
        <f>lang!B22</f>
        <v>억제</v>
      </c>
      <c r="L48" s="91" t="s">
        <v>248</v>
      </c>
      <c r="M48" s="103" t="str">
        <f>data_info!AE13</f>
        <v>낮음</v>
      </c>
      <c r="N48" s="860">
        <f>data_info!Z13</f>
        <v>0</v>
      </c>
      <c r="O48" s="861"/>
      <c r="P48" s="862">
        <f>data_info!V13</f>
        <v>0</v>
      </c>
      <c r="Q48" s="863"/>
      <c r="R48" s="860">
        <f>data_info!AB13</f>
        <v>0</v>
      </c>
      <c r="S48" s="864"/>
    </row>
    <row r="49" spans="3:19" ht="18" customHeight="1" thickBot="1">
      <c r="C49" s="385"/>
      <c r="D49" s="248"/>
      <c r="E49" s="248"/>
      <c r="F49" s="248"/>
      <c r="G49" s="248"/>
      <c r="H49" s="248"/>
      <c r="I49" s="248"/>
      <c r="J49" s="386"/>
      <c r="K49" s="140" t="str">
        <f>lang!B23</f>
        <v>신경성</v>
      </c>
      <c r="L49" s="92" t="s">
        <v>231</v>
      </c>
      <c r="M49" s="371" t="str">
        <f>data_info!AE14</f>
        <v>낮음</v>
      </c>
      <c r="N49" s="901">
        <f>data_info!Z14</f>
        <v>0</v>
      </c>
      <c r="O49" s="902"/>
      <c r="P49" s="903">
        <f>data_info!V14</f>
        <v>0</v>
      </c>
      <c r="Q49" s="904"/>
      <c r="R49" s="901">
        <f>data_info!AB14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N49:O49"/>
    <mergeCell ref="P49:Q49"/>
    <mergeCell ref="R49:S49"/>
    <mergeCell ref="C50:S50"/>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O26:P26"/>
    <mergeCell ref="D29:L29"/>
    <mergeCell ref="C31:E31"/>
    <mergeCell ref="F31:J31"/>
    <mergeCell ref="K31:M31"/>
    <mergeCell ref="N31:S31"/>
    <mergeCell ref="D23:H28"/>
    <mergeCell ref="I23:L28"/>
    <mergeCell ref="O23:P23"/>
    <mergeCell ref="O24:P24"/>
    <mergeCell ref="O25:P25"/>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data_info!AP50</f>
        <v>50</v>
      </c>
      <c r="R24" s="407">
        <f>data_info!AP51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data_info!AT50</f>
        <v>50</v>
      </c>
      <c r="R25" s="407">
        <f>data_info!AT51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data_info!AV50</f>
        <v>50</v>
      </c>
      <c r="R26" s="407">
        <f>data_info!AV51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data_info!AZ50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data_info!AX52</f>
        <v>보통</v>
      </c>
      <c r="G31" s="1163"/>
      <c r="H31" s="1163"/>
      <c r="I31" s="1163"/>
      <c r="J31" s="1164"/>
      <c r="K31" s="1161" t="str">
        <f>lang!B657</f>
        <v>피로도</v>
      </c>
      <c r="L31" s="1162"/>
      <c r="M31" s="1162"/>
      <c r="N31" s="1163" t="str">
        <f>data_info!AX53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data_info!AP52</f>
        <v>50</v>
      </c>
      <c r="D33" s="1172"/>
      <c r="E33" s="1172"/>
      <c r="F33" s="1172"/>
      <c r="G33" s="1172"/>
      <c r="H33" s="1172"/>
      <c r="I33" s="1172"/>
      <c r="J33" s="1173"/>
      <c r="K33" s="868">
        <f>data_info!AP53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data_info!AP52</f>
        <v>50</v>
      </c>
      <c r="G37" s="1182"/>
      <c r="H37" s="401">
        <f>data_info!AT52</f>
        <v>50</v>
      </c>
      <c r="I37" s="401">
        <f>data_info!AV52</f>
        <v>50</v>
      </c>
      <c r="J37" s="292"/>
      <c r="K37" s="389"/>
      <c r="L37" s="237"/>
      <c r="M37" s="237"/>
      <c r="N37" s="1183" t="str">
        <f>lang!B657</f>
        <v>피로도</v>
      </c>
      <c r="O37" s="1183"/>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data_info!AY5</f>
        <v>낮음</v>
      </c>
      <c r="N40" s="854">
        <f>data_info!AT5</f>
        <v>0</v>
      </c>
      <c r="O40" s="855"/>
      <c r="P40" s="856">
        <f>data_info!AP5</f>
        <v>0</v>
      </c>
      <c r="Q40" s="857"/>
      <c r="R40" s="858">
        <f>data_info!AV5</f>
        <v>0</v>
      </c>
      <c r="S40" s="859"/>
    </row>
    <row r="41" spans="3:19" ht="18" customHeight="1">
      <c r="C41" s="77"/>
      <c r="J41" s="84"/>
      <c r="K41" s="139" t="str">
        <f>lang!B15</f>
        <v>스트레스</v>
      </c>
      <c r="L41" s="90" t="s">
        <v>226</v>
      </c>
      <c r="M41" s="103" t="str">
        <f>data_info!AY6</f>
        <v>낮음</v>
      </c>
      <c r="N41" s="860">
        <f>data_info!AT6</f>
        <v>0</v>
      </c>
      <c r="O41" s="861"/>
      <c r="P41" s="862">
        <f>data_info!AP6</f>
        <v>0</v>
      </c>
      <c r="Q41" s="863"/>
      <c r="R41" s="860">
        <f>data_info!AV6</f>
        <v>0</v>
      </c>
      <c r="S41" s="864"/>
    </row>
    <row r="42" spans="3:19" ht="18" customHeight="1">
      <c r="C42" s="77"/>
      <c r="J42" s="84"/>
      <c r="K42" s="139" t="str">
        <f>lang!B16</f>
        <v>불안</v>
      </c>
      <c r="L42" s="90" t="s">
        <v>227</v>
      </c>
      <c r="M42" s="103" t="str">
        <f>data_info!AY7</f>
        <v>낮음</v>
      </c>
      <c r="N42" s="860">
        <f>data_info!AT7</f>
        <v>0</v>
      </c>
      <c r="O42" s="861"/>
      <c r="P42" s="862">
        <f>data_info!AP7</f>
        <v>0</v>
      </c>
      <c r="Q42" s="863"/>
      <c r="R42" s="860">
        <f>data_info!AV7</f>
        <v>0</v>
      </c>
      <c r="S42" s="864"/>
    </row>
    <row r="43" spans="3:19" ht="18" customHeight="1">
      <c r="C43" s="77"/>
      <c r="J43" s="84"/>
      <c r="K43" s="139" t="str">
        <f>lang!B17</f>
        <v>의심</v>
      </c>
      <c r="L43" s="90" t="s">
        <v>225</v>
      </c>
      <c r="M43" s="103" t="str">
        <f>data_info!AY8</f>
        <v>낮음</v>
      </c>
      <c r="N43" s="860">
        <f>data_info!AT8</f>
        <v>0</v>
      </c>
      <c r="O43" s="861"/>
      <c r="P43" s="862">
        <f>data_info!AP8</f>
        <v>0</v>
      </c>
      <c r="Q43" s="863"/>
      <c r="R43" s="860">
        <f>data_info!AV8</f>
        <v>0</v>
      </c>
      <c r="S43" s="864"/>
    </row>
    <row r="44" spans="3:19" ht="18" customHeight="1">
      <c r="C44" s="77"/>
      <c r="J44" s="84"/>
      <c r="K44" s="139" t="str">
        <f>lang!B18</f>
        <v>밸런스</v>
      </c>
      <c r="L44" s="90" t="s">
        <v>2171</v>
      </c>
      <c r="M44" s="103" t="str">
        <f>data_info!AY9</f>
        <v>낮음</v>
      </c>
      <c r="N44" s="860">
        <f>data_info!AT9</f>
        <v>0</v>
      </c>
      <c r="O44" s="861"/>
      <c r="P44" s="862">
        <f>data_info!AP9</f>
        <v>0</v>
      </c>
      <c r="Q44" s="863"/>
      <c r="R44" s="860">
        <f>data_info!AV9</f>
        <v>0</v>
      </c>
      <c r="S44" s="864"/>
    </row>
    <row r="45" spans="3:19" ht="18" customHeight="1">
      <c r="C45" s="77"/>
      <c r="J45" s="84"/>
      <c r="K45" s="139" t="str">
        <f>lang!B19</f>
        <v>카리스마</v>
      </c>
      <c r="L45" s="90" t="s">
        <v>229</v>
      </c>
      <c r="M45" s="103" t="str">
        <f>data_info!AY10</f>
        <v>낮음</v>
      </c>
      <c r="N45" s="860">
        <f>data_info!AT10</f>
        <v>0</v>
      </c>
      <c r="O45" s="861"/>
      <c r="P45" s="862">
        <f>data_info!AP10</f>
        <v>0</v>
      </c>
      <c r="Q45" s="863"/>
      <c r="R45" s="860">
        <f>data_info!AV10</f>
        <v>0</v>
      </c>
      <c r="S45" s="864"/>
    </row>
    <row r="46" spans="3:19" ht="18" customHeight="1">
      <c r="C46" s="77"/>
      <c r="J46" s="84"/>
      <c r="K46" s="139" t="str">
        <f>lang!B20</f>
        <v>에너지</v>
      </c>
      <c r="L46" s="90" t="s">
        <v>2170</v>
      </c>
      <c r="M46" s="103" t="str">
        <f>data_info!AY11</f>
        <v>낮음</v>
      </c>
      <c r="N46" s="860">
        <f>data_info!AT11</f>
        <v>0</v>
      </c>
      <c r="O46" s="861"/>
      <c r="P46" s="862">
        <f>data_info!AP11</f>
        <v>0</v>
      </c>
      <c r="Q46" s="863"/>
      <c r="R46" s="860">
        <f>data_info!AV11</f>
        <v>0</v>
      </c>
      <c r="S46" s="864"/>
    </row>
    <row r="47" spans="3:19" ht="18" customHeight="1">
      <c r="C47" s="77"/>
      <c r="J47" s="84"/>
      <c r="K47" s="139" t="str">
        <f>lang!B21</f>
        <v>자기조절</v>
      </c>
      <c r="L47" s="90" t="s">
        <v>230</v>
      </c>
      <c r="M47" s="103" t="str">
        <f>data_info!AY12</f>
        <v>낮음</v>
      </c>
      <c r="N47" s="860">
        <f>data_info!AT12</f>
        <v>0</v>
      </c>
      <c r="O47" s="861"/>
      <c r="P47" s="862">
        <f>data_info!AP12</f>
        <v>0</v>
      </c>
      <c r="Q47" s="863"/>
      <c r="R47" s="860">
        <f>data_info!AV12</f>
        <v>0</v>
      </c>
      <c r="S47" s="864"/>
    </row>
    <row r="48" spans="3:19" ht="18" customHeight="1">
      <c r="C48" s="77"/>
      <c r="J48" s="84"/>
      <c r="K48" s="139" t="str">
        <f>lang!B22</f>
        <v>억제</v>
      </c>
      <c r="L48" s="91" t="s">
        <v>248</v>
      </c>
      <c r="M48" s="103" t="str">
        <f>data_info!AY13</f>
        <v>낮음</v>
      </c>
      <c r="N48" s="860">
        <f>data_info!AT13</f>
        <v>0</v>
      </c>
      <c r="O48" s="861"/>
      <c r="P48" s="862">
        <f>data_info!AP13</f>
        <v>0</v>
      </c>
      <c r="Q48" s="863"/>
      <c r="R48" s="860">
        <f>data_info!AV13</f>
        <v>0</v>
      </c>
      <c r="S48" s="864"/>
    </row>
    <row r="49" spans="3:19" ht="18" customHeight="1" thickBot="1">
      <c r="C49" s="385"/>
      <c r="D49" s="248"/>
      <c r="E49" s="248"/>
      <c r="F49" s="248"/>
      <c r="G49" s="248"/>
      <c r="H49" s="248"/>
      <c r="I49" s="248"/>
      <c r="J49" s="386"/>
      <c r="K49" s="140" t="str">
        <f>lang!B23</f>
        <v>신경성</v>
      </c>
      <c r="L49" s="92" t="s">
        <v>231</v>
      </c>
      <c r="M49" s="371" t="str">
        <f>data_info!AY14</f>
        <v>낮음</v>
      </c>
      <c r="N49" s="901">
        <f>data_info!AT14</f>
        <v>0</v>
      </c>
      <c r="O49" s="902"/>
      <c r="P49" s="903">
        <f>data_info!AP14</f>
        <v>0</v>
      </c>
      <c r="Q49" s="904"/>
      <c r="R49" s="901">
        <f>data_info!AV14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N49:O49"/>
    <mergeCell ref="P49:Q49"/>
    <mergeCell ref="R49:S49"/>
    <mergeCell ref="C50:S50"/>
    <mergeCell ref="N47:O47"/>
    <mergeCell ref="P47:Q47"/>
    <mergeCell ref="R47:S47"/>
    <mergeCell ref="N48:O48"/>
    <mergeCell ref="P48:Q48"/>
    <mergeCell ref="R48:S48"/>
    <mergeCell ref="N45:O45"/>
    <mergeCell ref="P45:Q45"/>
    <mergeCell ref="R45:S45"/>
    <mergeCell ref="N46:O46"/>
    <mergeCell ref="P46:Q46"/>
    <mergeCell ref="R46:S46"/>
    <mergeCell ref="N43:O43"/>
    <mergeCell ref="P43:Q43"/>
    <mergeCell ref="R43:S43"/>
    <mergeCell ref="N44:O44"/>
    <mergeCell ref="P44:Q44"/>
    <mergeCell ref="R44:S44"/>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O26:P26"/>
    <mergeCell ref="D29:L29"/>
    <mergeCell ref="C31:E31"/>
    <mergeCell ref="F31:J31"/>
    <mergeCell ref="K31:M31"/>
    <mergeCell ref="N31:S31"/>
    <mergeCell ref="D23:H28"/>
    <mergeCell ref="I23:L28"/>
    <mergeCell ref="O23:P23"/>
    <mergeCell ref="O24:P24"/>
    <mergeCell ref="O25:P25"/>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data_info!BJ50</f>
        <v>50</v>
      </c>
      <c r="R24" s="407">
        <f>data_info!BJ51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data_info!BN50</f>
        <v>50</v>
      </c>
      <c r="R25" s="407">
        <f>data_info!BN51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data_info!BP50</f>
        <v>50</v>
      </c>
      <c r="R26" s="407">
        <f>data_info!BP51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data_info!BT50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data_info!BR52</f>
        <v>보통</v>
      </c>
      <c r="G31" s="1163"/>
      <c r="H31" s="1163"/>
      <c r="I31" s="1163"/>
      <c r="J31" s="1164"/>
      <c r="K31" s="1161" t="str">
        <f>lang!B657</f>
        <v>피로도</v>
      </c>
      <c r="L31" s="1162"/>
      <c r="M31" s="1162"/>
      <c r="N31" s="1163" t="str">
        <f>data_info!BR53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data_info!BJ52</f>
        <v>50</v>
      </c>
      <c r="D33" s="1172"/>
      <c r="E33" s="1172"/>
      <c r="F33" s="1172"/>
      <c r="G33" s="1172"/>
      <c r="H33" s="1172"/>
      <c r="I33" s="1172"/>
      <c r="J33" s="1173"/>
      <c r="K33" s="868">
        <f>data_info!BJ53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data_info!BJ52</f>
        <v>50</v>
      </c>
      <c r="G37" s="1182"/>
      <c r="H37" s="401">
        <f>data_info!BN52</f>
        <v>50</v>
      </c>
      <c r="I37" s="401">
        <f>data_info!BP52</f>
        <v>50</v>
      </c>
      <c r="J37" s="292"/>
      <c r="K37" s="389"/>
      <c r="L37" s="237"/>
      <c r="M37" s="237"/>
      <c r="N37" s="1183" t="str">
        <f>lang!B657</f>
        <v>피로도</v>
      </c>
      <c r="O37" s="1183"/>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data_info!BS5</f>
        <v>낮음</v>
      </c>
      <c r="N40" s="854">
        <f>data_info!BN5</f>
        <v>0</v>
      </c>
      <c r="O40" s="855"/>
      <c r="P40" s="856">
        <f>data_info!BJ5</f>
        <v>0</v>
      </c>
      <c r="Q40" s="857"/>
      <c r="R40" s="858">
        <f>data_info!BP5</f>
        <v>0</v>
      </c>
      <c r="S40" s="859"/>
    </row>
    <row r="41" spans="3:19" ht="18" customHeight="1">
      <c r="C41" s="77"/>
      <c r="J41" s="84"/>
      <c r="K41" s="139" t="str">
        <f>lang!B15</f>
        <v>스트레스</v>
      </c>
      <c r="L41" s="90" t="s">
        <v>226</v>
      </c>
      <c r="M41" s="103" t="str">
        <f>data_info!BS6</f>
        <v>낮음</v>
      </c>
      <c r="N41" s="860">
        <f>data_info!BN6</f>
        <v>0</v>
      </c>
      <c r="O41" s="861"/>
      <c r="P41" s="862">
        <f>data_info!BJ6</f>
        <v>0</v>
      </c>
      <c r="Q41" s="863"/>
      <c r="R41" s="860">
        <f>data_info!BP6</f>
        <v>0</v>
      </c>
      <c r="S41" s="864"/>
    </row>
    <row r="42" spans="3:19" ht="18" customHeight="1">
      <c r="C42" s="77"/>
      <c r="J42" s="84"/>
      <c r="K42" s="139" t="str">
        <f>lang!B16</f>
        <v>불안</v>
      </c>
      <c r="L42" s="90" t="s">
        <v>227</v>
      </c>
      <c r="M42" s="103" t="str">
        <f>data_info!BS7</f>
        <v>낮음</v>
      </c>
      <c r="N42" s="860">
        <f>data_info!BN7</f>
        <v>0</v>
      </c>
      <c r="O42" s="861"/>
      <c r="P42" s="862">
        <f>data_info!BJ7</f>
        <v>0</v>
      </c>
      <c r="Q42" s="863"/>
      <c r="R42" s="860">
        <f>data_info!BP7</f>
        <v>0</v>
      </c>
      <c r="S42" s="864"/>
    </row>
    <row r="43" spans="3:19" ht="18" customHeight="1">
      <c r="C43" s="77"/>
      <c r="J43" s="84"/>
      <c r="K43" s="139" t="str">
        <f>lang!B17</f>
        <v>의심</v>
      </c>
      <c r="L43" s="90" t="s">
        <v>225</v>
      </c>
      <c r="M43" s="103" t="str">
        <f>data_info!BS8</f>
        <v>낮음</v>
      </c>
      <c r="N43" s="860">
        <f>data_info!BN8</f>
        <v>0</v>
      </c>
      <c r="O43" s="861"/>
      <c r="P43" s="862">
        <f>data_info!BJ8</f>
        <v>0</v>
      </c>
      <c r="Q43" s="863"/>
      <c r="R43" s="860">
        <f>data_info!BP8</f>
        <v>0</v>
      </c>
      <c r="S43" s="864"/>
    </row>
    <row r="44" spans="3:19" ht="18" customHeight="1">
      <c r="C44" s="77"/>
      <c r="J44" s="84"/>
      <c r="K44" s="139" t="str">
        <f>lang!B18</f>
        <v>밸런스</v>
      </c>
      <c r="L44" s="90" t="s">
        <v>2171</v>
      </c>
      <c r="M44" s="103" t="str">
        <f>data_info!BS9</f>
        <v>낮음</v>
      </c>
      <c r="N44" s="860">
        <f>data_info!BN9</f>
        <v>0</v>
      </c>
      <c r="O44" s="861"/>
      <c r="P44" s="862">
        <f>data_info!BJ9</f>
        <v>0</v>
      </c>
      <c r="Q44" s="863"/>
      <c r="R44" s="860">
        <f>data_info!BP9</f>
        <v>0</v>
      </c>
      <c r="S44" s="864"/>
    </row>
    <row r="45" spans="3:19" ht="18" customHeight="1">
      <c r="C45" s="77"/>
      <c r="J45" s="84"/>
      <c r="K45" s="139" t="str">
        <f>lang!B19</f>
        <v>카리스마</v>
      </c>
      <c r="L45" s="90" t="s">
        <v>229</v>
      </c>
      <c r="M45" s="103" t="str">
        <f>data_info!BS10</f>
        <v>낮음</v>
      </c>
      <c r="N45" s="860">
        <f>data_info!BN10</f>
        <v>0</v>
      </c>
      <c r="O45" s="861"/>
      <c r="P45" s="862">
        <f>data_info!BJ10</f>
        <v>0</v>
      </c>
      <c r="Q45" s="863"/>
      <c r="R45" s="860">
        <f>data_info!BP10</f>
        <v>0</v>
      </c>
      <c r="S45" s="864"/>
    </row>
    <row r="46" spans="3:19" ht="18" customHeight="1">
      <c r="C46" s="77"/>
      <c r="J46" s="84"/>
      <c r="K46" s="139" t="str">
        <f>lang!B20</f>
        <v>에너지</v>
      </c>
      <c r="L46" s="90" t="s">
        <v>2170</v>
      </c>
      <c r="M46" s="103" t="str">
        <f>data_info!BS11</f>
        <v>낮음</v>
      </c>
      <c r="N46" s="860">
        <f>data_info!BN11</f>
        <v>0</v>
      </c>
      <c r="O46" s="861"/>
      <c r="P46" s="862">
        <f>data_info!BJ11</f>
        <v>0</v>
      </c>
      <c r="Q46" s="863"/>
      <c r="R46" s="860">
        <f>data_info!BP11</f>
        <v>0</v>
      </c>
      <c r="S46" s="864"/>
    </row>
    <row r="47" spans="3:19" ht="18" customHeight="1">
      <c r="C47" s="77"/>
      <c r="J47" s="84"/>
      <c r="K47" s="139" t="str">
        <f>lang!B21</f>
        <v>자기조절</v>
      </c>
      <c r="L47" s="90" t="s">
        <v>230</v>
      </c>
      <c r="M47" s="103" t="str">
        <f>data_info!BS12</f>
        <v>낮음</v>
      </c>
      <c r="N47" s="860">
        <f>data_info!BN12</f>
        <v>0</v>
      </c>
      <c r="O47" s="861"/>
      <c r="P47" s="862">
        <f>data_info!BJ12</f>
        <v>0</v>
      </c>
      <c r="Q47" s="863"/>
      <c r="R47" s="860">
        <f>data_info!BP12</f>
        <v>0</v>
      </c>
      <c r="S47" s="864"/>
    </row>
    <row r="48" spans="3:19" ht="18" customHeight="1">
      <c r="C48" s="77"/>
      <c r="J48" s="84"/>
      <c r="K48" s="139" t="str">
        <f>lang!B22</f>
        <v>억제</v>
      </c>
      <c r="L48" s="91" t="s">
        <v>248</v>
      </c>
      <c r="M48" s="103" t="str">
        <f>data_info!BS13</f>
        <v>낮음</v>
      </c>
      <c r="N48" s="860">
        <f>data_info!BN13</f>
        <v>0</v>
      </c>
      <c r="O48" s="861"/>
      <c r="P48" s="862">
        <f>data_info!BJ13</f>
        <v>0</v>
      </c>
      <c r="Q48" s="863"/>
      <c r="R48" s="860">
        <f>data_info!BP13</f>
        <v>0</v>
      </c>
      <c r="S48" s="864"/>
    </row>
    <row r="49" spans="3:19" ht="18" customHeight="1" thickBot="1">
      <c r="C49" s="385"/>
      <c r="D49" s="248"/>
      <c r="E49" s="248"/>
      <c r="F49" s="248"/>
      <c r="G49" s="248"/>
      <c r="H49" s="248"/>
      <c r="I49" s="248"/>
      <c r="J49" s="386"/>
      <c r="K49" s="140" t="str">
        <f>lang!B23</f>
        <v>신경성</v>
      </c>
      <c r="L49" s="92" t="s">
        <v>231</v>
      </c>
      <c r="M49" s="371" t="str">
        <f>data_info!BS14</f>
        <v>낮음</v>
      </c>
      <c r="N49" s="901">
        <f>data_info!BN14</f>
        <v>0</v>
      </c>
      <c r="O49" s="902"/>
      <c r="P49" s="903">
        <f>data_info!BJ14</f>
        <v>0</v>
      </c>
      <c r="Q49" s="904"/>
      <c r="R49" s="901">
        <f>data_info!BP14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data_info!CD50</f>
        <v>50</v>
      </c>
      <c r="R24" s="407">
        <f>data_info!CD51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data_info!CH50</f>
        <v>50</v>
      </c>
      <c r="R25" s="407">
        <f>data_info!CH51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data_info!CJ50</f>
        <v>50</v>
      </c>
      <c r="R26" s="407">
        <f>data_info!CJ51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data_info!CN50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data_info!CL52</f>
        <v>보통</v>
      </c>
      <c r="G31" s="1163"/>
      <c r="H31" s="1163"/>
      <c r="I31" s="1163"/>
      <c r="J31" s="1164"/>
      <c r="K31" s="1161" t="str">
        <f>lang!B657</f>
        <v>피로도</v>
      </c>
      <c r="L31" s="1162"/>
      <c r="M31" s="1162"/>
      <c r="N31" s="1163" t="str">
        <f>data_info!CL53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data_info!CD52</f>
        <v>50</v>
      </c>
      <c r="D33" s="1172"/>
      <c r="E33" s="1172"/>
      <c r="F33" s="1172"/>
      <c r="G33" s="1172"/>
      <c r="H33" s="1172"/>
      <c r="I33" s="1172"/>
      <c r="J33" s="1173"/>
      <c r="K33" s="868">
        <f>data_info!CD53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data_info!CD52</f>
        <v>50</v>
      </c>
      <c r="G37" s="1182"/>
      <c r="H37" s="401">
        <f>data_info!CH52</f>
        <v>50</v>
      </c>
      <c r="I37" s="401">
        <f>data_info!CJ52</f>
        <v>50</v>
      </c>
      <c r="J37" s="292"/>
      <c r="K37" s="389"/>
      <c r="L37" s="237"/>
      <c r="M37" s="237"/>
      <c r="N37" s="1183" t="str">
        <f>lang!B657</f>
        <v>피로도</v>
      </c>
      <c r="O37" s="1183"/>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data_info!CM5</f>
        <v>낮음</v>
      </c>
      <c r="N40" s="854">
        <f>data_info!CH5</f>
        <v>0</v>
      </c>
      <c r="O40" s="855"/>
      <c r="P40" s="856">
        <f>data_info!CD5</f>
        <v>0</v>
      </c>
      <c r="Q40" s="857"/>
      <c r="R40" s="858">
        <f>data_info!CJ5</f>
        <v>0</v>
      </c>
      <c r="S40" s="859"/>
    </row>
    <row r="41" spans="3:19" ht="18" customHeight="1">
      <c r="C41" s="77"/>
      <c r="J41" s="84"/>
      <c r="K41" s="139" t="str">
        <f>lang!B15</f>
        <v>스트레스</v>
      </c>
      <c r="L41" s="90" t="s">
        <v>226</v>
      </c>
      <c r="M41" s="103" t="str">
        <f>data_info!CM6</f>
        <v>낮음</v>
      </c>
      <c r="N41" s="860">
        <f>data_info!CH6</f>
        <v>0</v>
      </c>
      <c r="O41" s="861"/>
      <c r="P41" s="862">
        <f>data_info!CD6</f>
        <v>0</v>
      </c>
      <c r="Q41" s="863"/>
      <c r="R41" s="860">
        <f>data_info!CJ6</f>
        <v>0</v>
      </c>
      <c r="S41" s="864"/>
    </row>
    <row r="42" spans="3:19" ht="18" customHeight="1">
      <c r="C42" s="77"/>
      <c r="J42" s="84"/>
      <c r="K42" s="139" t="str">
        <f>lang!B16</f>
        <v>불안</v>
      </c>
      <c r="L42" s="90" t="s">
        <v>227</v>
      </c>
      <c r="M42" s="103" t="str">
        <f>data_info!CM7</f>
        <v>낮음</v>
      </c>
      <c r="N42" s="860">
        <f>data_info!CH7</f>
        <v>0</v>
      </c>
      <c r="O42" s="861"/>
      <c r="P42" s="862">
        <f>data_info!CD7</f>
        <v>0</v>
      </c>
      <c r="Q42" s="863"/>
      <c r="R42" s="860">
        <f>data_info!CJ7</f>
        <v>0</v>
      </c>
      <c r="S42" s="864"/>
    </row>
    <row r="43" spans="3:19" ht="18" customHeight="1">
      <c r="C43" s="77"/>
      <c r="J43" s="84"/>
      <c r="K43" s="139" t="str">
        <f>lang!B17</f>
        <v>의심</v>
      </c>
      <c r="L43" s="90" t="s">
        <v>225</v>
      </c>
      <c r="M43" s="103" t="str">
        <f>data_info!CM8</f>
        <v>낮음</v>
      </c>
      <c r="N43" s="860">
        <f>data_info!CH8</f>
        <v>0</v>
      </c>
      <c r="O43" s="861"/>
      <c r="P43" s="862">
        <f>data_info!CD8</f>
        <v>0</v>
      </c>
      <c r="Q43" s="863"/>
      <c r="R43" s="860">
        <f>data_info!CJ8</f>
        <v>0</v>
      </c>
      <c r="S43" s="864"/>
    </row>
    <row r="44" spans="3:19" ht="18" customHeight="1">
      <c r="C44" s="77"/>
      <c r="J44" s="84"/>
      <c r="K44" s="139" t="str">
        <f>lang!B18</f>
        <v>밸런스</v>
      </c>
      <c r="L44" s="90" t="s">
        <v>2171</v>
      </c>
      <c r="M44" s="103" t="str">
        <f>data_info!CM9</f>
        <v>낮음</v>
      </c>
      <c r="N44" s="860">
        <f>data_info!CH9</f>
        <v>0</v>
      </c>
      <c r="O44" s="861"/>
      <c r="P44" s="862">
        <f>data_info!CD9</f>
        <v>0</v>
      </c>
      <c r="Q44" s="863"/>
      <c r="R44" s="860">
        <f>data_info!CJ9</f>
        <v>0</v>
      </c>
      <c r="S44" s="864"/>
    </row>
    <row r="45" spans="3:19" ht="18" customHeight="1">
      <c r="C45" s="77"/>
      <c r="J45" s="84"/>
      <c r="K45" s="139" t="str">
        <f>lang!B19</f>
        <v>카리스마</v>
      </c>
      <c r="L45" s="90" t="s">
        <v>229</v>
      </c>
      <c r="M45" s="103" t="str">
        <f>data_info!CM10</f>
        <v>낮음</v>
      </c>
      <c r="N45" s="860">
        <f>data_info!CH10</f>
        <v>0</v>
      </c>
      <c r="O45" s="861"/>
      <c r="P45" s="862">
        <f>data_info!CD10</f>
        <v>0</v>
      </c>
      <c r="Q45" s="863"/>
      <c r="R45" s="860">
        <f>data_info!CJ10</f>
        <v>0</v>
      </c>
      <c r="S45" s="864"/>
    </row>
    <row r="46" spans="3:19" ht="18" customHeight="1">
      <c r="C46" s="77"/>
      <c r="J46" s="84"/>
      <c r="K46" s="139" t="str">
        <f>lang!B20</f>
        <v>에너지</v>
      </c>
      <c r="L46" s="90" t="s">
        <v>2170</v>
      </c>
      <c r="M46" s="103" t="str">
        <f>data_info!CM11</f>
        <v>낮음</v>
      </c>
      <c r="N46" s="860">
        <f>data_info!CH11</f>
        <v>0</v>
      </c>
      <c r="O46" s="861"/>
      <c r="P46" s="862">
        <f>data_info!CD11</f>
        <v>0</v>
      </c>
      <c r="Q46" s="863"/>
      <c r="R46" s="860">
        <f>data_info!CJ11</f>
        <v>0</v>
      </c>
      <c r="S46" s="864"/>
    </row>
    <row r="47" spans="3:19" ht="18" customHeight="1">
      <c r="C47" s="77"/>
      <c r="J47" s="84"/>
      <c r="K47" s="139" t="str">
        <f>lang!B21</f>
        <v>자기조절</v>
      </c>
      <c r="L47" s="90" t="s">
        <v>230</v>
      </c>
      <c r="M47" s="103" t="str">
        <f>data_info!CM12</f>
        <v>낮음</v>
      </c>
      <c r="N47" s="860">
        <f>data_info!CH12</f>
        <v>0</v>
      </c>
      <c r="O47" s="861"/>
      <c r="P47" s="862">
        <f>data_info!CD12</f>
        <v>0</v>
      </c>
      <c r="Q47" s="863"/>
      <c r="R47" s="860">
        <f>data_info!CJ12</f>
        <v>0</v>
      </c>
      <c r="S47" s="864"/>
    </row>
    <row r="48" spans="3:19" ht="18" customHeight="1">
      <c r="C48" s="77"/>
      <c r="J48" s="84"/>
      <c r="K48" s="139" t="str">
        <f>lang!B22</f>
        <v>억제</v>
      </c>
      <c r="L48" s="91" t="s">
        <v>248</v>
      </c>
      <c r="M48" s="103" t="str">
        <f>data_info!CM13</f>
        <v>낮음</v>
      </c>
      <c r="N48" s="860">
        <f>data_info!CH13</f>
        <v>0</v>
      </c>
      <c r="O48" s="861"/>
      <c r="P48" s="862">
        <f>data_info!CD13</f>
        <v>0</v>
      </c>
      <c r="Q48" s="863"/>
      <c r="R48" s="860">
        <f>data_info!CJ13</f>
        <v>0</v>
      </c>
      <c r="S48" s="864"/>
    </row>
    <row r="49" spans="3:19" ht="18" customHeight="1" thickBot="1">
      <c r="C49" s="385"/>
      <c r="D49" s="248"/>
      <c r="E49" s="248"/>
      <c r="F49" s="248"/>
      <c r="G49" s="248"/>
      <c r="H49" s="248"/>
      <c r="I49" s="248"/>
      <c r="J49" s="386"/>
      <c r="K49" s="140" t="str">
        <f>lang!B23</f>
        <v>신경성</v>
      </c>
      <c r="L49" s="92" t="s">
        <v>231</v>
      </c>
      <c r="M49" s="371" t="str">
        <f>data_info!CM14</f>
        <v>낮음</v>
      </c>
      <c r="N49" s="901">
        <f>data_info!CH14</f>
        <v>0</v>
      </c>
      <c r="O49" s="902"/>
      <c r="P49" s="903">
        <f>data_info!CD14</f>
        <v>0</v>
      </c>
      <c r="Q49" s="904"/>
      <c r="R49" s="901">
        <f>data_info!CJ14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data_info!CX50</f>
        <v>50</v>
      </c>
      <c r="R24" s="407">
        <f>data_info!CX51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data_info!DB50</f>
        <v>50</v>
      </c>
      <c r="R25" s="407">
        <f>data_info!DB51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data_info!DD50</f>
        <v>50</v>
      </c>
      <c r="R26" s="407">
        <f>data_info!DD51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data_info!DH50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data_info!DF52</f>
        <v>보통</v>
      </c>
      <c r="G31" s="1163"/>
      <c r="H31" s="1163"/>
      <c r="I31" s="1163"/>
      <c r="J31" s="1164"/>
      <c r="K31" s="1161" t="str">
        <f>lang!B657</f>
        <v>피로도</v>
      </c>
      <c r="L31" s="1162"/>
      <c r="M31" s="1162"/>
      <c r="N31" s="1163" t="str">
        <f>data_info!DF53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data_info!CX52</f>
        <v>50</v>
      </c>
      <c r="D33" s="1172"/>
      <c r="E33" s="1172"/>
      <c r="F33" s="1172"/>
      <c r="G33" s="1172"/>
      <c r="H33" s="1172"/>
      <c r="I33" s="1172"/>
      <c r="J33" s="1173"/>
      <c r="K33" s="868">
        <f>data_info!CX53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data_info!CX52</f>
        <v>50</v>
      </c>
      <c r="G37" s="1182"/>
      <c r="H37" s="401">
        <f>data_info!DB52</f>
        <v>50</v>
      </c>
      <c r="I37" s="401">
        <f>data_info!DD52</f>
        <v>50</v>
      </c>
      <c r="J37" s="292"/>
      <c r="K37" s="389"/>
      <c r="L37" s="237"/>
      <c r="M37" s="237"/>
      <c r="N37" s="1183" t="str">
        <f>lang!B657</f>
        <v>피로도</v>
      </c>
      <c r="O37" s="1183"/>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data_info!DG5</f>
        <v>낮음</v>
      </c>
      <c r="N40" s="854">
        <f>data_info!DB5</f>
        <v>0</v>
      </c>
      <c r="O40" s="855"/>
      <c r="P40" s="856">
        <f>data_info!CX5</f>
        <v>0</v>
      </c>
      <c r="Q40" s="857"/>
      <c r="R40" s="858">
        <f>data_info!DD5</f>
        <v>0</v>
      </c>
      <c r="S40" s="859"/>
    </row>
    <row r="41" spans="3:19" ht="18" customHeight="1">
      <c r="C41" s="77"/>
      <c r="J41" s="84"/>
      <c r="K41" s="139" t="str">
        <f>lang!B15</f>
        <v>스트레스</v>
      </c>
      <c r="L41" s="90" t="s">
        <v>226</v>
      </c>
      <c r="M41" s="103" t="str">
        <f>data_info!DG6</f>
        <v>낮음</v>
      </c>
      <c r="N41" s="860">
        <f>data_info!DB6</f>
        <v>0</v>
      </c>
      <c r="O41" s="861"/>
      <c r="P41" s="862">
        <f>data_info!CX6</f>
        <v>0</v>
      </c>
      <c r="Q41" s="863"/>
      <c r="R41" s="860">
        <f>data_info!DD6</f>
        <v>0</v>
      </c>
      <c r="S41" s="864"/>
    </row>
    <row r="42" spans="3:19" ht="18" customHeight="1">
      <c r="C42" s="77"/>
      <c r="J42" s="84"/>
      <c r="K42" s="139" t="str">
        <f>lang!B16</f>
        <v>불안</v>
      </c>
      <c r="L42" s="90" t="s">
        <v>227</v>
      </c>
      <c r="M42" s="103" t="str">
        <f>data_info!DG7</f>
        <v>낮음</v>
      </c>
      <c r="N42" s="860">
        <f>data_info!DB7</f>
        <v>0</v>
      </c>
      <c r="O42" s="861"/>
      <c r="P42" s="862">
        <f>data_info!CX7</f>
        <v>0</v>
      </c>
      <c r="Q42" s="863"/>
      <c r="R42" s="860">
        <f>data_info!DD7</f>
        <v>0</v>
      </c>
      <c r="S42" s="864"/>
    </row>
    <row r="43" spans="3:19" ht="18" customHeight="1">
      <c r="C43" s="77"/>
      <c r="J43" s="84"/>
      <c r="K43" s="139" t="str">
        <f>lang!B17</f>
        <v>의심</v>
      </c>
      <c r="L43" s="90" t="s">
        <v>225</v>
      </c>
      <c r="M43" s="103" t="str">
        <f>data_info!DG8</f>
        <v>낮음</v>
      </c>
      <c r="N43" s="860">
        <f>data_info!DB8</f>
        <v>0</v>
      </c>
      <c r="O43" s="861"/>
      <c r="P43" s="862">
        <f>data_info!CX8</f>
        <v>0</v>
      </c>
      <c r="Q43" s="863"/>
      <c r="R43" s="860">
        <f>data_info!DD8</f>
        <v>0</v>
      </c>
      <c r="S43" s="864"/>
    </row>
    <row r="44" spans="3:19" ht="18" customHeight="1">
      <c r="C44" s="77"/>
      <c r="J44" s="84"/>
      <c r="K44" s="139" t="str">
        <f>lang!B18</f>
        <v>밸런스</v>
      </c>
      <c r="L44" s="90" t="s">
        <v>2171</v>
      </c>
      <c r="M44" s="103" t="str">
        <f>data_info!DG9</f>
        <v>낮음</v>
      </c>
      <c r="N44" s="860">
        <f>data_info!DB9</f>
        <v>0</v>
      </c>
      <c r="O44" s="861"/>
      <c r="P44" s="862">
        <f>data_info!CX9</f>
        <v>0</v>
      </c>
      <c r="Q44" s="863"/>
      <c r="R44" s="860">
        <f>data_info!DD9</f>
        <v>0</v>
      </c>
      <c r="S44" s="864"/>
    </row>
    <row r="45" spans="3:19" ht="18" customHeight="1">
      <c r="C45" s="77"/>
      <c r="J45" s="84"/>
      <c r="K45" s="139" t="str">
        <f>lang!B19</f>
        <v>카리스마</v>
      </c>
      <c r="L45" s="90" t="s">
        <v>229</v>
      </c>
      <c r="M45" s="103" t="str">
        <f>data_info!DG10</f>
        <v>낮음</v>
      </c>
      <c r="N45" s="860">
        <f>data_info!DB10</f>
        <v>0</v>
      </c>
      <c r="O45" s="861"/>
      <c r="P45" s="862">
        <f>data_info!CX10</f>
        <v>0</v>
      </c>
      <c r="Q45" s="863"/>
      <c r="R45" s="860">
        <f>data_info!DD10</f>
        <v>0</v>
      </c>
      <c r="S45" s="864"/>
    </row>
    <row r="46" spans="3:19" ht="18" customHeight="1">
      <c r="C46" s="77"/>
      <c r="J46" s="84"/>
      <c r="K46" s="139" t="str">
        <f>lang!B20</f>
        <v>에너지</v>
      </c>
      <c r="L46" s="90" t="s">
        <v>2170</v>
      </c>
      <c r="M46" s="103" t="str">
        <f>data_info!DG11</f>
        <v>낮음</v>
      </c>
      <c r="N46" s="860">
        <f>data_info!DB11</f>
        <v>0</v>
      </c>
      <c r="O46" s="861"/>
      <c r="P46" s="862">
        <f>data_info!CX11</f>
        <v>0</v>
      </c>
      <c r="Q46" s="863"/>
      <c r="R46" s="860">
        <f>data_info!DD11</f>
        <v>0</v>
      </c>
      <c r="S46" s="864"/>
    </row>
    <row r="47" spans="3:19" ht="18" customHeight="1">
      <c r="C47" s="77"/>
      <c r="J47" s="84"/>
      <c r="K47" s="139" t="str">
        <f>lang!B21</f>
        <v>자기조절</v>
      </c>
      <c r="L47" s="90" t="s">
        <v>230</v>
      </c>
      <c r="M47" s="103" t="str">
        <f>data_info!DG12</f>
        <v>낮음</v>
      </c>
      <c r="N47" s="860">
        <f>data_info!DB12</f>
        <v>0</v>
      </c>
      <c r="O47" s="861"/>
      <c r="P47" s="862">
        <f>data_info!CX12</f>
        <v>0</v>
      </c>
      <c r="Q47" s="863"/>
      <c r="R47" s="860">
        <f>data_info!DD12</f>
        <v>0</v>
      </c>
      <c r="S47" s="864"/>
    </row>
    <row r="48" spans="3:19" ht="18" customHeight="1">
      <c r="C48" s="77"/>
      <c r="J48" s="84"/>
      <c r="K48" s="139" t="str">
        <f>lang!B22</f>
        <v>억제</v>
      </c>
      <c r="L48" s="91" t="s">
        <v>248</v>
      </c>
      <c r="M48" s="103" t="str">
        <f>data_info!DG13</f>
        <v>낮음</v>
      </c>
      <c r="N48" s="860">
        <f>data_info!DB13</f>
        <v>0</v>
      </c>
      <c r="O48" s="861"/>
      <c r="P48" s="862">
        <f>data_info!CX13</f>
        <v>0</v>
      </c>
      <c r="Q48" s="863"/>
      <c r="R48" s="860">
        <f>data_info!DD13</f>
        <v>0</v>
      </c>
      <c r="S48" s="864"/>
    </row>
    <row r="49" spans="3:19" ht="18" customHeight="1" thickBot="1">
      <c r="C49" s="385"/>
      <c r="D49" s="248"/>
      <c r="E49" s="248"/>
      <c r="F49" s="248"/>
      <c r="G49" s="248"/>
      <c r="H49" s="248"/>
      <c r="I49" s="248"/>
      <c r="J49" s="386"/>
      <c r="K49" s="140" t="str">
        <f>lang!B23</f>
        <v>신경성</v>
      </c>
      <c r="L49" s="92" t="s">
        <v>231</v>
      </c>
      <c r="M49" s="371" t="str">
        <f>data_info!DG14</f>
        <v>낮음</v>
      </c>
      <c r="N49" s="901">
        <f>data_info!DB14</f>
        <v>0</v>
      </c>
      <c r="O49" s="902"/>
      <c r="P49" s="903">
        <f>data_info!CX14</f>
        <v>0</v>
      </c>
      <c r="Q49" s="904"/>
      <c r="R49" s="901">
        <f>data_info!DD14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data_info!DR50</f>
        <v>50</v>
      </c>
      <c r="R24" s="407">
        <f>data_info!DR51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data_info!DV50</f>
        <v>50</v>
      </c>
      <c r="R25" s="407">
        <f>data_info!DV51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data_info!DX50</f>
        <v>50</v>
      </c>
      <c r="R26" s="407">
        <f>data_info!DX51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data_info!EB50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data_info!DZ52</f>
        <v>보통</v>
      </c>
      <c r="G31" s="1163"/>
      <c r="H31" s="1163"/>
      <c r="I31" s="1163"/>
      <c r="J31" s="1164"/>
      <c r="K31" s="1161" t="str">
        <f>lang!B657</f>
        <v>피로도</v>
      </c>
      <c r="L31" s="1162"/>
      <c r="M31" s="1162"/>
      <c r="N31" s="1163" t="str">
        <f>data_info!DZ53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data_info!DR52</f>
        <v>50</v>
      </c>
      <c r="D33" s="1172"/>
      <c r="E33" s="1172"/>
      <c r="F33" s="1172"/>
      <c r="G33" s="1172"/>
      <c r="H33" s="1172"/>
      <c r="I33" s="1172"/>
      <c r="J33" s="1173"/>
      <c r="K33" s="868">
        <f>data_info!DR53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data_info!DR52</f>
        <v>50</v>
      </c>
      <c r="G37" s="1182"/>
      <c r="H37" s="401">
        <f>data_info!DV52</f>
        <v>50</v>
      </c>
      <c r="I37" s="401">
        <f>data_info!DX52</f>
        <v>50</v>
      </c>
      <c r="J37" s="292"/>
      <c r="K37" s="389"/>
      <c r="L37" s="237"/>
      <c r="M37" s="237"/>
      <c r="N37" s="1183" t="str">
        <f>lang!B657</f>
        <v>피로도</v>
      </c>
      <c r="O37" s="1183"/>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data_info!EA5</f>
        <v>낮음</v>
      </c>
      <c r="N40" s="854">
        <f>data_info!DV5</f>
        <v>0</v>
      </c>
      <c r="O40" s="855"/>
      <c r="P40" s="856">
        <f>data_info!DR5</f>
        <v>0</v>
      </c>
      <c r="Q40" s="857"/>
      <c r="R40" s="858">
        <f>data_info!DX5</f>
        <v>0</v>
      </c>
      <c r="S40" s="859"/>
    </row>
    <row r="41" spans="3:19" ht="18" customHeight="1">
      <c r="C41" s="77"/>
      <c r="J41" s="84"/>
      <c r="K41" s="139" t="str">
        <f>lang!B15</f>
        <v>스트레스</v>
      </c>
      <c r="L41" s="90" t="s">
        <v>226</v>
      </c>
      <c r="M41" s="103" t="str">
        <f>data_info!EA6</f>
        <v>낮음</v>
      </c>
      <c r="N41" s="860">
        <f>data_info!DV6</f>
        <v>0</v>
      </c>
      <c r="O41" s="861"/>
      <c r="P41" s="862">
        <f>data_info!DR6</f>
        <v>0</v>
      </c>
      <c r="Q41" s="863"/>
      <c r="R41" s="860">
        <f>data_info!DX6</f>
        <v>0</v>
      </c>
      <c r="S41" s="864"/>
    </row>
    <row r="42" spans="3:19" ht="18" customHeight="1">
      <c r="C42" s="77"/>
      <c r="J42" s="84"/>
      <c r="K42" s="139" t="str">
        <f>lang!B16</f>
        <v>불안</v>
      </c>
      <c r="L42" s="90" t="s">
        <v>227</v>
      </c>
      <c r="M42" s="103" t="str">
        <f>data_info!EA7</f>
        <v>낮음</v>
      </c>
      <c r="N42" s="860">
        <f>data_info!DV7</f>
        <v>0</v>
      </c>
      <c r="O42" s="861"/>
      <c r="P42" s="862">
        <f>data_info!DR7</f>
        <v>0</v>
      </c>
      <c r="Q42" s="863"/>
      <c r="R42" s="860">
        <f>data_info!DX7</f>
        <v>0</v>
      </c>
      <c r="S42" s="864"/>
    </row>
    <row r="43" spans="3:19" ht="18" customHeight="1">
      <c r="C43" s="77"/>
      <c r="J43" s="84"/>
      <c r="K43" s="139" t="str">
        <f>lang!B17</f>
        <v>의심</v>
      </c>
      <c r="L43" s="90" t="s">
        <v>225</v>
      </c>
      <c r="M43" s="103" t="str">
        <f>data_info!EA8</f>
        <v>낮음</v>
      </c>
      <c r="N43" s="860">
        <f>data_info!DV8</f>
        <v>0</v>
      </c>
      <c r="O43" s="861"/>
      <c r="P43" s="862">
        <f>data_info!DR8</f>
        <v>0</v>
      </c>
      <c r="Q43" s="863"/>
      <c r="R43" s="860">
        <f>data_info!DX8</f>
        <v>0</v>
      </c>
      <c r="S43" s="864"/>
    </row>
    <row r="44" spans="3:19" ht="18" customHeight="1">
      <c r="C44" s="77"/>
      <c r="J44" s="84"/>
      <c r="K44" s="139" t="str">
        <f>lang!B18</f>
        <v>밸런스</v>
      </c>
      <c r="L44" s="90" t="s">
        <v>2171</v>
      </c>
      <c r="M44" s="103" t="str">
        <f>data_info!EA9</f>
        <v>낮음</v>
      </c>
      <c r="N44" s="860">
        <f>data_info!DV9</f>
        <v>0</v>
      </c>
      <c r="O44" s="861"/>
      <c r="P44" s="862">
        <f>data_info!DR9</f>
        <v>0</v>
      </c>
      <c r="Q44" s="863"/>
      <c r="R44" s="860">
        <f>data_info!DX9</f>
        <v>0</v>
      </c>
      <c r="S44" s="864"/>
    </row>
    <row r="45" spans="3:19" ht="18" customHeight="1">
      <c r="C45" s="77"/>
      <c r="J45" s="84"/>
      <c r="K45" s="139" t="str">
        <f>lang!B19</f>
        <v>카리스마</v>
      </c>
      <c r="L45" s="90" t="s">
        <v>229</v>
      </c>
      <c r="M45" s="103" t="str">
        <f>data_info!EA10</f>
        <v>낮음</v>
      </c>
      <c r="N45" s="860">
        <f>data_info!DV10</f>
        <v>0</v>
      </c>
      <c r="O45" s="861"/>
      <c r="P45" s="862">
        <f>data_info!DR10</f>
        <v>0</v>
      </c>
      <c r="Q45" s="863"/>
      <c r="R45" s="860">
        <f>data_info!DX10</f>
        <v>0</v>
      </c>
      <c r="S45" s="864"/>
    </row>
    <row r="46" spans="3:19" ht="18" customHeight="1">
      <c r="C46" s="77"/>
      <c r="J46" s="84"/>
      <c r="K46" s="139" t="str">
        <f>lang!B20</f>
        <v>에너지</v>
      </c>
      <c r="L46" s="90" t="s">
        <v>2170</v>
      </c>
      <c r="M46" s="103" t="str">
        <f>data_info!EA11</f>
        <v>낮음</v>
      </c>
      <c r="N46" s="860">
        <f>data_info!DV11</f>
        <v>0</v>
      </c>
      <c r="O46" s="861"/>
      <c r="P46" s="862">
        <f>data_info!DR11</f>
        <v>0</v>
      </c>
      <c r="Q46" s="863"/>
      <c r="R46" s="860">
        <f>data_info!DX11</f>
        <v>0</v>
      </c>
      <c r="S46" s="864"/>
    </row>
    <row r="47" spans="3:19" ht="18" customHeight="1">
      <c r="C47" s="77"/>
      <c r="J47" s="84"/>
      <c r="K47" s="139" t="str">
        <f>lang!B21</f>
        <v>자기조절</v>
      </c>
      <c r="L47" s="90" t="s">
        <v>230</v>
      </c>
      <c r="M47" s="103" t="str">
        <f>data_info!EA12</f>
        <v>낮음</v>
      </c>
      <c r="N47" s="860">
        <f>data_info!DV12</f>
        <v>0</v>
      </c>
      <c r="O47" s="861"/>
      <c r="P47" s="862">
        <f>data_info!DR12</f>
        <v>0</v>
      </c>
      <c r="Q47" s="863"/>
      <c r="R47" s="860">
        <f>data_info!DX12</f>
        <v>0</v>
      </c>
      <c r="S47" s="864"/>
    </row>
    <row r="48" spans="3:19" ht="18" customHeight="1">
      <c r="C48" s="77"/>
      <c r="J48" s="84"/>
      <c r="K48" s="139" t="str">
        <f>lang!B22</f>
        <v>억제</v>
      </c>
      <c r="L48" s="91" t="s">
        <v>248</v>
      </c>
      <c r="M48" s="103" t="str">
        <f>data_info!EA13</f>
        <v>낮음</v>
      </c>
      <c r="N48" s="860">
        <f>data_info!DV13</f>
        <v>0</v>
      </c>
      <c r="O48" s="861"/>
      <c r="P48" s="862">
        <f>data_info!DR13</f>
        <v>0</v>
      </c>
      <c r="Q48" s="863"/>
      <c r="R48" s="860">
        <f>data_info!DX13</f>
        <v>0</v>
      </c>
      <c r="S48" s="864"/>
    </row>
    <row r="49" spans="3:19" ht="18" customHeight="1" thickBot="1">
      <c r="C49" s="385"/>
      <c r="D49" s="248"/>
      <c r="E49" s="248"/>
      <c r="F49" s="248"/>
      <c r="G49" s="248"/>
      <c r="H49" s="248"/>
      <c r="I49" s="248"/>
      <c r="J49" s="386"/>
      <c r="K49" s="140" t="str">
        <f>lang!B23</f>
        <v>신경성</v>
      </c>
      <c r="L49" s="92" t="s">
        <v>231</v>
      </c>
      <c r="M49" s="371" t="str">
        <f>data_info!EA14</f>
        <v>낮음</v>
      </c>
      <c r="N49" s="901">
        <f>data_info!DV14</f>
        <v>0</v>
      </c>
      <c r="O49" s="902"/>
      <c r="P49" s="903">
        <f>data_info!DR14</f>
        <v>0</v>
      </c>
      <c r="Q49" s="904"/>
      <c r="R49" s="901">
        <f>data_info!DX14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data_info!EL50</f>
        <v>50</v>
      </c>
      <c r="R24" s="407">
        <f>data_info!EL51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data_info!EP50</f>
        <v>50</v>
      </c>
      <c r="R25" s="407">
        <f>data_info!EP51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data_info!ER50</f>
        <v>50</v>
      </c>
      <c r="R26" s="407">
        <f>data_info!ER51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data_info!EV50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data_info!ET52</f>
        <v>보통</v>
      </c>
      <c r="G31" s="1163"/>
      <c r="H31" s="1163"/>
      <c r="I31" s="1163"/>
      <c r="J31" s="1164"/>
      <c r="K31" s="1161" t="str">
        <f>lang!B657</f>
        <v>피로도</v>
      </c>
      <c r="L31" s="1162"/>
      <c r="M31" s="1162"/>
      <c r="N31" s="1163" t="str">
        <f>data_info!ET53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data_info!EL52</f>
        <v>50</v>
      </c>
      <c r="D33" s="1172"/>
      <c r="E33" s="1172"/>
      <c r="F33" s="1172"/>
      <c r="G33" s="1172"/>
      <c r="H33" s="1172"/>
      <c r="I33" s="1172"/>
      <c r="J33" s="1173"/>
      <c r="K33" s="868">
        <f>data_info!EL53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data_info!EL52</f>
        <v>50</v>
      </c>
      <c r="G37" s="1182"/>
      <c r="H37" s="401">
        <f>data_info!EP52</f>
        <v>50</v>
      </c>
      <c r="I37" s="401">
        <f>data_info!ER52</f>
        <v>50</v>
      </c>
      <c r="J37" s="292"/>
      <c r="K37" s="389"/>
      <c r="L37" s="237"/>
      <c r="M37" s="237"/>
      <c r="N37" s="1183" t="str">
        <f>lang!B657</f>
        <v>피로도</v>
      </c>
      <c r="O37" s="1183"/>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data_info!EU5</f>
        <v>낮음</v>
      </c>
      <c r="N40" s="854">
        <f>data_info!EP5</f>
        <v>0</v>
      </c>
      <c r="O40" s="855"/>
      <c r="P40" s="856">
        <f>data_info!EL5</f>
        <v>0</v>
      </c>
      <c r="Q40" s="857"/>
      <c r="R40" s="858">
        <f>data_info!ER5</f>
        <v>0</v>
      </c>
      <c r="S40" s="859"/>
    </row>
    <row r="41" spans="3:19" ht="18" customHeight="1">
      <c r="C41" s="77"/>
      <c r="J41" s="84"/>
      <c r="K41" s="139" t="str">
        <f>lang!B15</f>
        <v>스트레스</v>
      </c>
      <c r="L41" s="90" t="s">
        <v>226</v>
      </c>
      <c r="M41" s="103" t="str">
        <f>data_info!EU6</f>
        <v>낮음</v>
      </c>
      <c r="N41" s="860">
        <f>data_info!EP6</f>
        <v>0</v>
      </c>
      <c r="O41" s="861"/>
      <c r="P41" s="862">
        <f>data_info!EL6</f>
        <v>0</v>
      </c>
      <c r="Q41" s="863"/>
      <c r="R41" s="860">
        <f>data_info!ER6</f>
        <v>0</v>
      </c>
      <c r="S41" s="864"/>
    </row>
    <row r="42" spans="3:19" ht="18" customHeight="1">
      <c r="C42" s="77"/>
      <c r="J42" s="84"/>
      <c r="K42" s="139" t="str">
        <f>lang!B16</f>
        <v>불안</v>
      </c>
      <c r="L42" s="90" t="s">
        <v>227</v>
      </c>
      <c r="M42" s="103" t="str">
        <f>data_info!EU7</f>
        <v>낮음</v>
      </c>
      <c r="N42" s="860">
        <f>data_info!EP7</f>
        <v>0</v>
      </c>
      <c r="O42" s="861"/>
      <c r="P42" s="862">
        <f>data_info!EL7</f>
        <v>0</v>
      </c>
      <c r="Q42" s="863"/>
      <c r="R42" s="860">
        <f>data_info!ER7</f>
        <v>0</v>
      </c>
      <c r="S42" s="864"/>
    </row>
    <row r="43" spans="3:19" ht="18" customHeight="1">
      <c r="C43" s="77"/>
      <c r="J43" s="84"/>
      <c r="K43" s="139" t="str">
        <f>lang!B17</f>
        <v>의심</v>
      </c>
      <c r="L43" s="90" t="s">
        <v>225</v>
      </c>
      <c r="M43" s="103" t="str">
        <f>data_info!EU8</f>
        <v>낮음</v>
      </c>
      <c r="N43" s="860">
        <f>data_info!EP8</f>
        <v>0</v>
      </c>
      <c r="O43" s="861"/>
      <c r="P43" s="862">
        <f>data_info!EL8</f>
        <v>0</v>
      </c>
      <c r="Q43" s="863"/>
      <c r="R43" s="860">
        <f>data_info!ER8</f>
        <v>0</v>
      </c>
      <c r="S43" s="864"/>
    </row>
    <row r="44" spans="3:19" ht="18" customHeight="1">
      <c r="C44" s="77"/>
      <c r="J44" s="84"/>
      <c r="K44" s="139" t="str">
        <f>lang!B18</f>
        <v>밸런스</v>
      </c>
      <c r="L44" s="90" t="s">
        <v>2171</v>
      </c>
      <c r="M44" s="103" t="str">
        <f>data_info!EU9</f>
        <v>낮음</v>
      </c>
      <c r="N44" s="860">
        <f>data_info!EP9</f>
        <v>0</v>
      </c>
      <c r="O44" s="861"/>
      <c r="P44" s="862">
        <f>data_info!EL9</f>
        <v>0</v>
      </c>
      <c r="Q44" s="863"/>
      <c r="R44" s="860">
        <f>data_info!ER9</f>
        <v>0</v>
      </c>
      <c r="S44" s="864"/>
    </row>
    <row r="45" spans="3:19" ht="18" customHeight="1">
      <c r="C45" s="77"/>
      <c r="J45" s="84"/>
      <c r="K45" s="139" t="str">
        <f>lang!B19</f>
        <v>카리스마</v>
      </c>
      <c r="L45" s="90" t="s">
        <v>229</v>
      </c>
      <c r="M45" s="103" t="str">
        <f>data_info!EU10</f>
        <v>낮음</v>
      </c>
      <c r="N45" s="860">
        <f>data_info!EP10</f>
        <v>0</v>
      </c>
      <c r="O45" s="861"/>
      <c r="P45" s="862">
        <f>data_info!EL10</f>
        <v>0</v>
      </c>
      <c r="Q45" s="863"/>
      <c r="R45" s="860">
        <f>data_info!ER10</f>
        <v>0</v>
      </c>
      <c r="S45" s="864"/>
    </row>
    <row r="46" spans="3:19" ht="18" customHeight="1">
      <c r="C46" s="77"/>
      <c r="J46" s="84"/>
      <c r="K46" s="139" t="str">
        <f>lang!B20</f>
        <v>에너지</v>
      </c>
      <c r="L46" s="90" t="s">
        <v>2170</v>
      </c>
      <c r="M46" s="103" t="str">
        <f>data_info!EU11</f>
        <v>낮음</v>
      </c>
      <c r="N46" s="860">
        <f>data_info!EP11</f>
        <v>0</v>
      </c>
      <c r="O46" s="861"/>
      <c r="P46" s="862">
        <f>data_info!EL11</f>
        <v>0</v>
      </c>
      <c r="Q46" s="863"/>
      <c r="R46" s="860">
        <f>data_info!ER11</f>
        <v>0</v>
      </c>
      <c r="S46" s="864"/>
    </row>
    <row r="47" spans="3:19" ht="18" customHeight="1">
      <c r="C47" s="77"/>
      <c r="J47" s="84"/>
      <c r="K47" s="139" t="str">
        <f>lang!B21</f>
        <v>자기조절</v>
      </c>
      <c r="L47" s="90" t="s">
        <v>230</v>
      </c>
      <c r="M47" s="103" t="str">
        <f>data_info!EU12</f>
        <v>낮음</v>
      </c>
      <c r="N47" s="860">
        <f>data_info!EP12</f>
        <v>0</v>
      </c>
      <c r="O47" s="861"/>
      <c r="P47" s="862">
        <f>data_info!EL12</f>
        <v>0</v>
      </c>
      <c r="Q47" s="863"/>
      <c r="R47" s="860">
        <f>data_info!ER12</f>
        <v>0</v>
      </c>
      <c r="S47" s="864"/>
    </row>
    <row r="48" spans="3:19" ht="18" customHeight="1">
      <c r="C48" s="77"/>
      <c r="J48" s="84"/>
      <c r="K48" s="139" t="str">
        <f>lang!B22</f>
        <v>억제</v>
      </c>
      <c r="L48" s="91" t="s">
        <v>248</v>
      </c>
      <c r="M48" s="103" t="str">
        <f>data_info!EU13</f>
        <v>낮음</v>
      </c>
      <c r="N48" s="860">
        <f>data_info!EP13</f>
        <v>0</v>
      </c>
      <c r="O48" s="861"/>
      <c r="P48" s="862">
        <f>data_info!EL13</f>
        <v>0</v>
      </c>
      <c r="Q48" s="863"/>
      <c r="R48" s="860">
        <f>data_info!ER13</f>
        <v>0</v>
      </c>
      <c r="S48" s="864"/>
    </row>
    <row r="49" spans="3:19" ht="18" customHeight="1" thickBot="1">
      <c r="C49" s="385"/>
      <c r="D49" s="248"/>
      <c r="E49" s="248"/>
      <c r="F49" s="248"/>
      <c r="G49" s="248"/>
      <c r="H49" s="248"/>
      <c r="I49" s="248"/>
      <c r="J49" s="386"/>
      <c r="K49" s="140" t="str">
        <f>lang!B23</f>
        <v>신경성</v>
      </c>
      <c r="L49" s="92" t="s">
        <v>231</v>
      </c>
      <c r="M49" s="371" t="str">
        <f>data_info!EU14</f>
        <v>낮음</v>
      </c>
      <c r="N49" s="901">
        <f>data_info!EP14</f>
        <v>0</v>
      </c>
      <c r="O49" s="902"/>
      <c r="P49" s="903">
        <f>data_info!EL14</f>
        <v>0</v>
      </c>
      <c r="Q49" s="904"/>
      <c r="R49" s="901">
        <f>data_info!ER14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data_info!FF50</f>
        <v>50</v>
      </c>
      <c r="R24" s="407">
        <f>data_info!FF51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data_info!FJ50</f>
        <v>50</v>
      </c>
      <c r="R25" s="407">
        <f>data_info!FJ51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data_info!FL50</f>
        <v>50</v>
      </c>
      <c r="R26" s="407">
        <f>data_info!FL51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data_info!FP50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data_info!FN52</f>
        <v>보통</v>
      </c>
      <c r="G31" s="1163"/>
      <c r="H31" s="1163"/>
      <c r="I31" s="1163"/>
      <c r="J31" s="1164"/>
      <c r="K31" s="1161" t="str">
        <f>lang!B657</f>
        <v>피로도</v>
      </c>
      <c r="L31" s="1162"/>
      <c r="M31" s="1162"/>
      <c r="N31" s="1163" t="str">
        <f>data_info!FN53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data_info!FF52</f>
        <v>50</v>
      </c>
      <c r="D33" s="1172"/>
      <c r="E33" s="1172"/>
      <c r="F33" s="1172"/>
      <c r="G33" s="1172"/>
      <c r="H33" s="1172"/>
      <c r="I33" s="1172"/>
      <c r="J33" s="1173"/>
      <c r="K33" s="868">
        <f>data_info!FF53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data_info!FF52</f>
        <v>50</v>
      </c>
      <c r="G37" s="1182"/>
      <c r="H37" s="401">
        <f>data_info!FJ52</f>
        <v>50</v>
      </c>
      <c r="I37" s="401">
        <f>data_info!FL52</f>
        <v>50</v>
      </c>
      <c r="J37" s="292"/>
      <c r="K37" s="389"/>
      <c r="L37" s="237"/>
      <c r="M37" s="237"/>
      <c r="N37" s="1183" t="str">
        <f>lang!B657</f>
        <v>피로도</v>
      </c>
      <c r="O37" s="1183"/>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data_info!FO5</f>
        <v>낮음</v>
      </c>
      <c r="N40" s="854">
        <f>data_info!FJ5</f>
        <v>0</v>
      </c>
      <c r="O40" s="855"/>
      <c r="P40" s="856">
        <f>data_info!FF5</f>
        <v>0</v>
      </c>
      <c r="Q40" s="857"/>
      <c r="R40" s="858">
        <f>data_info!FL5</f>
        <v>0</v>
      </c>
      <c r="S40" s="859"/>
    </row>
    <row r="41" spans="3:19" ht="18" customHeight="1">
      <c r="C41" s="77"/>
      <c r="J41" s="84"/>
      <c r="K41" s="139" t="str">
        <f>lang!B15</f>
        <v>스트레스</v>
      </c>
      <c r="L41" s="90" t="s">
        <v>226</v>
      </c>
      <c r="M41" s="103" t="str">
        <f>data_info!FO6</f>
        <v>낮음</v>
      </c>
      <c r="N41" s="860">
        <f>data_info!FJ6</f>
        <v>0</v>
      </c>
      <c r="O41" s="861"/>
      <c r="P41" s="862">
        <f>data_info!FF6</f>
        <v>0</v>
      </c>
      <c r="Q41" s="863"/>
      <c r="R41" s="860">
        <f>data_info!FL6</f>
        <v>0</v>
      </c>
      <c r="S41" s="864"/>
    </row>
    <row r="42" spans="3:19" ht="18" customHeight="1">
      <c r="C42" s="77"/>
      <c r="J42" s="84"/>
      <c r="K42" s="139" t="str">
        <f>lang!B16</f>
        <v>불안</v>
      </c>
      <c r="L42" s="90" t="s">
        <v>227</v>
      </c>
      <c r="M42" s="103" t="str">
        <f>data_info!FO7</f>
        <v>낮음</v>
      </c>
      <c r="N42" s="860">
        <f>data_info!FJ7</f>
        <v>0</v>
      </c>
      <c r="O42" s="861"/>
      <c r="P42" s="862">
        <f>data_info!FF7</f>
        <v>0</v>
      </c>
      <c r="Q42" s="863"/>
      <c r="R42" s="860">
        <f>data_info!FL7</f>
        <v>0</v>
      </c>
      <c r="S42" s="864"/>
    </row>
    <row r="43" spans="3:19" ht="18" customHeight="1">
      <c r="C43" s="77"/>
      <c r="J43" s="84"/>
      <c r="K43" s="139" t="str">
        <f>lang!B17</f>
        <v>의심</v>
      </c>
      <c r="L43" s="90" t="s">
        <v>225</v>
      </c>
      <c r="M43" s="103" t="str">
        <f>data_info!FO8</f>
        <v>낮음</v>
      </c>
      <c r="N43" s="860">
        <f>data_info!FJ8</f>
        <v>0</v>
      </c>
      <c r="O43" s="861"/>
      <c r="P43" s="862">
        <f>data_info!FF8</f>
        <v>0</v>
      </c>
      <c r="Q43" s="863"/>
      <c r="R43" s="860">
        <f>data_info!FL8</f>
        <v>0</v>
      </c>
      <c r="S43" s="864"/>
    </row>
    <row r="44" spans="3:19" ht="18" customHeight="1">
      <c r="C44" s="77"/>
      <c r="J44" s="84"/>
      <c r="K44" s="139" t="str">
        <f>lang!B18</f>
        <v>밸런스</v>
      </c>
      <c r="L44" s="90" t="s">
        <v>2171</v>
      </c>
      <c r="M44" s="103" t="str">
        <f>data_info!FO9</f>
        <v>낮음</v>
      </c>
      <c r="N44" s="860">
        <f>data_info!FJ9</f>
        <v>0</v>
      </c>
      <c r="O44" s="861"/>
      <c r="P44" s="862">
        <f>data_info!FF9</f>
        <v>0</v>
      </c>
      <c r="Q44" s="863"/>
      <c r="R44" s="860">
        <f>data_info!FL9</f>
        <v>0</v>
      </c>
      <c r="S44" s="864"/>
    </row>
    <row r="45" spans="3:19" ht="18" customHeight="1">
      <c r="C45" s="77"/>
      <c r="J45" s="84"/>
      <c r="K45" s="139" t="str">
        <f>lang!B19</f>
        <v>카리스마</v>
      </c>
      <c r="L45" s="90" t="s">
        <v>229</v>
      </c>
      <c r="M45" s="103" t="str">
        <f>data_info!FO10</f>
        <v>낮음</v>
      </c>
      <c r="N45" s="860">
        <f>data_info!FJ10</f>
        <v>0</v>
      </c>
      <c r="O45" s="861"/>
      <c r="P45" s="862">
        <f>data_info!FF10</f>
        <v>0</v>
      </c>
      <c r="Q45" s="863"/>
      <c r="R45" s="860">
        <f>data_info!FL10</f>
        <v>0</v>
      </c>
      <c r="S45" s="864"/>
    </row>
    <row r="46" spans="3:19" ht="18" customHeight="1">
      <c r="C46" s="77"/>
      <c r="J46" s="84"/>
      <c r="K46" s="139" t="str">
        <f>lang!B20</f>
        <v>에너지</v>
      </c>
      <c r="L46" s="90" t="s">
        <v>2170</v>
      </c>
      <c r="M46" s="103" t="str">
        <f>data_info!FO11</f>
        <v>낮음</v>
      </c>
      <c r="N46" s="860">
        <f>data_info!FJ11</f>
        <v>0</v>
      </c>
      <c r="O46" s="861"/>
      <c r="P46" s="862">
        <f>data_info!FF11</f>
        <v>0</v>
      </c>
      <c r="Q46" s="863"/>
      <c r="R46" s="860">
        <f>data_info!FL11</f>
        <v>0</v>
      </c>
      <c r="S46" s="864"/>
    </row>
    <row r="47" spans="3:19" ht="18" customHeight="1">
      <c r="C47" s="77"/>
      <c r="J47" s="84"/>
      <c r="K47" s="139" t="str">
        <f>lang!B21</f>
        <v>자기조절</v>
      </c>
      <c r="L47" s="90" t="s">
        <v>230</v>
      </c>
      <c r="M47" s="103" t="str">
        <f>data_info!FO12</f>
        <v>낮음</v>
      </c>
      <c r="N47" s="860">
        <f>data_info!FJ12</f>
        <v>0</v>
      </c>
      <c r="O47" s="861"/>
      <c r="P47" s="862">
        <f>data_info!FF12</f>
        <v>0</v>
      </c>
      <c r="Q47" s="863"/>
      <c r="R47" s="860">
        <f>data_info!FL12</f>
        <v>0</v>
      </c>
      <c r="S47" s="864"/>
    </row>
    <row r="48" spans="3:19" ht="18" customHeight="1">
      <c r="C48" s="77"/>
      <c r="J48" s="84"/>
      <c r="K48" s="139" t="str">
        <f>lang!B22</f>
        <v>억제</v>
      </c>
      <c r="L48" s="91" t="s">
        <v>248</v>
      </c>
      <c r="M48" s="103" t="str">
        <f>data_info!FO13</f>
        <v>낮음</v>
      </c>
      <c r="N48" s="860">
        <f>data_info!FJ13</f>
        <v>0</v>
      </c>
      <c r="O48" s="861"/>
      <c r="P48" s="862">
        <f>data_info!FF13</f>
        <v>0</v>
      </c>
      <c r="Q48" s="863"/>
      <c r="R48" s="860">
        <f>data_info!FL13</f>
        <v>0</v>
      </c>
      <c r="S48" s="864"/>
    </row>
    <row r="49" spans="3:19" ht="18" customHeight="1" thickBot="1">
      <c r="C49" s="385"/>
      <c r="D49" s="248"/>
      <c r="E49" s="248"/>
      <c r="F49" s="248"/>
      <c r="G49" s="248"/>
      <c r="H49" s="248"/>
      <c r="I49" s="248"/>
      <c r="J49" s="386"/>
      <c r="K49" s="140" t="str">
        <f>lang!B23</f>
        <v>신경성</v>
      </c>
      <c r="L49" s="92" t="s">
        <v>231</v>
      </c>
      <c r="M49" s="371" t="str">
        <f>data_info!FO14</f>
        <v>낮음</v>
      </c>
      <c r="N49" s="901">
        <f>data_info!FJ14</f>
        <v>0</v>
      </c>
      <c r="O49" s="902"/>
      <c r="P49" s="903">
        <f>data_info!FF14</f>
        <v>0</v>
      </c>
      <c r="Q49" s="904"/>
      <c r="R49" s="901">
        <f>data_info!FL14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data_info!FZ50</f>
        <v>50</v>
      </c>
      <c r="R24" s="407">
        <f>data_info!FZ51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data_info!GD50</f>
        <v>50</v>
      </c>
      <c r="R25" s="407">
        <f>data_info!GD51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data_info!GF50</f>
        <v>50</v>
      </c>
      <c r="R26" s="407">
        <f>data_info!GF51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data_info!GJ50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data_info!GH52</f>
        <v>보통</v>
      </c>
      <c r="G31" s="1163"/>
      <c r="H31" s="1163"/>
      <c r="I31" s="1163"/>
      <c r="J31" s="1164"/>
      <c r="K31" s="1161" t="str">
        <f>lang!B657</f>
        <v>피로도</v>
      </c>
      <c r="L31" s="1162"/>
      <c r="M31" s="1162"/>
      <c r="N31" s="1163" t="str">
        <f>data_info!GH53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data_info!FZ52</f>
        <v>50</v>
      </c>
      <c r="D33" s="1172"/>
      <c r="E33" s="1172"/>
      <c r="F33" s="1172"/>
      <c r="G33" s="1172"/>
      <c r="H33" s="1172"/>
      <c r="I33" s="1172"/>
      <c r="J33" s="1173"/>
      <c r="K33" s="868">
        <f>data_info!FZ53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data_info!FZ52</f>
        <v>50</v>
      </c>
      <c r="G37" s="1182"/>
      <c r="H37" s="401">
        <f>data_info!GD52</f>
        <v>50</v>
      </c>
      <c r="I37" s="401">
        <f>data_info!GF52</f>
        <v>50</v>
      </c>
      <c r="J37" s="292"/>
      <c r="K37" s="389"/>
      <c r="L37" s="237"/>
      <c r="M37" s="237"/>
      <c r="N37" s="1183" t="str">
        <f>lang!B657</f>
        <v>피로도</v>
      </c>
      <c r="O37" s="1183"/>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data_info!GI5</f>
        <v>낮음</v>
      </c>
      <c r="N40" s="854">
        <f>data_info!GD5</f>
        <v>0</v>
      </c>
      <c r="O40" s="855"/>
      <c r="P40" s="856">
        <f>data_info!FZ5</f>
        <v>0</v>
      </c>
      <c r="Q40" s="857"/>
      <c r="R40" s="858">
        <f>data_info!GF5</f>
        <v>0</v>
      </c>
      <c r="S40" s="859"/>
    </row>
    <row r="41" spans="3:19" ht="18" customHeight="1">
      <c r="C41" s="77"/>
      <c r="J41" s="84"/>
      <c r="K41" s="139" t="str">
        <f>lang!B15</f>
        <v>스트레스</v>
      </c>
      <c r="L41" s="90" t="s">
        <v>226</v>
      </c>
      <c r="M41" s="103" t="str">
        <f>data_info!GI6</f>
        <v>낮음</v>
      </c>
      <c r="N41" s="860">
        <f>data_info!GD6</f>
        <v>0</v>
      </c>
      <c r="O41" s="861"/>
      <c r="P41" s="862">
        <f>data_info!FZ6</f>
        <v>0</v>
      </c>
      <c r="Q41" s="863"/>
      <c r="R41" s="860">
        <f>data_info!GF6</f>
        <v>0</v>
      </c>
      <c r="S41" s="864"/>
    </row>
    <row r="42" spans="3:19" ht="18" customHeight="1">
      <c r="C42" s="77"/>
      <c r="J42" s="84"/>
      <c r="K42" s="139" t="str">
        <f>lang!B16</f>
        <v>불안</v>
      </c>
      <c r="L42" s="90" t="s">
        <v>227</v>
      </c>
      <c r="M42" s="103" t="str">
        <f>data_info!GI7</f>
        <v>낮음</v>
      </c>
      <c r="N42" s="860">
        <f>data_info!GD7</f>
        <v>0</v>
      </c>
      <c r="O42" s="861"/>
      <c r="P42" s="862">
        <f>data_info!FZ7</f>
        <v>0</v>
      </c>
      <c r="Q42" s="863"/>
      <c r="R42" s="860">
        <f>data_info!GF7</f>
        <v>0</v>
      </c>
      <c r="S42" s="864"/>
    </row>
    <row r="43" spans="3:19" ht="18" customHeight="1">
      <c r="C43" s="77"/>
      <c r="J43" s="84"/>
      <c r="K43" s="139" t="str">
        <f>lang!B17</f>
        <v>의심</v>
      </c>
      <c r="L43" s="90" t="s">
        <v>225</v>
      </c>
      <c r="M43" s="103" t="str">
        <f>data_info!GI8</f>
        <v>낮음</v>
      </c>
      <c r="N43" s="860">
        <f>data_info!GD8</f>
        <v>0</v>
      </c>
      <c r="O43" s="861"/>
      <c r="P43" s="862">
        <f>data_info!FZ8</f>
        <v>0</v>
      </c>
      <c r="Q43" s="863"/>
      <c r="R43" s="860">
        <f>data_info!GF8</f>
        <v>0</v>
      </c>
      <c r="S43" s="864"/>
    </row>
    <row r="44" spans="3:19" ht="18" customHeight="1">
      <c r="C44" s="77"/>
      <c r="J44" s="84"/>
      <c r="K44" s="139" t="str">
        <f>lang!B18</f>
        <v>밸런스</v>
      </c>
      <c r="L44" s="90" t="s">
        <v>2171</v>
      </c>
      <c r="M44" s="103" t="str">
        <f>data_info!GI9</f>
        <v>낮음</v>
      </c>
      <c r="N44" s="860">
        <f>data_info!GD9</f>
        <v>0</v>
      </c>
      <c r="O44" s="861"/>
      <c r="P44" s="862">
        <f>data_info!FZ9</f>
        <v>0</v>
      </c>
      <c r="Q44" s="863"/>
      <c r="R44" s="860">
        <f>data_info!GF9</f>
        <v>0</v>
      </c>
      <c r="S44" s="864"/>
    </row>
    <row r="45" spans="3:19" ht="18" customHeight="1">
      <c r="C45" s="77"/>
      <c r="J45" s="84"/>
      <c r="K45" s="139" t="str">
        <f>lang!B19</f>
        <v>카리스마</v>
      </c>
      <c r="L45" s="90" t="s">
        <v>229</v>
      </c>
      <c r="M45" s="103" t="str">
        <f>data_info!GI10</f>
        <v>낮음</v>
      </c>
      <c r="N45" s="860">
        <f>data_info!GD10</f>
        <v>0</v>
      </c>
      <c r="O45" s="861"/>
      <c r="P45" s="862">
        <f>data_info!FZ10</f>
        <v>0</v>
      </c>
      <c r="Q45" s="863"/>
      <c r="R45" s="860">
        <f>data_info!GF10</f>
        <v>0</v>
      </c>
      <c r="S45" s="864"/>
    </row>
    <row r="46" spans="3:19" ht="18" customHeight="1">
      <c r="C46" s="77"/>
      <c r="J46" s="84"/>
      <c r="K46" s="139" t="str">
        <f>lang!B20</f>
        <v>에너지</v>
      </c>
      <c r="L46" s="90" t="s">
        <v>2170</v>
      </c>
      <c r="M46" s="103" t="str">
        <f>data_info!GI11</f>
        <v>낮음</v>
      </c>
      <c r="N46" s="860">
        <f>data_info!GD11</f>
        <v>0</v>
      </c>
      <c r="O46" s="861"/>
      <c r="P46" s="862">
        <f>data_info!FZ11</f>
        <v>0</v>
      </c>
      <c r="Q46" s="863"/>
      <c r="R46" s="860">
        <f>data_info!GF11</f>
        <v>0</v>
      </c>
      <c r="S46" s="864"/>
    </row>
    <row r="47" spans="3:19" ht="18" customHeight="1">
      <c r="C47" s="77"/>
      <c r="J47" s="84"/>
      <c r="K47" s="139" t="str">
        <f>lang!B21</f>
        <v>자기조절</v>
      </c>
      <c r="L47" s="90" t="s">
        <v>230</v>
      </c>
      <c r="M47" s="103" t="str">
        <f>data_info!GI12</f>
        <v>낮음</v>
      </c>
      <c r="N47" s="860">
        <f>data_info!GD12</f>
        <v>0</v>
      </c>
      <c r="O47" s="861"/>
      <c r="P47" s="862">
        <f>data_info!FZ12</f>
        <v>0</v>
      </c>
      <c r="Q47" s="863"/>
      <c r="R47" s="860">
        <f>data_info!GF12</f>
        <v>0</v>
      </c>
      <c r="S47" s="864"/>
    </row>
    <row r="48" spans="3:19" ht="18" customHeight="1">
      <c r="C48" s="77"/>
      <c r="J48" s="84"/>
      <c r="K48" s="139" t="str">
        <f>lang!B22</f>
        <v>억제</v>
      </c>
      <c r="L48" s="91" t="s">
        <v>248</v>
      </c>
      <c r="M48" s="103" t="str">
        <f>data_info!GI13</f>
        <v>낮음</v>
      </c>
      <c r="N48" s="860">
        <f>data_info!GD13</f>
        <v>0</v>
      </c>
      <c r="O48" s="861"/>
      <c r="P48" s="862">
        <f>data_info!FZ13</f>
        <v>0</v>
      </c>
      <c r="Q48" s="863"/>
      <c r="R48" s="860">
        <f>data_info!GF13</f>
        <v>0</v>
      </c>
      <c r="S48" s="864"/>
    </row>
    <row r="49" spans="3:19" ht="18" customHeight="1" thickBot="1">
      <c r="C49" s="385"/>
      <c r="D49" s="248"/>
      <c r="E49" s="248"/>
      <c r="F49" s="248"/>
      <c r="G49" s="248"/>
      <c r="H49" s="248"/>
      <c r="I49" s="248"/>
      <c r="J49" s="386"/>
      <c r="K49" s="140" t="str">
        <f>lang!B23</f>
        <v>신경성</v>
      </c>
      <c r="L49" s="92" t="s">
        <v>231</v>
      </c>
      <c r="M49" s="371" t="str">
        <f>data_info!GI14</f>
        <v>낮음</v>
      </c>
      <c r="N49" s="901">
        <f>data_info!GD14</f>
        <v>0</v>
      </c>
      <c r="O49" s="902"/>
      <c r="P49" s="903">
        <f>data_info!FZ14</f>
        <v>0</v>
      </c>
      <c r="Q49" s="904"/>
      <c r="R49" s="901">
        <f>data_info!GF14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data_info!GT50</f>
        <v>50</v>
      </c>
      <c r="R24" s="407">
        <f>data_info!GT51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data_info!GX50</f>
        <v>50</v>
      </c>
      <c r="R25" s="407">
        <f>data_info!GX51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data_info!GZ50</f>
        <v>50</v>
      </c>
      <c r="R26" s="407">
        <f>data_info!GZ51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data_info!HD50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data_info!HB52</f>
        <v>보통</v>
      </c>
      <c r="G31" s="1163"/>
      <c r="H31" s="1163"/>
      <c r="I31" s="1163"/>
      <c r="J31" s="1164"/>
      <c r="K31" s="1161" t="str">
        <f>lang!B657</f>
        <v>피로도</v>
      </c>
      <c r="L31" s="1162"/>
      <c r="M31" s="1162"/>
      <c r="N31" s="1163" t="str">
        <f>data_info!HB53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data_info!GT52</f>
        <v>50</v>
      </c>
      <c r="D33" s="1172"/>
      <c r="E33" s="1172"/>
      <c r="F33" s="1172"/>
      <c r="G33" s="1172"/>
      <c r="H33" s="1172"/>
      <c r="I33" s="1172"/>
      <c r="J33" s="1173"/>
      <c r="K33" s="868">
        <f>data_info!GT53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data_info!GT52</f>
        <v>50</v>
      </c>
      <c r="G37" s="1182"/>
      <c r="H37" s="401">
        <f>data_info!GX52</f>
        <v>50</v>
      </c>
      <c r="I37" s="401">
        <f>data_info!GZ52</f>
        <v>50</v>
      </c>
      <c r="J37" s="292"/>
      <c r="K37" s="389"/>
      <c r="L37" s="237"/>
      <c r="M37" s="237"/>
      <c r="N37" s="1183" t="str">
        <f>lang!B657</f>
        <v>피로도</v>
      </c>
      <c r="O37" s="1183"/>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data_info!HC5</f>
        <v>낮음</v>
      </c>
      <c r="N40" s="854">
        <f>data_info!GX5</f>
        <v>0</v>
      </c>
      <c r="O40" s="855"/>
      <c r="P40" s="856">
        <f>data_info!GT5</f>
        <v>0</v>
      </c>
      <c r="Q40" s="857"/>
      <c r="R40" s="858">
        <f>data_info!GZ5</f>
        <v>0</v>
      </c>
      <c r="S40" s="859"/>
    </row>
    <row r="41" spans="3:19" ht="18" customHeight="1">
      <c r="C41" s="77"/>
      <c r="J41" s="84"/>
      <c r="K41" s="139" t="str">
        <f>lang!B15</f>
        <v>스트레스</v>
      </c>
      <c r="L41" s="90" t="s">
        <v>226</v>
      </c>
      <c r="M41" s="103" t="str">
        <f>data_info!HC6</f>
        <v>낮음</v>
      </c>
      <c r="N41" s="860">
        <f>data_info!GX6</f>
        <v>0</v>
      </c>
      <c r="O41" s="861"/>
      <c r="P41" s="862">
        <f>data_info!GT6</f>
        <v>0</v>
      </c>
      <c r="Q41" s="863"/>
      <c r="R41" s="860">
        <f>data_info!GZ6</f>
        <v>0</v>
      </c>
      <c r="S41" s="864"/>
    </row>
    <row r="42" spans="3:19" ht="18" customHeight="1">
      <c r="C42" s="77"/>
      <c r="J42" s="84"/>
      <c r="K42" s="139" t="str">
        <f>lang!B16</f>
        <v>불안</v>
      </c>
      <c r="L42" s="90" t="s">
        <v>227</v>
      </c>
      <c r="M42" s="103" t="str">
        <f>data_info!HC7</f>
        <v>낮음</v>
      </c>
      <c r="N42" s="860">
        <f>data_info!GX7</f>
        <v>0</v>
      </c>
      <c r="O42" s="861"/>
      <c r="P42" s="862">
        <f>data_info!GT7</f>
        <v>0</v>
      </c>
      <c r="Q42" s="863"/>
      <c r="R42" s="860">
        <f>data_info!GZ7</f>
        <v>0</v>
      </c>
      <c r="S42" s="864"/>
    </row>
    <row r="43" spans="3:19" ht="18" customHeight="1">
      <c r="C43" s="77"/>
      <c r="J43" s="84"/>
      <c r="K43" s="139" t="str">
        <f>lang!B17</f>
        <v>의심</v>
      </c>
      <c r="L43" s="90" t="s">
        <v>225</v>
      </c>
      <c r="M43" s="103" t="str">
        <f>data_info!HC8</f>
        <v>낮음</v>
      </c>
      <c r="N43" s="860">
        <f>data_info!GX8</f>
        <v>0</v>
      </c>
      <c r="O43" s="861"/>
      <c r="P43" s="862">
        <f>data_info!GT8</f>
        <v>0</v>
      </c>
      <c r="Q43" s="863"/>
      <c r="R43" s="860">
        <f>data_info!GZ8</f>
        <v>0</v>
      </c>
      <c r="S43" s="864"/>
    </row>
    <row r="44" spans="3:19" ht="18" customHeight="1">
      <c r="C44" s="77"/>
      <c r="J44" s="84"/>
      <c r="K44" s="139" t="str">
        <f>lang!B18</f>
        <v>밸런스</v>
      </c>
      <c r="L44" s="90" t="s">
        <v>2171</v>
      </c>
      <c r="M44" s="103" t="str">
        <f>data_info!HC9</f>
        <v>낮음</v>
      </c>
      <c r="N44" s="860">
        <f>data_info!GX9</f>
        <v>0</v>
      </c>
      <c r="O44" s="861"/>
      <c r="P44" s="862">
        <f>data_info!GT9</f>
        <v>0</v>
      </c>
      <c r="Q44" s="863"/>
      <c r="R44" s="860">
        <f>data_info!GZ9</f>
        <v>0</v>
      </c>
      <c r="S44" s="864"/>
    </row>
    <row r="45" spans="3:19" ht="18" customHeight="1">
      <c r="C45" s="77"/>
      <c r="J45" s="84"/>
      <c r="K45" s="139" t="str">
        <f>lang!B19</f>
        <v>카리스마</v>
      </c>
      <c r="L45" s="90" t="s">
        <v>229</v>
      </c>
      <c r="M45" s="103" t="str">
        <f>data_info!HC10</f>
        <v>낮음</v>
      </c>
      <c r="N45" s="860">
        <f>data_info!GX10</f>
        <v>0</v>
      </c>
      <c r="O45" s="861"/>
      <c r="P45" s="862">
        <f>data_info!GT10</f>
        <v>0</v>
      </c>
      <c r="Q45" s="863"/>
      <c r="R45" s="860">
        <f>data_info!GZ10</f>
        <v>0</v>
      </c>
      <c r="S45" s="864"/>
    </row>
    <row r="46" spans="3:19" ht="18" customHeight="1">
      <c r="C46" s="77"/>
      <c r="J46" s="84"/>
      <c r="K46" s="139" t="str">
        <f>lang!B20</f>
        <v>에너지</v>
      </c>
      <c r="L46" s="90" t="s">
        <v>2170</v>
      </c>
      <c r="M46" s="103" t="str">
        <f>data_info!HC11</f>
        <v>낮음</v>
      </c>
      <c r="N46" s="860">
        <f>data_info!GX11</f>
        <v>0</v>
      </c>
      <c r="O46" s="861"/>
      <c r="P46" s="862">
        <f>data_info!GT11</f>
        <v>0</v>
      </c>
      <c r="Q46" s="863"/>
      <c r="R46" s="860">
        <f>data_info!GZ11</f>
        <v>0</v>
      </c>
      <c r="S46" s="864"/>
    </row>
    <row r="47" spans="3:19" ht="18" customHeight="1">
      <c r="C47" s="77"/>
      <c r="J47" s="84"/>
      <c r="K47" s="139" t="str">
        <f>lang!B21</f>
        <v>자기조절</v>
      </c>
      <c r="L47" s="90" t="s">
        <v>230</v>
      </c>
      <c r="M47" s="103" t="str">
        <f>data_info!HC12</f>
        <v>낮음</v>
      </c>
      <c r="N47" s="860">
        <f>data_info!GX12</f>
        <v>0</v>
      </c>
      <c r="O47" s="861"/>
      <c r="P47" s="862">
        <f>data_info!GT12</f>
        <v>0</v>
      </c>
      <c r="Q47" s="863"/>
      <c r="R47" s="860">
        <f>data_info!GZ12</f>
        <v>0</v>
      </c>
      <c r="S47" s="864"/>
    </row>
    <row r="48" spans="3:19" ht="18" customHeight="1">
      <c r="C48" s="77"/>
      <c r="J48" s="84"/>
      <c r="K48" s="139" t="str">
        <f>lang!B22</f>
        <v>억제</v>
      </c>
      <c r="L48" s="91" t="s">
        <v>248</v>
      </c>
      <c r="M48" s="103" t="str">
        <f>data_info!HC13</f>
        <v>낮음</v>
      </c>
      <c r="N48" s="860">
        <f>data_info!GX13</f>
        <v>0</v>
      </c>
      <c r="O48" s="861"/>
      <c r="P48" s="862">
        <f>data_info!GT13</f>
        <v>0</v>
      </c>
      <c r="Q48" s="863"/>
      <c r="R48" s="860">
        <f>data_info!GZ13</f>
        <v>0</v>
      </c>
      <c r="S48" s="864"/>
    </row>
    <row r="49" spans="3:19" ht="18" customHeight="1" thickBot="1">
      <c r="C49" s="385"/>
      <c r="D49" s="248"/>
      <c r="E49" s="248"/>
      <c r="F49" s="248"/>
      <c r="G49" s="248"/>
      <c r="H49" s="248"/>
      <c r="I49" s="248"/>
      <c r="J49" s="386"/>
      <c r="K49" s="140" t="str">
        <f>lang!B23</f>
        <v>신경성</v>
      </c>
      <c r="L49" s="92" t="s">
        <v>231</v>
      </c>
      <c r="M49" s="371" t="str">
        <f>data_info!HC14</f>
        <v>낮음</v>
      </c>
      <c r="N49" s="901">
        <f>data_info!GX14</f>
        <v>0</v>
      </c>
      <c r="O49" s="902"/>
      <c r="P49" s="903">
        <f>data_info!GT14</f>
        <v>0</v>
      </c>
      <c r="Q49" s="904"/>
      <c r="R49" s="901">
        <f>data_info!GZ14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data_info!HN50</f>
        <v>50</v>
      </c>
      <c r="R24" s="407">
        <f>data_info!HN51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data_info!HR50</f>
        <v>50</v>
      </c>
      <c r="R25" s="407">
        <f>data_info!HR51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data_info!HT50</f>
        <v>50</v>
      </c>
      <c r="R26" s="407">
        <f>data_info!HT51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data_info!HX50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data_info!HV52</f>
        <v>보통</v>
      </c>
      <c r="G31" s="1163"/>
      <c r="H31" s="1163"/>
      <c r="I31" s="1163"/>
      <c r="J31" s="1164"/>
      <c r="K31" s="1161" t="str">
        <f>lang!B657</f>
        <v>피로도</v>
      </c>
      <c r="L31" s="1162"/>
      <c r="M31" s="1162"/>
      <c r="N31" s="1163" t="str">
        <f>data_info!HV53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data_info!HN52</f>
        <v>50</v>
      </c>
      <c r="D33" s="1172"/>
      <c r="E33" s="1172"/>
      <c r="F33" s="1172"/>
      <c r="G33" s="1172"/>
      <c r="H33" s="1172"/>
      <c r="I33" s="1172"/>
      <c r="J33" s="1173"/>
      <c r="K33" s="868">
        <f>data_info!HN53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data_info!HN52</f>
        <v>50</v>
      </c>
      <c r="G37" s="1182"/>
      <c r="H37" s="401">
        <f>data_info!HR52</f>
        <v>50</v>
      </c>
      <c r="I37" s="401">
        <f>data_info!HT52</f>
        <v>50</v>
      </c>
      <c r="J37" s="292"/>
      <c r="K37" s="389"/>
      <c r="L37" s="237"/>
      <c r="M37" s="237"/>
      <c r="N37" s="1183" t="str">
        <f>lang!B657</f>
        <v>피로도</v>
      </c>
      <c r="O37" s="1183"/>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data_info!HW5</f>
        <v>낮음</v>
      </c>
      <c r="N40" s="854">
        <f>data_info!HR5</f>
        <v>0</v>
      </c>
      <c r="O40" s="855"/>
      <c r="P40" s="856">
        <f>data_info!HN5</f>
        <v>0</v>
      </c>
      <c r="Q40" s="857"/>
      <c r="R40" s="858">
        <f>data_info!HT5</f>
        <v>0</v>
      </c>
      <c r="S40" s="859"/>
    </row>
    <row r="41" spans="3:19" ht="18" customHeight="1">
      <c r="C41" s="77"/>
      <c r="J41" s="84"/>
      <c r="K41" s="139" t="str">
        <f>lang!B15</f>
        <v>스트레스</v>
      </c>
      <c r="L41" s="90" t="s">
        <v>226</v>
      </c>
      <c r="M41" s="103" t="str">
        <f>data_info!HW6</f>
        <v>낮음</v>
      </c>
      <c r="N41" s="860">
        <f>data_info!HR6</f>
        <v>0</v>
      </c>
      <c r="O41" s="861"/>
      <c r="P41" s="862">
        <f>data_info!HN6</f>
        <v>0</v>
      </c>
      <c r="Q41" s="863"/>
      <c r="R41" s="860">
        <f>data_info!HT6</f>
        <v>0</v>
      </c>
      <c r="S41" s="864"/>
    </row>
    <row r="42" spans="3:19" ht="18" customHeight="1">
      <c r="C42" s="77"/>
      <c r="J42" s="84"/>
      <c r="K42" s="139" t="str">
        <f>lang!B16</f>
        <v>불안</v>
      </c>
      <c r="L42" s="90" t="s">
        <v>227</v>
      </c>
      <c r="M42" s="103" t="str">
        <f>data_info!HW7</f>
        <v>낮음</v>
      </c>
      <c r="N42" s="860">
        <f>data_info!HR7</f>
        <v>0</v>
      </c>
      <c r="O42" s="861"/>
      <c r="P42" s="862">
        <f>data_info!HN7</f>
        <v>0</v>
      </c>
      <c r="Q42" s="863"/>
      <c r="R42" s="860">
        <f>data_info!HT7</f>
        <v>0</v>
      </c>
      <c r="S42" s="864"/>
    </row>
    <row r="43" spans="3:19" ht="18" customHeight="1">
      <c r="C43" s="77"/>
      <c r="J43" s="84"/>
      <c r="K43" s="139" t="str">
        <f>lang!B17</f>
        <v>의심</v>
      </c>
      <c r="L43" s="90" t="s">
        <v>225</v>
      </c>
      <c r="M43" s="103" t="str">
        <f>data_info!HW8</f>
        <v>낮음</v>
      </c>
      <c r="N43" s="860">
        <f>data_info!HR8</f>
        <v>0</v>
      </c>
      <c r="O43" s="861"/>
      <c r="P43" s="862">
        <f>data_info!HN8</f>
        <v>0</v>
      </c>
      <c r="Q43" s="863"/>
      <c r="R43" s="860">
        <f>data_info!HT8</f>
        <v>0</v>
      </c>
      <c r="S43" s="864"/>
    </row>
    <row r="44" spans="3:19" ht="18" customHeight="1">
      <c r="C44" s="77"/>
      <c r="J44" s="84"/>
      <c r="K44" s="139" t="str">
        <f>lang!B18</f>
        <v>밸런스</v>
      </c>
      <c r="L44" s="90" t="s">
        <v>2171</v>
      </c>
      <c r="M44" s="103" t="str">
        <f>data_info!HW9</f>
        <v>낮음</v>
      </c>
      <c r="N44" s="860">
        <f>data_info!HR9</f>
        <v>0</v>
      </c>
      <c r="O44" s="861"/>
      <c r="P44" s="862">
        <f>data_info!HN9</f>
        <v>0</v>
      </c>
      <c r="Q44" s="863"/>
      <c r="R44" s="860">
        <f>data_info!HT9</f>
        <v>0</v>
      </c>
      <c r="S44" s="864"/>
    </row>
    <row r="45" spans="3:19" ht="18" customHeight="1">
      <c r="C45" s="77"/>
      <c r="J45" s="84"/>
      <c r="K45" s="139" t="str">
        <f>lang!B19</f>
        <v>카리스마</v>
      </c>
      <c r="L45" s="90" t="s">
        <v>229</v>
      </c>
      <c r="M45" s="103" t="str">
        <f>data_info!HW10</f>
        <v>낮음</v>
      </c>
      <c r="N45" s="860">
        <f>data_info!HR10</f>
        <v>0</v>
      </c>
      <c r="O45" s="861"/>
      <c r="P45" s="862">
        <f>data_info!HN10</f>
        <v>0</v>
      </c>
      <c r="Q45" s="863"/>
      <c r="R45" s="860">
        <f>data_info!HT10</f>
        <v>0</v>
      </c>
      <c r="S45" s="864"/>
    </row>
    <row r="46" spans="3:19" ht="18" customHeight="1">
      <c r="C46" s="77"/>
      <c r="J46" s="84"/>
      <c r="K46" s="139" t="str">
        <f>lang!B20</f>
        <v>에너지</v>
      </c>
      <c r="L46" s="90" t="s">
        <v>2170</v>
      </c>
      <c r="M46" s="103" t="str">
        <f>data_info!HW11</f>
        <v>낮음</v>
      </c>
      <c r="N46" s="860">
        <f>data_info!HR11</f>
        <v>0</v>
      </c>
      <c r="O46" s="861"/>
      <c r="P46" s="862">
        <f>data_info!HN11</f>
        <v>0</v>
      </c>
      <c r="Q46" s="863"/>
      <c r="R46" s="860">
        <f>data_info!HT11</f>
        <v>0</v>
      </c>
      <c r="S46" s="864"/>
    </row>
    <row r="47" spans="3:19" ht="18" customHeight="1">
      <c r="C47" s="77"/>
      <c r="J47" s="84"/>
      <c r="K47" s="139" t="str">
        <f>lang!B21</f>
        <v>자기조절</v>
      </c>
      <c r="L47" s="90" t="s">
        <v>230</v>
      </c>
      <c r="M47" s="103" t="str">
        <f>data_info!HW12</f>
        <v>낮음</v>
      </c>
      <c r="N47" s="860">
        <f>data_info!HR12</f>
        <v>0</v>
      </c>
      <c r="O47" s="861"/>
      <c r="P47" s="862">
        <f>data_info!HN12</f>
        <v>0</v>
      </c>
      <c r="Q47" s="863"/>
      <c r="R47" s="860">
        <f>data_info!HT12</f>
        <v>0</v>
      </c>
      <c r="S47" s="864"/>
    </row>
    <row r="48" spans="3:19" ht="18" customHeight="1">
      <c r="C48" s="77"/>
      <c r="J48" s="84"/>
      <c r="K48" s="139" t="str">
        <f>lang!B22</f>
        <v>억제</v>
      </c>
      <c r="L48" s="91" t="s">
        <v>248</v>
      </c>
      <c r="M48" s="103" t="str">
        <f>data_info!HW13</f>
        <v>낮음</v>
      </c>
      <c r="N48" s="860">
        <f>data_info!HR13</f>
        <v>0</v>
      </c>
      <c r="O48" s="861"/>
      <c r="P48" s="862">
        <f>data_info!HN13</f>
        <v>0</v>
      </c>
      <c r="Q48" s="863"/>
      <c r="R48" s="860">
        <f>data_info!HT13</f>
        <v>0</v>
      </c>
      <c r="S48" s="864"/>
    </row>
    <row r="49" spans="3:19" ht="18" customHeight="1" thickBot="1">
      <c r="C49" s="385"/>
      <c r="D49" s="248"/>
      <c r="E49" s="248"/>
      <c r="F49" s="248"/>
      <c r="G49" s="248"/>
      <c r="H49" s="248"/>
      <c r="I49" s="248"/>
      <c r="J49" s="386"/>
      <c r="K49" s="140" t="str">
        <f>lang!B23</f>
        <v>신경성</v>
      </c>
      <c r="L49" s="92" t="s">
        <v>231</v>
      </c>
      <c r="M49" s="371" t="str">
        <f>data_info!HW14</f>
        <v>낮음</v>
      </c>
      <c r="N49" s="901">
        <f>data_info!HR14</f>
        <v>0</v>
      </c>
      <c r="O49" s="902"/>
      <c r="P49" s="903">
        <f>data_info!HN14</f>
        <v>0</v>
      </c>
      <c r="Q49" s="904"/>
      <c r="R49" s="901">
        <f>data_info!HT14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764" t="str">
        <f>lang!B641</f>
        <v>감성 상태 검사 결과</v>
      </c>
      <c r="D3" s="764"/>
      <c r="E3" s="764"/>
      <c r="F3" s="764"/>
      <c r="G3" s="764"/>
      <c r="H3" s="764"/>
      <c r="I3" s="764"/>
      <c r="J3" s="764"/>
      <c r="K3" s="764"/>
      <c r="L3" s="764"/>
      <c r="M3" s="764"/>
      <c r="N3" s="764"/>
      <c r="O3" s="764"/>
      <c r="P3" s="765" t="str">
        <f>FH_info!AB2</f>
        <v>마인드아이</v>
      </c>
      <c r="Q3" s="765"/>
      <c r="R3" s="765"/>
      <c r="S3" s="765"/>
    </row>
    <row r="4" spans="2:19" ht="14.25" customHeight="1">
      <c r="C4" s="764"/>
      <c r="D4" s="764"/>
      <c r="E4" s="764"/>
      <c r="F4" s="764"/>
      <c r="G4" s="764"/>
      <c r="H4" s="764"/>
      <c r="I4" s="764"/>
      <c r="J4" s="764"/>
      <c r="K4" s="764"/>
      <c r="L4" s="764"/>
      <c r="M4" s="764"/>
      <c r="N4" s="764"/>
      <c r="O4" s="764"/>
      <c r="P4" s="765"/>
      <c r="Q4" s="765"/>
      <c r="R4" s="765"/>
      <c r="S4" s="765"/>
    </row>
    <row r="5" spans="2:19" ht="3" customHeight="1"/>
    <row r="6" spans="2:19" ht="1.5" customHeight="1" thickBot="1"/>
    <row r="7" spans="2:19">
      <c r="C7" s="766"/>
      <c r="D7" s="767"/>
      <c r="E7" s="768"/>
      <c r="F7" s="777" t="str">
        <f>lang!B159</f>
        <v>측정일</v>
      </c>
      <c r="G7" s="960"/>
      <c r="H7" s="771">
        <f>IF(FH_info!A2="","",FH_info!A2)</f>
        <v>45854.539027777777</v>
      </c>
      <c r="I7" s="772"/>
      <c r="J7" s="773"/>
      <c r="K7" s="166" t="str">
        <f>lang!B160</f>
        <v>나이</v>
      </c>
      <c r="L7" s="774" t="str">
        <f>IF(FH_info!B2="","", FH_info!T2)</f>
        <v>5</v>
      </c>
      <c r="M7" s="774"/>
      <c r="N7" s="166" t="str">
        <f>lang!B161</f>
        <v>성별</v>
      </c>
      <c r="O7" s="775" t="str">
        <f>IF(FH_info!B2="","", FH_info!S2)</f>
        <v>남성</v>
      </c>
      <c r="P7" s="776"/>
      <c r="Q7" s="777" t="str">
        <f>lang!B164</f>
        <v>측정장소</v>
      </c>
      <c r="R7" s="778"/>
      <c r="S7" s="779"/>
    </row>
    <row r="8" spans="2:19">
      <c r="C8" s="769"/>
      <c r="D8" s="749"/>
      <c r="E8" s="770"/>
      <c r="F8" s="961" t="str">
        <f>lang!B165</f>
        <v>이름</v>
      </c>
      <c r="G8" s="962"/>
      <c r="H8" s="780" t="str">
        <f>IF(FH_info!B2="","", FH_info!O2)</f>
        <v>IB4i</v>
      </c>
      <c r="I8" s="781"/>
      <c r="J8" s="782"/>
      <c r="K8" s="146" t="str">
        <f>lang!B669</f>
        <v>비고</v>
      </c>
      <c r="L8" s="780" t="str">
        <f>IF(FH_info!B2="","", FH_info!V2)</f>
        <v/>
      </c>
      <c r="M8" s="781"/>
      <c r="N8" s="781"/>
      <c r="O8" s="781"/>
      <c r="P8" s="782"/>
      <c r="Q8" s="780" t="str">
        <f>IF(FH_info!B2="","", FH_info!U2)</f>
        <v/>
      </c>
      <c r="R8" s="781"/>
      <c r="S8" s="786"/>
    </row>
    <row r="9" spans="2:19" ht="9" customHeight="1">
      <c r="C9" s="769"/>
      <c r="D9" s="749"/>
      <c r="E9" s="770"/>
      <c r="F9" s="972"/>
      <c r="G9" s="973"/>
      <c r="H9" s="789"/>
      <c r="I9" s="790"/>
      <c r="J9" s="790"/>
      <c r="K9" s="790"/>
      <c r="L9" s="790"/>
      <c r="M9" s="790"/>
      <c r="N9" s="790"/>
      <c r="O9" s="790"/>
      <c r="P9" s="790"/>
      <c r="Q9" s="790"/>
      <c r="R9" s="790"/>
      <c r="S9" s="791"/>
    </row>
    <row r="10" spans="2:19" ht="9" customHeight="1">
      <c r="C10" s="769"/>
      <c r="D10" s="749"/>
      <c r="E10" s="770"/>
      <c r="F10" s="974"/>
      <c r="G10" s="975"/>
      <c r="H10" s="792"/>
      <c r="I10" s="793"/>
      <c r="J10" s="793"/>
      <c r="K10" s="793"/>
      <c r="L10" s="793"/>
      <c r="M10" s="793"/>
      <c r="N10" s="793"/>
      <c r="O10" s="793"/>
      <c r="P10" s="793"/>
      <c r="Q10" s="793"/>
      <c r="R10" s="793"/>
      <c r="S10" s="794"/>
    </row>
    <row r="11" spans="2:19" ht="19.5" customHeight="1" thickBot="1">
      <c r="C11" s="769"/>
      <c r="D11" s="749"/>
      <c r="E11" s="770"/>
      <c r="F11" s="974"/>
      <c r="G11" s="975"/>
      <c r="H11" s="792"/>
      <c r="I11" s="793"/>
      <c r="J11" s="793"/>
      <c r="K11" s="793"/>
      <c r="L11" s="793"/>
      <c r="M11" s="793"/>
      <c r="N11" s="793"/>
      <c r="O11" s="793"/>
      <c r="P11" s="793"/>
      <c r="Q11" s="793"/>
      <c r="R11" s="793"/>
      <c r="S11" s="794"/>
    </row>
    <row r="12" spans="2:19" ht="22.5" hidden="1" customHeight="1" thickBot="1">
      <c r="C12" s="230"/>
      <c r="D12" s="231"/>
      <c r="E12" s="232"/>
      <c r="F12" s="976"/>
      <c r="G12" s="977"/>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26" t="str">
        <f>lang!B642</f>
        <v>감성 패스웨이</v>
      </c>
      <c r="D13" s="927"/>
      <c r="E13" s="927"/>
      <c r="F13" s="927"/>
      <c r="G13" s="927"/>
      <c r="H13" s="927"/>
      <c r="I13" s="927"/>
      <c r="J13" s="927"/>
      <c r="K13" s="927"/>
      <c r="L13" s="927"/>
      <c r="M13" s="927"/>
      <c r="N13" s="927"/>
      <c r="O13" s="927"/>
      <c r="P13" s="927"/>
      <c r="Q13" s="927"/>
      <c r="R13" s="927"/>
      <c r="S13" s="928"/>
    </row>
    <row r="14" spans="2:19" ht="24" customHeight="1">
      <c r="B14" s="79"/>
      <c r="C14" s="374"/>
      <c r="D14" s="1160" t="str">
        <f>lang!B645</f>
        <v>고활력도</v>
      </c>
      <c r="E14" s="1160"/>
      <c r="F14" s="1160"/>
      <c r="G14" s="1160"/>
      <c r="H14" s="1160"/>
      <c r="I14" s="1160"/>
      <c r="J14" s="1160"/>
      <c r="K14" s="1160"/>
      <c r="L14" s="1160"/>
      <c r="M14" s="375"/>
      <c r="N14" s="375"/>
      <c r="O14" s="375"/>
      <c r="P14" s="375"/>
      <c r="Q14" s="375"/>
      <c r="R14" s="375"/>
      <c r="S14" s="376"/>
    </row>
    <row r="15" spans="2:19" ht="20.100000000000001" customHeight="1">
      <c r="B15" s="79"/>
      <c r="C15" s="841" t="str">
        <f>lang!B644</f>
        <v>불쾌</v>
      </c>
      <c r="D15" s="1168"/>
      <c r="E15" s="1168"/>
      <c r="F15" s="1168"/>
      <c r="G15" s="1168"/>
      <c r="H15" s="1168"/>
      <c r="I15" s="1167"/>
      <c r="J15" s="1167"/>
      <c r="K15" s="1167"/>
      <c r="L15" s="1167"/>
      <c r="M15" s="842" t="str">
        <f>lang!B643</f>
        <v>쾌</v>
      </c>
      <c r="N15" s="372"/>
      <c r="O15" s="372"/>
      <c r="P15" s="372"/>
      <c r="Q15" s="372"/>
      <c r="R15" s="372"/>
      <c r="S15" s="373"/>
    </row>
    <row r="16" spans="2:19" ht="20.100000000000001" customHeight="1">
      <c r="B16" s="79"/>
      <c r="C16" s="841"/>
      <c r="D16" s="1168"/>
      <c r="E16" s="1168"/>
      <c r="F16" s="1168"/>
      <c r="G16" s="1168"/>
      <c r="H16" s="1168"/>
      <c r="I16" s="1167"/>
      <c r="J16" s="1167"/>
      <c r="K16" s="1167"/>
      <c r="L16" s="1167"/>
      <c r="M16" s="842"/>
      <c r="N16" s="372"/>
      <c r="O16" s="1178" t="str">
        <f>data_info!C87</f>
        <v>불안-불쾌</v>
      </c>
      <c r="P16" s="1179"/>
      <c r="Q16" s="1176" t="str">
        <f>data_info!C86</f>
        <v>흥분-설렘</v>
      </c>
      <c r="R16" s="1177"/>
      <c r="S16" s="373"/>
    </row>
    <row r="17" spans="2:21" ht="20.100000000000001" customHeight="1">
      <c r="B17" s="79"/>
      <c r="C17" s="841"/>
      <c r="D17" s="1168"/>
      <c r="E17" s="1168"/>
      <c r="F17" s="1168"/>
      <c r="G17" s="1168"/>
      <c r="H17" s="1168"/>
      <c r="I17" s="1167"/>
      <c r="J17" s="1167"/>
      <c r="K17" s="1167"/>
      <c r="L17" s="1167"/>
      <c r="M17" s="842"/>
      <c r="N17" s="372"/>
      <c r="O17" s="397"/>
      <c r="P17" s="1178" t="str">
        <f>data_info!C85</f>
        <v>중립</v>
      </c>
      <c r="Q17" s="1177"/>
      <c r="R17" s="397"/>
      <c r="S17" s="373"/>
    </row>
    <row r="18" spans="2:21" ht="20.100000000000001" customHeight="1">
      <c r="B18" s="79"/>
      <c r="C18" s="841"/>
      <c r="D18" s="1168"/>
      <c r="E18" s="1168"/>
      <c r="F18" s="1168"/>
      <c r="G18" s="1168"/>
      <c r="H18" s="1168"/>
      <c r="I18" s="1167"/>
      <c r="J18" s="1167"/>
      <c r="K18" s="1167"/>
      <c r="L18" s="1167"/>
      <c r="M18" s="842"/>
      <c r="N18" s="372"/>
      <c r="O18" s="398"/>
      <c r="P18" s="1181"/>
      <c r="Q18" s="1180"/>
      <c r="R18" s="398"/>
      <c r="S18" s="373"/>
    </row>
    <row r="19" spans="2:21" ht="19.5" customHeight="1">
      <c r="B19" s="79"/>
      <c r="C19" s="841"/>
      <c r="D19" s="1168"/>
      <c r="E19" s="1168"/>
      <c r="F19" s="1168"/>
      <c r="G19" s="1168"/>
      <c r="H19" s="1168"/>
      <c r="I19" s="1167"/>
      <c r="J19" s="1167"/>
      <c r="K19" s="1167"/>
      <c r="L19" s="1167"/>
      <c r="M19" s="842"/>
      <c r="N19" s="372"/>
      <c r="O19" s="1181" t="str">
        <f>data_info!C88</f>
        <v>우울-무기력</v>
      </c>
      <c r="P19" s="1179"/>
      <c r="Q19" s="1176" t="str">
        <f>data_info!C89</f>
        <v>안정-편안함</v>
      </c>
      <c r="R19" s="1180"/>
      <c r="S19" s="373"/>
    </row>
    <row r="20" spans="2:21" ht="6" customHeight="1">
      <c r="C20" s="841"/>
      <c r="D20" s="1168"/>
      <c r="E20" s="1168"/>
      <c r="F20" s="1168"/>
      <c r="G20" s="1168"/>
      <c r="H20" s="1168"/>
      <c r="I20" s="1167"/>
      <c r="J20" s="1167"/>
      <c r="K20" s="1167"/>
      <c r="L20" s="1167"/>
      <c r="M20" s="842"/>
      <c r="N20" s="372"/>
      <c r="O20" s="372"/>
      <c r="P20" s="372"/>
      <c r="Q20" s="372"/>
      <c r="R20" s="372"/>
      <c r="S20" s="373"/>
      <c r="T20" s="164">
        <f>Measurement!AS7</f>
        <v>4</v>
      </c>
    </row>
    <row r="21" spans="2:21" ht="26.25" customHeight="1">
      <c r="C21" s="841"/>
      <c r="D21" s="1168"/>
      <c r="E21" s="1168"/>
      <c r="F21" s="1168"/>
      <c r="G21" s="1168"/>
      <c r="H21" s="403"/>
      <c r="I21" s="403"/>
      <c r="J21" s="1167"/>
      <c r="K21" s="1167"/>
      <c r="L21" s="1167"/>
      <c r="M21" s="842"/>
      <c r="N21" s="372"/>
      <c r="O21" s="372"/>
      <c r="P21" s="372"/>
      <c r="Q21" s="372"/>
      <c r="R21" s="372"/>
      <c r="S21" s="373"/>
    </row>
    <row r="22" spans="2:21" ht="28.5" customHeight="1">
      <c r="C22" s="841"/>
      <c r="D22" s="1165"/>
      <c r="E22" s="1165"/>
      <c r="F22" s="1165"/>
      <c r="G22" s="1165"/>
      <c r="H22" s="403"/>
      <c r="I22" s="403"/>
      <c r="J22" s="1166"/>
      <c r="K22" s="1166"/>
      <c r="L22" s="1166"/>
      <c r="M22" s="842"/>
      <c r="N22" s="372"/>
      <c r="O22" s="372"/>
      <c r="P22" s="372"/>
      <c r="Q22" s="372"/>
      <c r="R22" s="372"/>
      <c r="S22" s="373"/>
      <c r="U22" s="80"/>
    </row>
    <row r="23" spans="2:21" ht="20.100000000000001" customHeight="1">
      <c r="C23" s="841"/>
      <c r="D23" s="1165"/>
      <c r="E23" s="1165"/>
      <c r="F23" s="1165"/>
      <c r="G23" s="1165"/>
      <c r="H23" s="1165"/>
      <c r="I23" s="1166"/>
      <c r="J23" s="1166"/>
      <c r="K23" s="1166"/>
      <c r="L23" s="1166"/>
      <c r="M23" s="842"/>
      <c r="N23" s="405"/>
      <c r="O23" s="1185"/>
      <c r="P23" s="1185"/>
      <c r="Q23" s="406" t="str">
        <f>lang!B663</f>
        <v>쾌-불쾌</v>
      </c>
      <c r="R23" s="406" t="str">
        <f>lang!B664</f>
        <v>활력도</v>
      </c>
      <c r="S23" s="373"/>
      <c r="U23" s="80"/>
    </row>
    <row r="24" spans="2:21" ht="20.100000000000001" customHeight="1">
      <c r="C24" s="841"/>
      <c r="D24" s="1165"/>
      <c r="E24" s="1165"/>
      <c r="F24" s="1165"/>
      <c r="G24" s="1165"/>
      <c r="H24" s="1165"/>
      <c r="I24" s="1166"/>
      <c r="J24" s="1166"/>
      <c r="K24" s="1166"/>
      <c r="L24" s="1166"/>
      <c r="M24" s="842"/>
      <c r="N24" s="404"/>
      <c r="O24" s="1169" t="str">
        <f>lang!B665</f>
        <v>중심점</v>
      </c>
      <c r="P24" s="1169"/>
      <c r="Q24" s="407">
        <f>data_info!IH50</f>
        <v>50</v>
      </c>
      <c r="R24" s="407">
        <f>data_info!IH51</f>
        <v>50</v>
      </c>
      <c r="S24" s="373"/>
    </row>
    <row r="25" spans="2:21" ht="20.100000000000001" customHeight="1">
      <c r="C25" s="841"/>
      <c r="D25" s="1165"/>
      <c r="E25" s="1165"/>
      <c r="F25" s="1165"/>
      <c r="G25" s="1165"/>
      <c r="H25" s="1165"/>
      <c r="I25" s="1166"/>
      <c r="J25" s="1166"/>
      <c r="K25" s="1166"/>
      <c r="L25" s="1166"/>
      <c r="M25" s="842"/>
      <c r="N25" s="404"/>
      <c r="O25" s="1169" t="str">
        <f>lang!B666</f>
        <v>최소값</v>
      </c>
      <c r="P25" s="1169"/>
      <c r="Q25" s="407">
        <f>data_info!IL50</f>
        <v>50</v>
      </c>
      <c r="R25" s="407">
        <f>data_info!IL51</f>
        <v>50</v>
      </c>
      <c r="S25" s="373"/>
    </row>
    <row r="26" spans="2:21" ht="20.100000000000001" customHeight="1">
      <c r="C26" s="841"/>
      <c r="D26" s="1165"/>
      <c r="E26" s="1165"/>
      <c r="F26" s="1165"/>
      <c r="G26" s="1165"/>
      <c r="H26" s="1165"/>
      <c r="I26" s="1166"/>
      <c r="J26" s="1166"/>
      <c r="K26" s="1166"/>
      <c r="L26" s="1166"/>
      <c r="M26" s="842"/>
      <c r="N26" s="372"/>
      <c r="O26" s="1169" t="str">
        <f>lang!B667</f>
        <v>최대값</v>
      </c>
      <c r="P26" s="1169"/>
      <c r="Q26" s="407">
        <f>data_info!IN50</f>
        <v>50</v>
      </c>
      <c r="R26" s="407">
        <f>data_info!IN51</f>
        <v>50</v>
      </c>
      <c r="S26" s="373"/>
      <c r="U26" s="80"/>
    </row>
    <row r="27" spans="2:21" ht="20.100000000000001" customHeight="1">
      <c r="C27" s="841"/>
      <c r="D27" s="1165"/>
      <c r="E27" s="1165"/>
      <c r="F27" s="1165"/>
      <c r="G27" s="1165"/>
      <c r="H27" s="1165"/>
      <c r="I27" s="1166"/>
      <c r="J27" s="1166"/>
      <c r="K27" s="1166"/>
      <c r="L27" s="1166"/>
      <c r="M27" s="842"/>
      <c r="N27" s="372"/>
      <c r="O27" s="1169" t="str">
        <f>lang!B668</f>
        <v>감정단어</v>
      </c>
      <c r="P27" s="1169"/>
      <c r="Q27" s="1186" t="str">
        <f>data_info!IR50</f>
        <v>유쾌한</v>
      </c>
      <c r="R27" s="1187"/>
      <c r="S27" s="373"/>
      <c r="U27" s="80"/>
    </row>
    <row r="28" spans="2:21" ht="7.5" customHeight="1">
      <c r="C28" s="841"/>
      <c r="D28" s="1165"/>
      <c r="E28" s="1165"/>
      <c r="F28" s="1165"/>
      <c r="G28" s="1165"/>
      <c r="H28" s="1165"/>
      <c r="I28" s="1166"/>
      <c r="J28" s="1166"/>
      <c r="K28" s="1166"/>
      <c r="L28" s="1166"/>
      <c r="M28" s="842"/>
      <c r="N28" s="372"/>
      <c r="O28" s="372"/>
      <c r="P28" s="372"/>
      <c r="Q28" s="372"/>
      <c r="R28" s="372"/>
      <c r="S28" s="373"/>
    </row>
    <row r="29" spans="2:21" ht="27.75" customHeight="1" thickBot="1">
      <c r="C29" s="377"/>
      <c r="D29" s="1170" t="str">
        <f>lang!B646</f>
        <v>저활력도</v>
      </c>
      <c r="E29" s="1170"/>
      <c r="F29" s="1170"/>
      <c r="G29" s="1170"/>
      <c r="H29" s="1170"/>
      <c r="I29" s="1170"/>
      <c r="J29" s="1170"/>
      <c r="K29" s="1170"/>
      <c r="L29" s="1170"/>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61" t="str">
        <f>lang!B653</f>
        <v>쾌-불쾌</v>
      </c>
      <c r="D31" s="1162"/>
      <c r="E31" s="1162"/>
      <c r="F31" s="1163" t="str">
        <f>data_info!IP52</f>
        <v>보통</v>
      </c>
      <c r="G31" s="1163"/>
      <c r="H31" s="1163"/>
      <c r="I31" s="1163"/>
      <c r="J31" s="1164"/>
      <c r="K31" s="1161" t="str">
        <f>lang!B657</f>
        <v>피로도</v>
      </c>
      <c r="L31" s="1162"/>
      <c r="M31" s="1162"/>
      <c r="N31" s="1163" t="str">
        <f>data_info!IP53</f>
        <v>보통</v>
      </c>
      <c r="O31" s="1163"/>
      <c r="P31" s="1163"/>
      <c r="Q31" s="1163"/>
      <c r="R31" s="1163"/>
      <c r="S31" s="1164"/>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1">
        <f>data_info!IH52</f>
        <v>50</v>
      </c>
      <c r="D33" s="1172"/>
      <c r="E33" s="1172"/>
      <c r="F33" s="1172"/>
      <c r="G33" s="1172"/>
      <c r="H33" s="1172"/>
      <c r="I33" s="1172"/>
      <c r="J33" s="1173"/>
      <c r="K33" s="868">
        <f>data_info!IH53</f>
        <v>50</v>
      </c>
      <c r="L33" s="1174"/>
      <c r="M33" s="1174"/>
      <c r="N33" s="1174"/>
      <c r="O33" s="1174"/>
      <c r="P33" s="1174"/>
      <c r="Q33" s="1174"/>
      <c r="R33" s="1174"/>
      <c r="S33" s="1175"/>
    </row>
    <row r="34" spans="3:19" ht="16.5" customHeight="1">
      <c r="C34" s="1171"/>
      <c r="D34" s="1172"/>
      <c r="E34" s="1172"/>
      <c r="F34" s="1172"/>
      <c r="G34" s="1172"/>
      <c r="H34" s="1172"/>
      <c r="I34" s="1172"/>
      <c r="J34" s="1173"/>
      <c r="K34" s="868"/>
      <c r="L34" s="1174"/>
      <c r="M34" s="1174"/>
      <c r="N34" s="1174"/>
      <c r="O34" s="1174"/>
      <c r="P34" s="1174"/>
      <c r="Q34" s="1174"/>
      <c r="R34" s="1174"/>
      <c r="S34" s="1175"/>
    </row>
    <row r="35" spans="3:19" ht="16.5" customHeight="1">
      <c r="C35" s="387"/>
      <c r="H35" s="291"/>
      <c r="I35" s="291"/>
      <c r="J35" s="292"/>
      <c r="K35" s="389"/>
      <c r="L35" s="237"/>
      <c r="M35" s="237"/>
      <c r="N35" s="237"/>
      <c r="O35" s="237"/>
      <c r="P35" s="237"/>
      <c r="Q35" s="237"/>
      <c r="R35" s="237"/>
      <c r="S35" s="238"/>
    </row>
    <row r="36" spans="3:19" ht="16.5" customHeight="1">
      <c r="C36" s="387"/>
      <c r="E36" s="402"/>
      <c r="F36" s="1185" t="str">
        <f>lang!B665</f>
        <v>중심점</v>
      </c>
      <c r="G36" s="1185"/>
      <c r="H36" s="399" t="str">
        <f>lang!B666</f>
        <v>최소값</v>
      </c>
      <c r="I36" s="399" t="str">
        <f>lang!B667</f>
        <v>최대값</v>
      </c>
      <c r="J36" s="292"/>
      <c r="K36" s="389"/>
      <c r="L36" s="237"/>
      <c r="M36" s="237"/>
      <c r="N36" s="1184"/>
      <c r="O36" s="1184"/>
      <c r="P36" s="399" t="str">
        <f>lang!B665</f>
        <v>중심점</v>
      </c>
      <c r="Q36" s="399" t="str">
        <f>lang!B666</f>
        <v>최소값</v>
      </c>
      <c r="R36" s="399" t="str">
        <f>lang!B667</f>
        <v>최대값</v>
      </c>
      <c r="S36" s="238"/>
    </row>
    <row r="37" spans="3:19" ht="16.5" customHeight="1">
      <c r="C37" s="387"/>
      <c r="E37" s="316" t="str">
        <f>lang!B653</f>
        <v>쾌-불쾌</v>
      </c>
      <c r="F37" s="1182">
        <f>data_info!IH52</f>
        <v>50</v>
      </c>
      <c r="G37" s="1182"/>
      <c r="H37" s="401">
        <f>data_info!IL52</f>
        <v>50</v>
      </c>
      <c r="I37" s="401">
        <f>data_info!IN52</f>
        <v>50</v>
      </c>
      <c r="J37" s="292"/>
      <c r="K37" s="389"/>
      <c r="L37" s="237"/>
      <c r="M37" s="237"/>
      <c r="N37" s="1183" t="str">
        <f>lang!B657</f>
        <v>피로도</v>
      </c>
      <c r="O37" s="1183"/>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48" t="str">
        <f>lang!B200</f>
        <v>심리상태 차트</v>
      </c>
      <c r="D39" s="849"/>
      <c r="E39" s="849"/>
      <c r="F39" s="849"/>
      <c r="G39" s="849"/>
      <c r="H39" s="849"/>
      <c r="I39" s="849"/>
      <c r="J39" s="850"/>
      <c r="K39" s="195" t="str">
        <f>lang!B201</f>
        <v>항목</v>
      </c>
      <c r="L39" s="196" t="str">
        <f>lang!B202</f>
        <v>범위</v>
      </c>
      <c r="M39" s="196" t="str">
        <f>lang!B203</f>
        <v>판정</v>
      </c>
      <c r="N39" s="851" t="str">
        <f>lang!B204</f>
        <v>최소값</v>
      </c>
      <c r="O39" s="852"/>
      <c r="P39" s="851" t="str">
        <f>lang!B205</f>
        <v>평균값</v>
      </c>
      <c r="Q39" s="852"/>
      <c r="R39" s="851" t="str">
        <f>lang!B206</f>
        <v>최대값</v>
      </c>
      <c r="S39" s="853"/>
    </row>
    <row r="40" spans="3:19" ht="18" customHeight="1">
      <c r="C40" s="382"/>
      <c r="D40" s="383"/>
      <c r="E40" s="383"/>
      <c r="F40" s="383"/>
      <c r="G40" s="383"/>
      <c r="H40" s="383"/>
      <c r="I40" s="383"/>
      <c r="J40" s="384"/>
      <c r="K40" s="138" t="str">
        <f>lang!B14</f>
        <v>적극/공격성</v>
      </c>
      <c r="L40" s="89" t="s">
        <v>225</v>
      </c>
      <c r="M40" s="102" t="str">
        <f>data_info!IQ5</f>
        <v>낮음</v>
      </c>
      <c r="N40" s="854">
        <f>data_info!IL5</f>
        <v>0</v>
      </c>
      <c r="O40" s="855"/>
      <c r="P40" s="856">
        <f>data_info!IH5</f>
        <v>0</v>
      </c>
      <c r="Q40" s="857"/>
      <c r="R40" s="858">
        <f>data_info!IN5</f>
        <v>0</v>
      </c>
      <c r="S40" s="859"/>
    </row>
    <row r="41" spans="3:19" ht="18" customHeight="1">
      <c r="C41" s="77"/>
      <c r="J41" s="84"/>
      <c r="K41" s="139" t="str">
        <f>lang!B15</f>
        <v>스트레스</v>
      </c>
      <c r="L41" s="90" t="s">
        <v>226</v>
      </c>
      <c r="M41" s="103" t="str">
        <f>data_info!IQ6</f>
        <v>낮음</v>
      </c>
      <c r="N41" s="860">
        <f>data_info!IL6</f>
        <v>0</v>
      </c>
      <c r="O41" s="861"/>
      <c r="P41" s="862">
        <f>data_info!IH6</f>
        <v>0</v>
      </c>
      <c r="Q41" s="863"/>
      <c r="R41" s="860">
        <f>data_info!IN6</f>
        <v>0</v>
      </c>
      <c r="S41" s="864"/>
    </row>
    <row r="42" spans="3:19" ht="18" customHeight="1">
      <c r="C42" s="77"/>
      <c r="J42" s="84"/>
      <c r="K42" s="139" t="str">
        <f>lang!B16</f>
        <v>불안</v>
      </c>
      <c r="L42" s="90" t="s">
        <v>227</v>
      </c>
      <c r="M42" s="103" t="str">
        <f>data_info!IQ7</f>
        <v>낮음</v>
      </c>
      <c r="N42" s="860">
        <f>data_info!IL7</f>
        <v>0</v>
      </c>
      <c r="O42" s="861"/>
      <c r="P42" s="862">
        <f>data_info!IH7</f>
        <v>0</v>
      </c>
      <c r="Q42" s="863"/>
      <c r="R42" s="860">
        <f>data_info!IN7</f>
        <v>0</v>
      </c>
      <c r="S42" s="864"/>
    </row>
    <row r="43" spans="3:19" ht="18" customHeight="1">
      <c r="C43" s="77"/>
      <c r="J43" s="84"/>
      <c r="K43" s="139" t="str">
        <f>lang!B17</f>
        <v>의심</v>
      </c>
      <c r="L43" s="90" t="s">
        <v>225</v>
      </c>
      <c r="M43" s="103" t="str">
        <f>data_info!IQ8</f>
        <v>낮음</v>
      </c>
      <c r="N43" s="860">
        <f>data_info!IL8</f>
        <v>0</v>
      </c>
      <c r="O43" s="861"/>
      <c r="P43" s="862">
        <f>data_info!IH8</f>
        <v>0</v>
      </c>
      <c r="Q43" s="863"/>
      <c r="R43" s="860">
        <f>data_info!IN8</f>
        <v>0</v>
      </c>
      <c r="S43" s="864"/>
    </row>
    <row r="44" spans="3:19" ht="18" customHeight="1">
      <c r="C44" s="77"/>
      <c r="J44" s="84"/>
      <c r="K44" s="139" t="str">
        <f>lang!B18</f>
        <v>밸런스</v>
      </c>
      <c r="L44" s="90" t="s">
        <v>2171</v>
      </c>
      <c r="M44" s="103" t="str">
        <f>data_info!IQ9</f>
        <v>낮음</v>
      </c>
      <c r="N44" s="860">
        <f>data_info!IL9</f>
        <v>0</v>
      </c>
      <c r="O44" s="861"/>
      <c r="P44" s="862">
        <f>data_info!IH9</f>
        <v>0</v>
      </c>
      <c r="Q44" s="863"/>
      <c r="R44" s="860">
        <f>data_info!IN9</f>
        <v>0</v>
      </c>
      <c r="S44" s="864"/>
    </row>
    <row r="45" spans="3:19" ht="18" customHeight="1">
      <c r="C45" s="77"/>
      <c r="J45" s="84"/>
      <c r="K45" s="139" t="str">
        <f>lang!B19</f>
        <v>카리스마</v>
      </c>
      <c r="L45" s="90" t="s">
        <v>229</v>
      </c>
      <c r="M45" s="103" t="str">
        <f>data_info!IQ10</f>
        <v>낮음</v>
      </c>
      <c r="N45" s="860">
        <f>data_info!IL10</f>
        <v>0</v>
      </c>
      <c r="O45" s="861"/>
      <c r="P45" s="862">
        <f>data_info!IH10</f>
        <v>0</v>
      </c>
      <c r="Q45" s="863"/>
      <c r="R45" s="860">
        <f>data_info!IN10</f>
        <v>0</v>
      </c>
      <c r="S45" s="864"/>
    </row>
    <row r="46" spans="3:19" ht="18" customHeight="1">
      <c r="C46" s="77"/>
      <c r="J46" s="84"/>
      <c r="K46" s="139" t="str">
        <f>lang!B20</f>
        <v>에너지</v>
      </c>
      <c r="L46" s="90" t="s">
        <v>2170</v>
      </c>
      <c r="M46" s="103" t="str">
        <f>data_info!IQ11</f>
        <v>낮음</v>
      </c>
      <c r="N46" s="860">
        <f>data_info!IL11</f>
        <v>0</v>
      </c>
      <c r="O46" s="861"/>
      <c r="P46" s="862">
        <f>data_info!IH11</f>
        <v>0</v>
      </c>
      <c r="Q46" s="863"/>
      <c r="R46" s="860">
        <f>data_info!IN11</f>
        <v>0</v>
      </c>
      <c r="S46" s="864"/>
    </row>
    <row r="47" spans="3:19" ht="18" customHeight="1">
      <c r="C47" s="77"/>
      <c r="J47" s="84"/>
      <c r="K47" s="139" t="str">
        <f>lang!B21</f>
        <v>자기조절</v>
      </c>
      <c r="L47" s="90" t="s">
        <v>230</v>
      </c>
      <c r="M47" s="103" t="str">
        <f>data_info!IQ12</f>
        <v>낮음</v>
      </c>
      <c r="N47" s="860">
        <f>data_info!IL12</f>
        <v>0</v>
      </c>
      <c r="O47" s="861"/>
      <c r="P47" s="862">
        <f>data_info!IH12</f>
        <v>0</v>
      </c>
      <c r="Q47" s="863"/>
      <c r="R47" s="860">
        <f>data_info!IN12</f>
        <v>0</v>
      </c>
      <c r="S47" s="864"/>
    </row>
    <row r="48" spans="3:19" ht="18" customHeight="1">
      <c r="C48" s="77"/>
      <c r="J48" s="84"/>
      <c r="K48" s="139" t="str">
        <f>lang!B22</f>
        <v>억제</v>
      </c>
      <c r="L48" s="91" t="s">
        <v>248</v>
      </c>
      <c r="M48" s="103" t="str">
        <f>data_info!IQ13</f>
        <v>낮음</v>
      </c>
      <c r="N48" s="860">
        <f>data_info!IL13</f>
        <v>0</v>
      </c>
      <c r="O48" s="861"/>
      <c r="P48" s="862">
        <f>data_info!IH13</f>
        <v>0</v>
      </c>
      <c r="Q48" s="863"/>
      <c r="R48" s="860">
        <f>data_info!IN13</f>
        <v>0</v>
      </c>
      <c r="S48" s="864"/>
    </row>
    <row r="49" spans="3:19" ht="18" customHeight="1" thickBot="1">
      <c r="C49" s="385"/>
      <c r="D49" s="248"/>
      <c r="E49" s="248"/>
      <c r="F49" s="248"/>
      <c r="G49" s="248"/>
      <c r="H49" s="248"/>
      <c r="I49" s="248"/>
      <c r="J49" s="386"/>
      <c r="K49" s="140" t="str">
        <f>lang!B23</f>
        <v>신경성</v>
      </c>
      <c r="L49" s="92" t="s">
        <v>231</v>
      </c>
      <c r="M49" s="371" t="str">
        <f>data_info!IQ14</f>
        <v>낮음</v>
      </c>
      <c r="N49" s="901">
        <f>data_info!IL14</f>
        <v>0</v>
      </c>
      <c r="O49" s="902"/>
      <c r="P49" s="903">
        <f>data_info!IH14</f>
        <v>0</v>
      </c>
      <c r="Q49" s="904"/>
      <c r="R49" s="901">
        <f>data_info!IN14</f>
        <v>0</v>
      </c>
      <c r="S49" s="905"/>
    </row>
    <row r="50" spans="3:19" ht="15" customHeight="1" thickBot="1">
      <c r="C50" s="871"/>
      <c r="D50" s="872"/>
      <c r="E50" s="872"/>
      <c r="F50" s="872"/>
      <c r="G50" s="872"/>
      <c r="H50" s="872"/>
      <c r="I50" s="872"/>
      <c r="J50" s="872"/>
      <c r="K50" s="872"/>
      <c r="L50" s="872"/>
      <c r="M50" s="872"/>
      <c r="N50" s="872"/>
      <c r="O50" s="872"/>
      <c r="P50" s="872"/>
      <c r="Q50" s="872"/>
      <c r="R50" s="872"/>
      <c r="S50" s="873"/>
    </row>
    <row r="51" spans="3:19" ht="9.75" customHeight="1">
      <c r="C51" s="93"/>
      <c r="D51" s="93"/>
      <c r="E51" s="93"/>
      <c r="F51" s="93"/>
      <c r="G51" s="93"/>
      <c r="H51" s="93"/>
      <c r="I51" s="93"/>
      <c r="J51" s="93"/>
      <c r="K51" s="93"/>
      <c r="L51" s="93"/>
      <c r="M51" s="93"/>
      <c r="N51" s="93"/>
      <c r="O51" s="93"/>
      <c r="P51" s="93"/>
      <c r="Q51" s="93"/>
      <c r="R51" s="93"/>
      <c r="S51" s="93"/>
    </row>
  </sheetData>
  <mergeCells count="84">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O27:P27"/>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C50:S50"/>
    <mergeCell ref="N47:O47"/>
    <mergeCell ref="P47:Q47"/>
    <mergeCell ref="R47:S47"/>
    <mergeCell ref="N48:O48"/>
    <mergeCell ref="P48:Q48"/>
    <mergeCell ref="R48:S48"/>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2025-07-16T07:13:12Z</cp:lastPrinted>
  <dcterms:created xsi:type="dcterms:W3CDTF">2010-10-29T12:53:05Z</dcterms:created>
  <dcterms:modified xsi:type="dcterms:W3CDTF">2025-07-16T07:17:58Z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