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rTn^1^1^\"/>
    </mc:Choice>
  </mc:AlternateContent>
  <xr:revisionPtr revIDLastSave="0" documentId="13_ncr:1_{C8217F50-A1A4-4C77-A96F-514420A8B8B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8" i="44"/>
  <c r="H7" i="44"/>
  <c r="L7" i="43"/>
  <c r="H7" i="43"/>
  <c r="H7" i="42"/>
  <c r="H7" i="41"/>
  <c r="H8" i="40"/>
  <c r="H7" i="40"/>
  <c r="L7" i="39"/>
  <c r="H7" i="39"/>
  <c r="H7" i="38"/>
  <c r="H7" i="37"/>
  <c r="H8" i="36"/>
  <c r="H7" i="36"/>
  <c r="L7" i="33"/>
  <c r="H7" i="33"/>
  <c r="V2" i="14"/>
  <c r="L8" i="49" s="1"/>
  <c r="U2" i="14"/>
  <c r="R8" i="49" s="1"/>
  <c r="T2" i="14"/>
  <c r="L7" i="49" s="1"/>
  <c r="R2" i="14"/>
  <c r="O2" i="14"/>
  <c r="H8" i="43" s="1"/>
  <c r="Q8" i="45" l="1"/>
  <c r="L8" i="33"/>
  <c r="L8" i="37"/>
  <c r="L8" i="41"/>
  <c r="L8" i="45"/>
  <c r="L8" i="36"/>
  <c r="L8" i="40"/>
  <c r="L8" i="44"/>
  <c r="L7" i="30"/>
  <c r="H8" i="33"/>
  <c r="Q8" i="36"/>
  <c r="L7" i="38"/>
  <c r="H8" i="39"/>
  <c r="Q8" i="40"/>
  <c r="L7" i="42"/>
  <c r="Q8" i="44"/>
  <c r="L7" i="46"/>
  <c r="L8" i="39"/>
  <c r="L8" i="43"/>
  <c r="Q8" i="41"/>
  <c r="Q2" i="14"/>
  <c r="H8" i="49"/>
  <c r="H8" i="30"/>
  <c r="Q8" i="33"/>
  <c r="L7" i="37"/>
  <c r="H8" i="38"/>
  <c r="Q8" i="39"/>
  <c r="L7" i="41"/>
  <c r="H8" i="42"/>
  <c r="Q8" i="43"/>
  <c r="L7" i="45"/>
  <c r="H8" i="46"/>
  <c r="P2" i="14"/>
  <c r="L8" i="30"/>
  <c r="L8" i="38"/>
  <c r="L8" i="42"/>
  <c r="L8" i="46"/>
  <c r="Q8" i="37"/>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BX6" i="1" s="1"/>
  <c r="CD7" i="1"/>
  <c r="CC7" i="1"/>
  <c r="AS7" i="1"/>
  <c r="A71" i="32"/>
  <c r="A67" i="32"/>
  <c r="B53" i="24"/>
  <c r="D53" i="24" s="1"/>
  <c r="H4" i="21"/>
  <c r="H6" i="21"/>
  <c r="I6" i="21" s="1"/>
  <c r="H5" i="21"/>
  <c r="A9" i="17"/>
  <c r="C8" i="17"/>
  <c r="B8" i="17" s="1"/>
  <c r="V21" i="11"/>
  <c r="V52" i="11"/>
  <c r="X52" i="11" s="1"/>
  <c r="B46" i="25"/>
  <c r="G46" i="25" s="1"/>
  <c r="BW6" i="1"/>
  <c r="BY6" i="1"/>
  <c r="BZ6" i="1"/>
  <c r="BV6" i="1"/>
  <c r="CE6" i="1"/>
  <c r="H7" i="21"/>
  <c r="I5" i="21"/>
  <c r="B27" i="21"/>
  <c r="C26" i="21"/>
  <c r="B83" i="23"/>
  <c r="E82" i="23"/>
  <c r="C28" i="23"/>
  <c r="H20" i="18"/>
  <c r="F15" i="13"/>
  <c r="L14" i="13"/>
  <c r="M17" i="1"/>
  <c r="A50" i="6"/>
  <c r="A54" i="6"/>
  <c r="K24" i="1"/>
  <c r="I24" i="1"/>
  <c r="F9" i="11"/>
  <c r="A10" i="11"/>
  <c r="B9" i="11"/>
  <c r="E9" i="11" s="1"/>
  <c r="CC6" i="1" l="1"/>
  <c r="CA6" i="1"/>
  <c r="CD6" i="1"/>
  <c r="CB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3" i="1" l="1"/>
  <c r="Y9" i="1"/>
  <c r="Y8" i="1"/>
  <c r="Y11" i="1"/>
  <c r="Y10" i="1"/>
  <c r="Y16" i="1"/>
  <c r="C213" i="17"/>
  <c r="B213" i="17" s="1"/>
  <c r="A214" i="17"/>
  <c r="F211" i="11"/>
  <c r="A212" i="11"/>
  <c r="B211" i="11"/>
  <c r="E211" i="11" s="1"/>
  <c r="Y7" i="1" l="1"/>
  <c r="Y14" i="1"/>
  <c r="L35" i="48"/>
  <c r="L35" i="18"/>
  <c r="L36" i="48"/>
  <c r="L36" i="18"/>
  <c r="L33" i="48"/>
  <c r="L33" i="18"/>
  <c r="L34" i="48"/>
  <c r="L34" i="18"/>
  <c r="L41" i="48"/>
  <c r="L41" i="18"/>
  <c r="L38" i="48"/>
  <c r="L38" i="18"/>
  <c r="C214" i="17"/>
  <c r="B214" i="17" s="1"/>
  <c r="Y12" i="1" s="1"/>
  <c r="A215" i="17"/>
  <c r="F212" i="11"/>
  <c r="A213" i="11"/>
  <c r="B212" i="11"/>
  <c r="E212" i="11" s="1"/>
  <c r="L37" i="48" l="1"/>
  <c r="L37" i="18"/>
  <c r="L39" i="48"/>
  <c r="L39"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2" i="1"/>
  <c r="CK19"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CB31" i="11" s="1"/>
  <c r="A532" i="17"/>
  <c r="F529" i="11"/>
  <c r="J28" i="18" l="1"/>
  <c r="J28" i="48"/>
  <c r="C532" i="17"/>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<sst xmlns="http://schemas.openxmlformats.org/spreadsheetml/2006/main" count="7311" uniqueCount="2585">
  <si>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</si>
  <si>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</si>
  <si>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</si>
  <si>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</si>
  <si>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</si>
  <si>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</si>
  <si>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</si>
  <si>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</si>
  <si>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</si>
  <si>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</si>
  <si>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</si>
  <si>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</si>
  <si>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</si>
  <si>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</si>
  <si>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</si>
  <si>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</si>
  <si>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</si>
  <si>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</si>
  <si>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</si>
  <si>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</si>
  <si>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</si>
  <si>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</si>
  <si>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</si>
  <si>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</si>
  <si>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</si>
  <si>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</si>
  <si>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</si>
  <si>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</si>
  <si>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</si>
  <si>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</si>
  <si>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</si>
  <si>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</si>
  <si>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</si>
  <si>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</si>
  <si>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</si>
  <si>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</si>
  <si>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</si>
  <si>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</si>
  <si>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</si>
  <si>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</si>
  <si>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</si>
  <si>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</si>
  <si>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</si>
  <si>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</si>
  <si>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</si>
  <si>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</si>
  <si>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</si>
  <si>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</si>
  <si>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</si>
  <si>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</si>
  <si>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</si>
  <si>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</si>
  <si>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</si>
  <si>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</si>
  <si>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</si>
  <si>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</si>
  <si>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</si>
  <si>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</si>
  <si>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</si>
  <si>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</si>
  <si>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</si>
  <si>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</si>
  <si>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</si>
  <si>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</si>
  <si>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</si>
  <si>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</si>
  <si>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</si>
  <si>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</si>
  <si>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</si>
  <si>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</si>
  <si>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</si>
  <si>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</si>
  <si>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</si>
  <si>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</si>
  <si>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</si>
  <si>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</si>
  <si>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</si>
  <si>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</si>
  <si>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</si>
  <si>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</si>
  <si>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</si>
  <si>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</si>
  <si>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</si>
  <si>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</si>
  <si>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</si>
  <si>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</si>
  <si>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</si>
  <si>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</si>
  <si>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</si>
  <si>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</si>
  <si>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</si>
  <si>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</si>
  <si>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</si>
  <si>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</si>
  <si>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</si>
  <si>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</si>
  <si>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</si>
  <si>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</si>
  <si>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</si>
  <si>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</si>
  <si>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</si>
  <si>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</si>
  <si>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</si>
  <si>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</si>
  <si>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</si>
  <si>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</si>
  <si>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</si>
  <si>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</si>
  <si>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</si>
  <si>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</si>
  <si>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</si>
  <si>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</si>
  <si>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</si>
  <si>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</si>
  <si>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</si>
  <si>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</si>
  <si>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</si>
  <si>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</si>
  <si>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</si>
  <si>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</si>
  <si>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</si>
  <si>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</si>
  <si>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</si>
  <si>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</si>
  <si>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</si>
  <si>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</si>
  <si>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</si>
  <si>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</si>
  <si>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</si>
  <si>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</si>
  <si>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</si>
  <si>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</si>
  <si>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</si>
  <si>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</si>
  <si>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</si>
  <si>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</si>
  <si>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</si>
  <si>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</si>
  <si>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</si>
  <si>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</si>
  <si>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</si>
  <si>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</si>
  <si>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</si>
  <si>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</si>
  <si>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</si>
  <si>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</si>
  <si>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</si>
  <si>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</si>
  <si>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</si>
  <si>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</si>
  <si>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</si>
  <si>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</si>
  <si>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</si>
  <si>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</si>
  <si>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</si>
  <si>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</si>
  <si>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</si>
  <si>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</si>
  <si>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</si>
  <si>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</si>
  <si>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</si>
  <si>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</si>
  <si>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</si>
  <si>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</si>
  <si>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</si>
  <si>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</si>
  <si>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</si>
  <si>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</si>
  <si>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</si>
  <si>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</si>
  <si>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</si>
  <si>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</si>
  <si>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</si>
  <si>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</si>
  <si>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</si>
  <si>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</si>
  <si>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</si>
  <si>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</si>
  <si>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</si>
  <si>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</si>
  <si>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</si>
  <si>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</si>
  <si>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</si>
  <si>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</si>
  <si>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</si>
  <si>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</si>
  <si>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</si>
  <si>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</si>
  <si>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</si>
  <si>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</si>
  <si>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</si>
  <si>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</si>
  <si>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</si>
  <si>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</si>
  <si>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</si>
  <si>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</si>
  <si>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</si>
  <si>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</si>
  <si>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</si>
  <si>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</si>
  <si>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</si>
  <si>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</si>
  <si>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</si>
  <si>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</si>
  <si>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</si>
  <si>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</si>
  <si>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</si>
  <si>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</si>
  <si>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</si>
  <si>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</si>
  <si>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</si>
  <si>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</si>
  <si>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</si>
  <si>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</si>
  <si>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</si>
  <si>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</si>
  <si>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</si>
  <si>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</si>
  <si>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</si>
  <si>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</si>
  <si>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</si>
  <si>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</si>
  <si>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</si>
  <si>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</si>
  <si>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</si>
  <si>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</si>
  <si>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</si>
  <si>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</si>
  <si>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</si>
  <si>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</si>
  <si>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</si>
  <si>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</si>
  <si>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</si>
  <si>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</si>
  <si>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</si>
  <si>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</si>
  <si>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</si>
  <si>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</si>
  <si>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</si>
  <si>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</si>
  <si>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</si>
  <si>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</si>
  <si>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</si>
  <si>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</si>
  <si>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</si>
  <si>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</si>
  <si>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</si>
  <si>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</si>
  <si>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</si>
  <si>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</si>
  <si>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</si>
  <si>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</si>
  <si>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</si>
  <si>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</si>
  <si>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</si>
  <si>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</si>
  <si>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</si>
  <si>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</si>
  <si>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</si>
  <si>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</si>
  <si>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</si>
  <si>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</si>
  <si>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</si>
  <si>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</si>
  <si>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</si>
  <si>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</si>
  <si>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</si>
  <si>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</si>
  <si>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</si>
  <si>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</si>
  <si>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</si>
  <si>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</si>
  <si>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</si>
  <si>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</si>
  <si>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</si>
  <si>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</si>
  <si>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</si>
  <si>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</si>
  <si>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</si>
  <si>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</si>
  <si>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</si>
  <si>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</si>
  <si>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</si>
  <si>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</si>
  <si>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</si>
  <si>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</si>
  <si>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</si>
  <si>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</si>
  <si>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</si>
  <si>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</si>
  <si>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</si>
  <si>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</si>
  <si>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</si>
  <si>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</si>
  <si>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</si>
  <si>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</si>
  <si>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</si>
  <si>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</si>
  <si>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</si>
  <si>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</si>
  <si>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</si>
  <si>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</si>
  <si>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</si>
  <si>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</si>
  <si>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</si>
  <si>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</si>
  <si>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</si>
  <si>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</si>
  <si>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</si>
  <si>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</si>
  <si>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</si>
  <si>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</si>
  <si>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</si>
  <si>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</si>
  <si>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</si>
  <si>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</si>
  <si>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</si>
  <si>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</si>
  <si>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</si>
  <si>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</si>
  <si>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</si>
  <si>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</si>
  <si>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</si>
  <si>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</si>
  <si>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</si>
  <si>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</si>
  <si>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</si>
  <si>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</si>
  <si>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</si>
  <si>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</si>
  <si>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</si>
  <si>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</si>
  <si>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</si>
  <si>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</si>
  <si>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</si>
  <si>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</si>
  <si>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</si>
  <si>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</si>
  <si>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</si>
  <si>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</si>
  <si>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</si>
  <si>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</si>
  <si>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</si>
  <si>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</si>
  <si>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</si>
  <si>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</si>
  <si>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</si>
  <si>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</si>
  <si>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</si>
  <si>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</si>
  <si>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</si>
  <si>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</si>
  <si>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</si>
  <si>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</si>
  <si>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</si>
  <si>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</si>
  <si>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</si>
  <si>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</si>
  <si>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</si>
  <si>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</si>
  <si>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</si>
  <si>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</si>
  <si>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</si>
  <si>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</si>
  <si>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</si>
  <si>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</si>
  <si>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</si>
  <si>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</si>
  <si>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</si>
  <si>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</si>
  <si>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</si>
  <si>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</si>
  <si>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</si>
  <si>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</si>
  <si>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</si>
  <si>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</si>
  <si>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</si>
  <si>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</si>
  <si>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</si>
  <si>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</si>
  <si>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</si>
  <si>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</si>
  <si>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</si>
  <si>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</si>
  <si>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</si>
  <si>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</si>
  <si>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</si>
  <si>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</si>
  <si>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</si>
  <si>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</si>
  <si>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</si>
  <si>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</si>
  <si>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</si>
  <si>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</si>
  <si>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</si>
  <si>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</si>
  <si>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</si>
  <si>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</si>
  <si>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</si>
  <si>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</si>
  <si>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</si>
  <si>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</si>
  <si>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</si>
  <si>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</si>
  <si>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</si>
  <si>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</si>
  <si>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</si>
  <si>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</si>
  <si>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</si>
  <si>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</si>
  <si>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</si>
  <si>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</si>
  <si>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</si>
  <si>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</si>
  <si>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</si>
  <si>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</si>
  <si>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</si>
  <si>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</si>
  <si>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</si>
  <si>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</si>
  <si>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</si>
  <si>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</si>
  <si>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</si>
  <si>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</si>
  <si>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</si>
  <si>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</si>
  <si>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</si>
  <si>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</si>
  <si>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</si>
  <si>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</si>
  <si>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</si>
  <si>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</si>
  <si>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</si>
  <si>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</si>
  <si>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</si>
  <si>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</si>
  <si>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</si>
  <si>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</si>
  <si>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</si>
  <si>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</si>
  <si>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</si>
  <si>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</si>
  <si>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</si>
  <si>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</si>
  <si>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</si>
  <si>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</si>
  <si>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</si>
  <si>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</si>
  <si>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</si>
  <si>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</si>
  <si>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</si>
  <si>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</si>
  <si>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</si>
  <si>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</si>
  <si>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</si>
  <si>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</si>
  <si>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</si>
  <si>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</si>
  <si>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</si>
  <si>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</si>
  <si>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</si>
  <si>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</si>
  <si>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</si>
  <si>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</si>
  <si>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</si>
  <si>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</si>
  <si>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</si>
  <si>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</si>
  <si>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</si>
  <si>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</si>
  <si>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</si>
  <si>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</si>
  <si>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</si>
  <si>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</si>
  <si>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</si>
  <si>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</si>
  <si>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</si>
  <si>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</si>
  <si>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</si>
  <si>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</si>
  <si>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</si>
  <si>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</si>
  <si>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</si>
  <si>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</si>
  <si>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</si>
  <si>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</si>
  <si>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</si>
  <si>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</si>
  <si>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</si>
  <si>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</si>
  <si>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</si>
  <si>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</si>
  <si>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</si>
  <si>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</si>
  <si>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</si>
  <si>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</si>
  <si>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</si>
  <si>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</si>
  <si>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</si>
  <si>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</si>
  <si>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</si>
  <si>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</si>
  <si>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</si>
  <si>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</si>
  <si>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</si>
  <si>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</si>
  <si>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</si>
  <si>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</si>
  <si>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</si>
  <si>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</si>
  <si>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</si>
  <si>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</si>
  <si>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</si>
  <si>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</si>
  <si>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</si>
  <si>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</si>
  <si>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</si>
  <si>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</si>
  <si>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</si>
  <si>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</si>
  <si>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</si>
  <si>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</si>
  <si>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</si>
  <si>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</si>
  <si>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</si>
  <si>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</si>
  <si>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</si>
  <si>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</si>
  <si>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</si>
  <si>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</si>
  <si>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</si>
  <si>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</si>
  <si>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</si>
  <si>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</si>
  <si>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</si>
  <si>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</si>
  <si>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</si>
  <si>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</si>
  <si>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</si>
  <si>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</si>
  <si>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</si>
  <si>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</si>
  <si>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</si>
  <si>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</si>
  <si>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</si>
  <si>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</si>
  <si>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</si>
  <si>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</si>
  <si>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</si>
  <si>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</si>
  <si>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</si>
  <si>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</si>
  <si>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</si>
  <si>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</si>
  <si>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</si>
  <si>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</si>
  <si>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</si>
  <si>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</si>
  <si>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</si>
  <si>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</si>
  <si>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</si>
  <si>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</si>
  <si>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</si>
  <si>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</si>
  <si>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</si>
  <si>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</si>
  <si>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</si>
  <si>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</si>
  <si>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</si>
  <si>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</si>
  <si>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</si>
  <si>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</si>
  <si>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</si>
  <si>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</si>
  <si>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</si>
  <si>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</si>
  <si>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</si>
  <si>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</si>
  <si>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</si>
  <si>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</si>
  <si>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</si>
  <si>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</si>
  <si>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</si>
  <si>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</si>
  <si>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</si>
  <si>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</si>
  <si>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</si>
  <si>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</si>
  <si>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</si>
  <si>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</si>
  <si>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</si>
  <si>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</si>
  <si>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</si>
  <si>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</si>
  <si>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</si>
  <si>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</si>
  <si>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</si>
  <si>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</si>
  <si>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</si>
  <si>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</si>
  <si>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</si>
  <si>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</si>
  <si>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</si>
  <si>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</si>
  <si>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</si>
  <si>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</si>
  <si>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</si>
  <si>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</si>
  <si>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</si>
  <si>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</si>
  <si>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</si>
  <si>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</si>
  <si>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</si>
  <si>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</si>
  <si>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</si>
  <si>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</si>
  <si>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</si>
  <si>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</si>
  <si>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</si>
  <si>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</si>
  <si>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</si>
  <si>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</si>
  <si>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</si>
  <si>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</si>
  <si>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</si>
  <si>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</si>
  <si>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</si>
  <si>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</si>
  <si>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</si>
  <si>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</si>
  <si>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</si>
  <si>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</si>
  <si>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</si>
  <si>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</si>
  <si>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</si>
  <si>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</si>
  <si>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</si>
  <si>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</si>
  <si>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</si>
  <si>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</si>
  <si>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</si>
  <si>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</si>
  <si>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</si>
  <si>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</si>
  <si>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</si>
  <si>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</si>
  <si>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</si>
  <si>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</si>
  <si>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</si>
  <si>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</si>
  <si>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</si>
  <si>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</si>
  <si>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</si>
  <si>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</si>
  <si>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</si>
  <si>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</si>
  <si>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</si>
  <si>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</si>
  <si>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</si>
  <si>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</si>
  <si>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</si>
  <si>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</si>
  <si>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</si>
  <si>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</si>
  <si>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</si>
  <si>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</si>
  <si>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</si>
  <si>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</si>
  <si>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</si>
  <si>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</si>
  <si>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</si>
  <si>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</si>
  <si>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</si>
  <si>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</si>
  <si>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</si>
  <si>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</si>
  <si>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</si>
  <si>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</si>
  <si>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</si>
  <si>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</si>
  <si>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</si>
  <si>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</si>
  <si>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</si>
  <si>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</si>
  <si>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</si>
  <si>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</si>
  <si>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</si>
  <si>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</si>
  <si>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</si>
  <si>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</si>
  <si>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</si>
  <si>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</si>
  <si>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</si>
  <si>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</si>
  <si>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</si>
  <si>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</si>
  <si>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</si>
  <si>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</si>
  <si>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</si>
  <si>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</si>
  <si>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</si>
  <si>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</si>
  <si>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</si>
  <si>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</si>
  <si>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</si>
  <si>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</si>
  <si>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</si>
  <si>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</si>
  <si>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</si>
  <si>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</si>
  <si>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</si>
  <si>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</si>
  <si>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</si>
  <si>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</si>
  <si>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</si>
  <si>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</si>
  <si>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</si>
  <si>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</si>
  <si>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</si>
  <si>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</si>
  <si>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</si>
  <si>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</si>
  <si>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</si>
  <si>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</si>
  <si>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</si>
  <si>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</si>
  <si>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</si>
  <si>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</si>
  <si>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</si>
  <si>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</si>
  <si>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</si>
  <si>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</si>
  <si>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</si>
  <si>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</si>
  <si>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</si>
  <si>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</si>
  <si>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</si>
  <si>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</si>
  <si>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</si>
  <si>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</si>
  <si>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</si>
  <si>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</si>
  <si>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</si>
  <si>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</si>
  <si>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</si>
  <si>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</si>
  <si>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</si>
  <si>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</si>
  <si>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</si>
  <si>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</si>
  <si>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</si>
  <si>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</si>
  <si>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</si>
  <si>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</si>
  <si>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</si>
  <si>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</si>
  <si>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</si>
  <si>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</si>
  <si>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</si>
  <si>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</si>
  <si>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</si>
  <si>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</si>
  <si>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</si>
  <si>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</si>
  <si>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</si>
  <si>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</si>
  <si>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</si>
  <si>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</si>
  <si>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</si>
  <si>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</si>
  <si>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</si>
  <si>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</si>
  <si>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</si>
  <si>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</si>
  <si>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</si>
  <si>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</si>
  <si>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</si>
  <si>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</si>
  <si>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</si>
  <si>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</si>
  <si>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</si>
  <si>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</si>
  <si>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</si>
  <si>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</si>
  <si>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</si>
  <si>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</si>
  <si>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</si>
  <si>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</si>
  <si>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</si>
  <si>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</si>
  <si>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</si>
  <si>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</si>
  <si>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</si>
  <si>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</si>
  <si>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</si>
  <si>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</si>
  <si>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</si>
  <si>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</si>
  <si>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</si>
  <si>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</si>
  <si>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</si>
  <si>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</si>
  <si>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</si>
  <si>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</si>
  <si>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</si>
  <si>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</si>
  <si>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</si>
  <si>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</si>
  <si>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</si>
  <si>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</si>
  <si>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</si>
  <si>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</si>
  <si>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</si>
  <si>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</si>
  <si>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</si>
  <si>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</si>
  <si>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</si>
  <si>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</si>
  <si>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</si>
  <si>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</si>
  <si>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</si>
  <si>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</si>
  <si>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</si>
  <si>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</si>
  <si>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</si>
  <si>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</si>
  <si>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</si>
  <si>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</si>
  <si>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</si>
  <si>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</si>
  <si>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</si>
  <si>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</si>
  <si>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</si>
  <si>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</si>
  <si>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</si>
  <si>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</si>
  <si>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</si>
  <si>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</si>
  <si>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</si>
  <si>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</si>
  <si>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</si>
  <si>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</si>
  <si>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</si>
  <si>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</si>
  <si>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</si>
  <si>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</si>
  <si>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</si>
  <si>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</si>
  <si>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</si>
  <si>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</si>
  <si>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</si>
  <si>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</si>
  <si>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</si>
  <si>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</si>
  <si>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</si>
  <si>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</si>
  <si>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</si>
  <si>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</si>
  <si>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</si>
  <si>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</si>
  <si>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</si>
  <si>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</si>
  <si>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</si>
  <si>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</si>
  <si>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</si>
  <si>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</si>
  <si>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</si>
  <si>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</si>
  <si>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</si>
  <si>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</si>
  <si>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</si>
  <si>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</si>
  <si>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</si>
  <si>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</si>
  <si>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</si>
  <si>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</si>
  <si>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</si>
  <si>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</si>
  <si>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</si>
  <si>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</si>
  <si>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</si>
  <si>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</si>
  <si>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</si>
  <si>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</si>
  <si>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</si>
  <si>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</si>
  <si>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</si>
  <si>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</si>
  <si>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</si>
  <si>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</si>
  <si>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</si>
  <si>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</si>
  <si>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</si>
  <si>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</si>
  <si>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</si>
  <si>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</si>
  <si>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</si>
  <si>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</si>
  <si>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</si>
  <si>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</si>
  <si>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</si>
  <si>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</si>
  <si>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</si>
  <si>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</si>
  <si>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</si>
  <si>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</si>
  <si>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</si>
  <si>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</si>
  <si>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</si>
  <si>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</si>
  <si>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</si>
  <si>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</si>
  <si>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</si>
  <si>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</si>
  <si>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</si>
  <si>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</si>
  <si>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</si>
  <si>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</si>
  <si>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</si>
  <si>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</si>
  <si>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</si>
  <si>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</si>
  <si>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</si>
  <si>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</si>
  <si>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</si>
  <si>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</si>
  <si>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</si>
  <si>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</si>
  <si>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</si>
  <si>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</si>
  <si>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</si>
  <si>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</si>
  <si>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</si>
  <si>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</si>
  <si>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</si>
  <si>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</si>
  <si>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</si>
  <si>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</si>
  <si>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</si>
  <si>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</si>
  <si>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</si>
  <si>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</si>
  <si>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</si>
  <si>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</si>
  <si>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</si>
  <si>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</si>
  <si>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</si>
  <si>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</si>
  <si>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</si>
  <si>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</si>
  <si>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</si>
  <si>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</si>
  <si>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</si>
  <si>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</si>
  <si>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</si>
  <si>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</si>
  <si>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</si>
  <si>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</si>
  <si>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</si>
  <si>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</si>
  <si>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</si>
  <si>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</si>
  <si>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</si>
  <si>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</si>
  <si>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</si>
  <si>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</si>
  <si>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</si>
  <si>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</si>
  <si>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</si>
  <si>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</si>
  <si>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</si>
  <si>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</si>
  <si>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</si>
  <si>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</si>
  <si>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</si>
  <si>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</si>
  <si>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</si>
  <si>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</si>
  <si>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</si>
  <si>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</si>
  <si>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</si>
  <si>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</si>
  <si>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</si>
  <si>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</si>
  <si>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</si>
  <si>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</si>
  <si>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</si>
  <si>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</si>
  <si>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</si>
  <si>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</si>
  <si>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</si>
  <si>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</si>
  <si>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</si>
  <si>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</si>
  <si>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</si>
  <si>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</si>
  <si>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</si>
  <si>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</si>
  <si>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</si>
  <si>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</si>
  <si>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</si>
  <si>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</si>
  <si>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</si>
  <si>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</si>
  <si>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</si>
  <si>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</si>
  <si>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</si>
  <si>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</si>
  <si>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</si>
  <si>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</si>
  <si>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</si>
  <si>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</si>
  <si>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</si>
  <si>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</si>
  <si>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</si>
  <si>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</si>
  <si>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</si>
  <si>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</si>
  <si>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</si>
  <si>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</si>
  <si>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</si>
  <si>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</si>
  <si>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</si>
  <si>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</si>
  <si>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</si>
  <si>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</si>
  <si>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</si>
  <si>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</si>
  <si>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</si>
  <si>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</si>
  <si>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</si>
  <si>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</si>
  <si>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</si>
  <si>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</si>
  <si>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</si>
  <si>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</si>
  <si>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</si>
  <si>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</si>
  <si>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</si>
  <si>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</si>
  <si>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</si>
  <si>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</si>
  <si>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</si>
  <si>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</si>
  <si>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</si>
  <si>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</si>
  <si>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</si>
  <si>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</si>
  <si>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</si>
  <si>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</si>
  <si>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</si>
  <si>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</si>
  <si>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</si>
  <si>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</si>
  <si>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</si>
  <si>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</si>
  <si>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</si>
  <si>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</si>
  <si>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</si>
  <si>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</si>
  <si>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</si>
  <si>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</si>
  <si>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</si>
  <si>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</si>
  <si>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</si>
  <si>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</si>
  <si>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</si>
  <si>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</si>
  <si>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</si>
  <si>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</si>
  <si>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</si>
  <si>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</si>
  <si>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</si>
  <si>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</si>
  <si>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</si>
  <si>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</si>
  <si>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</si>
  <si>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</si>
  <si>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</si>
  <si>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</si>
  <si>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</si>
  <si>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</si>
  <si>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</si>
  <si>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</si>
  <si>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</si>
  <si>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</si>
  <si>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</si>
  <si>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</si>
  <si>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</si>
  <si>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</si>
  <si>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</si>
  <si>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</si>
  <si>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</si>
  <si>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</si>
  <si>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</si>
  <si>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</si>
  <si>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</si>
  <si>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</si>
  <si>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</si>
  <si>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</si>
  <si>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</si>
  <si>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</si>
  <si>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</si>
  <si>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</si>
  <si>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</si>
  <si>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</si>
  <si>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</si>
  <si>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</si>
  <si>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</si>
  <si>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</si>
  <si>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</si>
  <si>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</si>
  <si>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</si>
  <si>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</si>
  <si>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</si>
  <si>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</si>
  <si>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</si>
  <si>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</si>
  <si>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</si>
  <si>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</si>
  <si>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</si>
  <si>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</si>
  <si>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</si>
  <si>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</si>
  <si>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</si>
  <si>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</si>
  <si>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</si>
  <si>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</si>
  <si>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</si>
  <si>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</si>
  <si>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</si>
  <si>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</si>
  <si>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</si>
  <si>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</si>
  <si>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</si>
  <si>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</si>
  <si>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</si>
  <si>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</si>
  <si>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</si>
  <si>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</si>
  <si>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</si>
  <si>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</si>
  <si>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</si>
  <si>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</si>
  <si>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</si>
  <si>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</si>
  <si>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</si>
  <si>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</si>
  <si>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</si>
  <si>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</si>
  <si>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</si>
  <si>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</si>
  <si>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</si>
  <si>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</si>
  <si>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</si>
  <si>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</si>
  <si>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</si>
  <si>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</si>
  <si>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</si>
  <si>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</si>
  <si>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</si>
  <si>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</si>
  <si>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</si>
  <si>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</si>
  <si>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</si>
  <si>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</si>
  <si>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</si>
  <si>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</si>
  <si>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</si>
  <si>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</si>
  <si>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</si>
  <si>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</si>
  <si>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</si>
  <si>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</si>
  <si>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</si>
  <si>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</si>
  <si>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</si>
  <si>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</si>
  <si>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</si>
  <si>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</si>
  <si>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</si>
  <si>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</si>
  <si>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</si>
  <si>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</si>
  <si>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</si>
  <si>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</si>
  <si>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</si>
  <si>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</si>
  <si>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</si>
  <si>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</si>
  <si>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</si>
  <si>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</si>
  <si>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</si>
  <si>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</si>
  <si>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</si>
  <si>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</si>
  <si>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</si>
  <si>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</si>
  <si>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</si>
  <si>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</si>
  <si>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</si>
  <si>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</si>
  <si>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</si>
  <si>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</si>
  <si>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</si>
  <si>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</si>
  <si>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</si>
  <si>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</si>
  <si>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</si>
  <si>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</si>
  <si>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</si>
  <si>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</si>
  <si>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</si>
  <si>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</si>
  <si>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</si>
  <si>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</si>
  <si>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</si>
  <si>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</si>
  <si>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</si>
  <si>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</si>
  <si>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</si>
  <si>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</si>
  <si>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</si>
  <si>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</si>
  <si>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</si>
  <si>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</si>
  <si>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</si>
  <si>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</si>
  <si>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</si>
  <si>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</si>
  <si>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</si>
  <si>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</si>
  <si>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</si>
  <si>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</si>
  <si>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</si>
  <si>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</si>
  <si>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</si>
  <si>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</si>
  <si>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</si>
  <si>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</si>
  <si>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</si>
  <si>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</si>
  <si>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</si>
  <si>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</si>
  <si>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</si>
  <si>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</si>
  <si>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</si>
  <si>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</si>
  <si>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</si>
  <si>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</si>
  <si>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</si>
  <si>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</si>
  <si>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</si>
  <si>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</si>
  <si>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</si>
  <si>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</si>
  <si>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</si>
  <si>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</si>
  <si>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</si>
  <si>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</si>
  <si>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</si>
  <si>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</si>
  <si>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</si>
  <si>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</si>
  <si>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</si>
  <si>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</si>
  <si>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</si>
  <si>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</si>
  <si>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</si>
  <si>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</si>
  <si>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</si>
  <si>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</si>
  <si>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</si>
  <si>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</si>
  <si>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</si>
  <si>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</si>
  <si>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</si>
  <si>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</si>
  <si>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</si>
  <si>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</si>
  <si>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</si>
  <si>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</si>
  <si>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</si>
  <si>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</si>
  <si>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</si>
  <si>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</si>
  <si>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</si>
  <si>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</si>
  <si>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</si>
  <si>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</si>
  <si>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</si>
  <si>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</si>
  <si>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</si>
  <si>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</si>
  <si>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</si>
  <si>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</si>
  <si>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</si>
  <si>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</si>
  <si>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</si>
  <si>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</si>
  <si>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</si>
  <si>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</si>
  <si>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</si>
  <si>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</si>
  <si>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</si>
  <si>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</si>
  <si>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</si>
  <si>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</si>
  <si>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</si>
  <si>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</si>
  <si>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</si>
  <si>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</si>
  <si>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</si>
  <si>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</si>
  <si>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</si>
  <si>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</si>
  <si>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</si>
  <si>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</si>
  <si>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</si>
  <si>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</si>
  <si>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</si>
  <si>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</si>
  <si>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</si>
  <si>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</si>
  <si>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</si>
  <si>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</si>
  <si>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</si>
  <si>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</si>
  <si>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</si>
  <si>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</si>
  <si>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</si>
  <si>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</si>
  <si>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</si>
  <si>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</si>
  <si>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</si>
  <si>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</si>
  <si>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</si>
  <si>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</si>
  <si>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</si>
  <si>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</si>
  <si>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</si>
  <si>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</si>
  <si>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</si>
  <si>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</si>
  <si>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</si>
  <si>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</si>
  <si>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</si>
  <si>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</si>
  <si>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</si>
  <si>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</si>
  <si>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</si>
  <si>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</si>
  <si>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</si>
  <si>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</si>
  <si>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</si>
  <si>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</si>
  <si>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</si>
  <si>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</si>
  <si>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</si>
  <si>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</si>
  <si>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</si>
  <si>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</si>
  <si>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</si>
  <si>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</si>
  <si>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</si>
  <si>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</si>
  <si>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</si>
  <si>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</si>
  <si>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</si>
  <si>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</si>
  <si>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</si>
  <si>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</si>
  <si>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</si>
  <si>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</si>
  <si>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</si>
  <si>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</si>
  <si>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</si>
  <si>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</si>
  <si>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</si>
  <si>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</si>
  <si>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</si>
  <si>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</si>
  <si>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</si>
  <si>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</si>
  <si>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</si>
  <si>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</si>
  <si>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</si>
  <si>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</si>
  <si>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</si>
  <si>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</si>
  <si>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</si>
  <si>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</si>
  <si>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</si>
  <si>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</si>
  <si>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</si>
  <si>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</si>
  <si>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</si>
  <si>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</si>
  <si>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</si>
  <si>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</si>
  <si>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</si>
  <si>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</si>
  <si>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</si>
  <si>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</si>
  <si>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</si>
  <si>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</si>
  <si>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</si>
  <si>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</si>
  <si>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</si>
  <si>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</si>
  <si>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</si>
  <si>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</si>
  <si>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</si>
  <si>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</si>
  <si>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</si>
  <si>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</si>
  <si>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</si>
  <si>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</si>
  <si>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</si>
  <si>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</si>
  <si>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</si>
  <si>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</si>
  <si>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</si>
  <si>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</si>
  <si>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</si>
  <si>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</si>
  <si>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</si>
  <si>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</si>
  <si>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</si>
  <si>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</si>
  <si>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</si>
  <si>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</si>
  <si>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</si>
  <si>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</si>
  <si>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</si>
  <si>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</si>
  <si>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</si>
  <si>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</si>
  <si>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</si>
  <si>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</si>
  <si>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</si>
  <si>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</si>
  <si>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</si>
  <si>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</si>
  <si>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</si>
  <si>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</si>
  <si>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</si>
  <si>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</si>
  <si>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</si>
  <si>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</si>
  <si>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</si>
  <si>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</si>
  <si>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</si>
  <si>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</si>
  <si>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</si>
  <si>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</si>
  <si>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</si>
  <si>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</si>
  <si>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</si>
  <si>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</si>
  <si>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</si>
  <si>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</si>
  <si>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</si>
  <si>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</si>
  <si>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</si>
  <si>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</si>
  <si>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</si>
  <si>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</si>
  <si>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</si>
  <si>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</si>
  <si>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</si>
  <si>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</si>
  <si>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</si>
  <si>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</si>
  <si>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</si>
  <si>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</si>
  <si>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</si>
  <si>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</si>
  <si>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</si>
  <si>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</si>
  <si>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</si>
  <si>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</si>
  <si>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</si>
  <si>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</si>
  <si>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</si>
  <si>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</si>
  <si>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</si>
  <si>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</si>
  <si>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</si>
  <si>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</si>
  <si>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</si>
  <si>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</si>
  <si>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</si>
  <si>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</si>
  <si>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</si>
  <si>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</si>
  <si>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</si>
  <si>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</si>
  <si>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</si>
  <si>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</si>
  <si>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</si>
  <si>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</si>
  <si>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</si>
  <si>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</si>
  <si>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</si>
  <si>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</si>
  <si>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</si>
  <si>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</si>
  <si>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</si>
  <si>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</si>
  <si>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</si>
  <si>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</si>
  <si>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</si>
  <si>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</si>
  <si>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</si>
  <si>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</si>
  <si>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</si>
  <si>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</si>
  <si>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</si>
  <si>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</si>
  <si>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</si>
  <si>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</si>
  <si>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</si>
  <si>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</si>
  <si>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</si>
  <si>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</si>
  <si>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</si>
  <si>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</si>
  <si>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</si>
  <si>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</si>
  <si>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</si>
  <si>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</si>
  <si>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</si>
  <si>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</si>
  <si>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</si>
  <si>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</si>
  <si>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</si>
  <si>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</si>
  <si>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</si>
  <si>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</si>
  <si>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</si>
  <si>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</si>
  <si>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</si>
  <si>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</si>
  <si>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</si>
  <si>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</si>
  <si>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</si>
  <si>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</si>
  <si>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</si>
  <si>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</si>
  <si>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</si>
  <si>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</si>
  <si>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</si>
  <si>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</si>
  <si>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</si>
  <si>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</si>
  <si>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</si>
  <si>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</si>
  <si>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</si>
  <si>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</si>
  <si>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</si>
  <si>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</si>
  <si>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</si>
  <si>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</si>
  <si>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</si>
  <si>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</si>
  <si>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</si>
  <si>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</si>
  <si>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</si>
  <si>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</si>
  <si>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</si>
  <si>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</si>
  <si>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</si>
  <si>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</si>
  <si>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</si>
  <si>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</si>
  <si>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</si>
  <si>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</si>
  <si>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</si>
  <si>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</si>
  <si>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</si>
  <si>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</si>
  <si>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</si>
  <si>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</si>
  <si>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</si>
  <si>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</si>
  <si>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</si>
  <si>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</si>
  <si>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</si>
  <si>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</si>
  <si>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</si>
  <si>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</si>
  <si>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</si>
  <si>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</si>
  <si>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</si>
  <si>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</si>
  <si>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</si>
  <si>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</si>
  <si>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</si>
  <si>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</si>
  <si>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</si>
  <si>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</si>
  <si>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</si>
  <si>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</si>
  <si>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</si>
  <si>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</si>
  <si>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</si>
  <si>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</si>
  <si>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</si>
  <si>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</si>
  <si>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</si>
  <si>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</si>
  <si>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</si>
  <si>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</si>
  <si>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</si>
  <si>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</si>
  <si>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</si>
  <si>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</si>
  <si>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</si>
  <si>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</si>
  <si>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</si>
  <si>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</si>
  <si>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</si>
  <si>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</si>
  <si>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</si>
  <si>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</si>
  <si>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</si>
  <si>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</si>
  <si>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</si>
  <si>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</si>
  <si>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</si>
  <si>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</si>
  <si>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</si>
  <si>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</si>
  <si>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</si>
  <si>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</si>
  <si>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</si>
  <si>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</si>
  <si>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</si>
  <si>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</si>
  <si>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</si>
  <si>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</si>
  <si>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</si>
  <si>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</si>
  <si>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</si>
  <si>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</si>
  <si>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</si>
  <si>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</si>
  <si>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</si>
  <si>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</si>
  <si>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</si>
  <si>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</si>
  <si>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</si>
  <si>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</si>
  <si>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</si>
  <si>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</si>
  <si>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</si>
  <si>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</si>
  <si>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</si>
  <si>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</si>
  <si>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</si>
  <si>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</si>
  <si>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</si>
  <si>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</si>
  <si>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</si>
  <si>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</si>
  <si>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</si>
  <si>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</si>
  <si>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</si>
  <si>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</si>
  <si>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</si>
  <si>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</si>
  <si>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</si>
  <si>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</si>
  <si>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</si>
  <si>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</si>
  <si>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</si>
  <si>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</si>
  <si>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</si>
  <si>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</si>
  <si>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</si>
  <si>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</si>
  <si>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</si>
  <si>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</si>
  <si>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</si>
  <si>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</si>
  <si>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</si>
  <si>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</si>
  <si>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</si>
  <si>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</si>
  <si>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</si>
  <si>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</si>
  <si>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</si>
  <si>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</si>
  <si>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</si>
  <si>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</si>
  <si>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</si>
  <si>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</si>
  <si>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</si>
  <si>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</si>
  <si>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</si>
  <si>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</si>
  <si>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</si>
  <si>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</si>
  <si>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</si>
  <si>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</si>
  <si>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</si>
  <si>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</si>
  <si>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</si>
  <si>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</si>
  <si>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</si>
  <si>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</si>
  <si>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</si>
  <si>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</si>
  <si>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</si>
  <si>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</si>
  <si>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</si>
  <si>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</si>
  <si>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</si>
  <si>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</si>
  <si>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</si>
  <si>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</si>
  <si>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</si>
  <si>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</si>
  <si>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</si>
  <si>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</si>
  <si>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</si>
  <si>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</si>
  <si>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</si>
  <si>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</si>
  <si>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</si>
  <si>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</si>
  <si>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</si>
  <si>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</si>
  <si>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</si>
  <si>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</si>
  <si>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</si>
  <si>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</si>
  <si>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</si>
  <si>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</si>
  <si>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</si>
  <si>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</si>
  <si>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</si>
  <si>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</si>
  <si>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</si>
  <si>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</si>
  <si>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</si>
  <si>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</si>
  <si>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</si>
  <si>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</si>
  <si>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</si>
  <si>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</si>
  <si>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</si>
  <si>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</si>
  <si>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</si>
  <si>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</si>
  <si>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</si>
  <si>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</si>
  <si>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</si>
  <si>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</si>
  <si>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</si>
  <si>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</si>
  <si>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</si>
  <si>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</si>
  <si>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</si>
  <si>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</si>
  <si>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</si>
  <si>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</si>
  <si>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</si>
  <si>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</si>
  <si>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</si>
  <si>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</si>
  <si>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</si>
  <si>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</si>
  <si>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</si>
  <si>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</si>
  <si>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</si>
  <si>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</si>
  <si>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</si>
  <si>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</si>
  <si>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</si>
  <si>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</si>
  <si>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</si>
  <si>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</si>
  <si>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</si>
  <si>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</si>
  <si>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</si>
  <si>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</si>
  <si>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</si>
  <si>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</si>
  <si>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</si>
  <si>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</si>
  <si>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</si>
  <si>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</si>
  <si>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</si>
  <si>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</si>
  <si>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</si>
  <si>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</si>
  <si>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</si>
  <si>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</si>
  <si>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</si>
  <si>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</si>
  <si>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</si>
  <si>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</si>
  <si>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</si>
  <si>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</si>
  <si>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</si>
  <si>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</si>
  <si>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</si>
  <si>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</si>
  <si>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</si>
  <si>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</si>
  <si>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</si>
  <si>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</si>
  <si>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</si>
  <si>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</si>
  <si>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</si>
  <si>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</si>
  <si>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</si>
  <si>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</si>
  <si>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</si>
  <si>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</si>
  <si>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</si>
  <si>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</si>
  <si>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</si>
  <si>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</si>
  <si>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</si>
  <si>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</si>
  <si>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</si>
  <si>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</si>
  <si>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</si>
  <si>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</si>
  <si>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</si>
  <si>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</si>
  <si>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</si>
  <si>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</si>
  <si>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</si>
  <si>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</si>
  <si>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</si>
  <si>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</si>
  <si>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</si>
  <si>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</si>
  <si>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</si>
  <si>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</si>
  <si>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</si>
  <si>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</si>
  <si>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</si>
  <si>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</si>
  <si>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</si>
  <si>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</si>
  <si>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</si>
  <si>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</si>
  <si>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</si>
  <si>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</si>
  <si>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</si>
  <si>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</si>
  <si>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</si>
  <si>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</si>
  <si>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</si>
  <si>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</si>
  <si>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</si>
  <si>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</si>
  <si>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</si>
  <si>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</si>
  <si>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</si>
  <si>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</si>
  <si>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</si>
  <si>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</si>
  <si>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</si>
  <si>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</si>
  <si>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</si>
  <si>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</si>
  <si>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</si>
  <si>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</si>
  <si>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</si>
  <si>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</si>
  <si>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</si>
  <si>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</si>
  <si>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</si>
  <si>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</si>
  <si>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</si>
  <si>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</si>
  <si>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</si>
  <si>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</si>
  <si>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</si>
  <si>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</si>
  <si>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</si>
  <si>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</si>
  <si>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</si>
  <si>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</si>
  <si>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</si>
  <si>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</si>
  <si>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</si>
  <si>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</si>
  <si>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</si>
  <si>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</si>
  <si>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</si>
  <si>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</si>
  <si>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</si>
  <si>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</si>
  <si>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</si>
  <si>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</si>
  <si>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</si>
  <si>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</si>
  <si>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</si>
  <si>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</si>
  <si>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</si>
  <si>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</si>
  <si>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</si>
  <si>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</si>
  <si>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</si>
  <si>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</si>
  <si>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</si>
  <si>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</si>
  <si>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</si>
  <si>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</si>
  <si>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</si>
  <si>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</si>
  <si>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</si>
  <si>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</si>
  <si>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</si>
  <si>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</si>
  <si>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</si>
  <si>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</si>
  <si>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</si>
  <si>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</si>
  <si>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</si>
  <si>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</si>
  <si>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</si>
  <si>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</si>
  <si>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</si>
  <si>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</si>
  <si>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</si>
  <si>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</si>
  <si>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</si>
  <si>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</si>
  <si>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</si>
  <si>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</si>
  <si>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</si>
  <si>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</si>
  <si>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</si>
  <si>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</si>
  <si>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</si>
  <si>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</si>
  <si>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</si>
  <si>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</si>
  <si>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</si>
  <si>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</si>
  <si>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</si>
  <si>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</si>
  <si>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</si>
  <si>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</si>
  <si>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</si>
  <si>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</si>
  <si>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</si>
  <si>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</si>
  <si>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</si>
  <si>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</si>
  <si>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</si>
  <si>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</si>
  <si>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</si>
  <si>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</si>
  <si>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</si>
  <si>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</si>
  <si>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</si>
  <si>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</si>
  <si>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</si>
  <si>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</si>
  <si>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</si>
  <si>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</si>
  <si>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</si>
  <si>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</si>
  <si>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</si>
  <si>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</si>
  <si>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</si>
  <si>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</si>
  <si>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</si>
  <si>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</si>
  <si>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</si>
  <si>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</si>
  <si>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</si>
  <si>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</si>
  <si>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</si>
  <si>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</si>
  <si>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</si>
  <si>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</si>
  <si>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</si>
  <si>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</si>
  <si>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</si>
  <si>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</si>
  <si>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</si>
  <si>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</si>
  <si>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</si>
  <si>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</si>
  <si>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</si>
  <si>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</si>
  <si>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</si>
  <si>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</si>
  <si>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</si>
  <si>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</si>
  <si>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</si>
  <si>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</si>
  <si>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</si>
  <si>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</si>
  <si>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</si>
  <si>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</si>
  <si>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</si>
  <si>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</si>
  <si>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</si>
  <si>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</si>
  <si>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</si>
  <si>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</si>
  <si>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</si>
  <si>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</si>
  <si>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</si>
  <si>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</si>
  <si>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</si>
  <si>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</si>
  <si>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</si>
  <si>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</si>
  <si>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</si>
  <si>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</si>
  <si>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</si>
  <si>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</si>
  <si>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</si>
  <si>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</si>
  <si>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</si>
  <si>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</si>
  <si>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</si>
  <si>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</si>
  <si>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</si>
  <si>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</si>
  <si>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</si>
  <si>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</si>
  <si>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</si>
  <si>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</si>
  <si>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</si>
  <si>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</si>
  <si>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</si>
  <si>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</si>
  <si>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</si>
  <si>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</si>
  <si>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</si>
  <si>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</si>
  <si>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</si>
  <si>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</si>
  <si>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</si>
  <si>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</si>
  <si>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</si>
  <si>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</si>
  <si>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</si>
  <si>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</si>
  <si>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</si>
  <si>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</si>
  <si>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</si>
  <si>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</si>
  <si>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</si>
  <si>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</si>
  <si>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</si>
  <si>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</si>
  <si>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</si>
  <si>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</si>
  <si>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</si>
  <si>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</si>
  <si>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</si>
  <si>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</si>
  <si>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</si>
  <si>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</si>
  <si>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</si>
  <si>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</si>
  <si>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</si>
  <si>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</si>
  <si>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</si>
  <si>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</si>
  <si>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</si>
  <si>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</si>
  <si>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</si>
  <si>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</si>
  <si>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</si>
  <si>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</si>
  <si>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</si>
  <si>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</si>
  <si>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</si>
  <si>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</si>
  <si>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</si>
  <si>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</si>
  <si>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</si>
  <si>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</si>
  <si>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</si>
  <si>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</si>
  <si>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</si>
  <si>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</si>
  <si>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</si>
  <si>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</si>
  <si>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</si>
  <si>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</si>
  <si>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</si>
  <si>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</si>
  <si>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</si>
  <si>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</si>
  <si>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</si>
  <si>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</si>
  <si>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</si>
  <si>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</si>
  <si>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</si>
  <si>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</si>
  <si>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</si>
  <si>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</si>
  <si>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</si>
  <si>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</si>
  <si>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</si>
  <si>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</si>
  <si>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</si>
  <si>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</si>
  <si>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</si>
  <si>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</si>
  <si>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</si>
  <si>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</si>
  <si>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</si>
  <si>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</si>
  <si>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</si>
  <si>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</si>
  <si>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</si>
  <si>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</si>
  <si>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</si>
  <si>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</si>
  <si>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</si>
  <si>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</si>
  <si>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</si>
  <si>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</si>
  <si>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</si>
  <si>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</si>
  <si>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</si>
  <si>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</si>
  <si>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</si>
  <si>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</si>
  <si>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</si>
  <si>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</si>
  <si>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</si>
  <si>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</si>
  <si>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</si>
  <si>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</si>
  <si>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</si>
  <si>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</si>
  <si>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</si>
  <si>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</si>
  <si>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</si>
  <si>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</si>
  <si>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</si>
  <si>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</si>
  <si>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</si>
  <si>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</si>
  <si>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</si>
  <si>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</si>
  <si>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</si>
  <si>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</si>
  <si>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</si>
  <si>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</si>
  <si>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</si>
  <si>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</si>
  <si>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</si>
  <si>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</si>
  <si>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</si>
  <si>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</si>
  <si>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</si>
  <si>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</si>
  <si>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</si>
  <si>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</si>
  <si>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</si>
  <si>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</si>
  <si>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</si>
  <si>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</si>
  <si>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</si>
  <si>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</si>
  <si>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</si>
  <si>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</si>
  <si>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</si>
  <si>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</si>
  <si>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</si>
  <si>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</si>
  <si>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</si>
  <si>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</si>
  <si>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</si>
  <si>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</si>
  <si>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</si>
  <si>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</si>
  <si>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</si>
  <si>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</si>
  <si>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</si>
  <si>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</si>
  <si>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</si>
  <si>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</si>
  <si>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</si>
  <si>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</si>
  <si>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</si>
  <si>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</si>
  <si>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</si>
  <si>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</si>
  <si>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</si>
  <si>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</si>
  <si>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</si>
  <si>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</si>
  <si>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</si>
  <si>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</si>
  <si>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</si>
  <si>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</si>
  <si>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</si>
  <si>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</si>
  <si>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</si>
  <si>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</si>
  <si>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</si>
  <si>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</si>
  <si>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</si>
  <si>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</si>
  <si>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</si>
  <si>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</si>
  <si>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</si>
  <si>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</si>
  <si>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</si>
  <si>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</si>
  <si>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</si>
  <si>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</si>
  <si>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</si>
  <si>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</si>
  <si>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</si>
  <si>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</si>
  <si>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</si>
  <si>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</si>
  <si>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</si>
  <si>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</si>
  <si>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</si>
  <si>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</si>
  <si>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</si>
  <si>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</si>
  <si>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</si>
  <si>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</si>
  <si>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</si>
  <si>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</si>
  <si>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</si>
  <si>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</si>
  <si>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</si>
  <si>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</si>
  <si>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</si>
  <si>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</si>
  <si>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</si>
  <si>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</si>
  <si>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</si>
  <si>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</si>
  <si>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</si>
  <si>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</si>
  <si>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</si>
  <si>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</si>
  <si>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</si>
  <si>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</si>
  <si>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</si>
  <si>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</si>
  <si>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</si>
  <si>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</si>
  <si>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</si>
  <si>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</si>
  <si>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</si>
  <si>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</si>
  <si>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</si>
  <si>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</si>
  <si>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</si>
  <si>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</si>
  <si>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</si>
  <si>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</si>
  <si>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</si>
  <si>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</si>
  <si>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</si>
  <si>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</si>
  <si>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</si>
  <si>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</si>
  <si>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</si>
  <si>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</si>
  <si>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</si>
  <si>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</si>
  <si>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</si>
  <si>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</si>
  <si>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</si>
  <si>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</si>
  <si>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</si>
  <si>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</si>
  <si>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</si>
  <si>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</si>
  <si>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</si>
  <si>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</si>
  <si>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</si>
  <si>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</si>
  <si>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</si>
  <si>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</si>
  <si>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</si>
  <si>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</si>
  <si>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</si>
  <si>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</si>
  <si>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</si>
  <si>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</si>
  <si>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</si>
  <si>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</si>
  <si>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</si>
  <si>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</si>
  <si>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</si>
  <si>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</si>
  <si>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</si>
  <si>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</si>
  <si>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</si>
  <si>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</si>
  <si>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</si>
  <si>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</si>
  <si>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</si>
  <si>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</si>
  <si>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</si>
  <si>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</si>
  <si>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</si>
  <si>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</si>
  <si>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</si>
  <si>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</si>
  <si>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</si>
  <si>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</si>
  <si>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</si>
  <si>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</si>
  <si>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</si>
  <si>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</si>
  <si>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</si>
  <si>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</si>
  <si>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</si>
  <si>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</si>
  <si>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</si>
  <si>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</si>
  <si>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</si>
  <si>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</si>
  <si>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</si>
  <si>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</si>
  <si>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</si>
  <si>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</si>
  <si>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</si>
  <si>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</si>
  <si>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</si>
  <si>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</si>
  <si>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</si>
  <si>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</si>
  <si>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</si>
  <si>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</si>
  <si>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</si>
  <si>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</si>
  <si>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</si>
  <si>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</si>
  <si>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</si>
  <si>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</si>
  <si>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</si>
  <si>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</si>
  <si>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</si>
  <si>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</si>
  <si>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</si>
  <si>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</si>
  <si>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</si>
  <si>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</si>
  <si>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</si>
  <si>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</si>
  <si>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</si>
  <si>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</si>
  <si>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</si>
  <si>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</si>
  <si>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</si>
  <si>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</si>
  <si>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</si>
  <si>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</si>
  <si>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</si>
  <si>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</si>
  <si>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</si>
  <si>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</si>
  <si>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</si>
  <si>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</si>
  <si>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</si>
  <si>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</si>
  <si>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</si>
  <si>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</si>
  <si>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</si>
  <si>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</si>
  <si>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</si>
  <si>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</si>
  <si>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</si>
  <si>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</si>
  <si>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</si>
  <si>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</si>
  <si>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</si>
  <si>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</si>
  <si>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</si>
  <si>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</si>
  <si>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</si>
  <si>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</si>
  <si>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</si>
  <si>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</si>
  <si>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</si>
  <si>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</si>
  <si>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</si>
  <si>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</si>
  <si>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</si>
  <si>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</si>
  <si>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</si>
  <si>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</si>
  <si>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</si>
  <si>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</si>
  <si>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</si>
  <si>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</si>
  <si>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</si>
  <si>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</si>
  <si>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</si>
  <si>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</si>
  <si>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</si>
  <si>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</si>
  <si>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</si>
  <si>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</si>
  <si>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</si>
  <si>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</si>
  <si>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</si>
  <si>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</si>
  <si>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</si>
  <si>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</si>
  <si>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</si>
  <si>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</si>
  <si>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</si>
  <si>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</si>
  <si>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</si>
  <si>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</si>
  <si>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</si>
  <si>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</si>
  <si>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</si>
  <si>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</si>
  <si>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</si>
  <si>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</si>
  <si>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</si>
  <si>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</si>
  <si>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</si>
  <si>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</si>
  <si>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</si>
  <si>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</si>
  <si>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</si>
  <si>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</si>
  <si>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</si>
  <si>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</si>
  <si>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</si>
  <si>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</si>
  <si>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</si>
  <si>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</si>
  <si>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</si>
  <si>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</si>
  <si>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</si>
  <si>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</si>
  <si>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</si>
  <si>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</si>
  <si>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</si>
  <si>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</si>
  <si>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</si>
  <si>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</si>
  <si>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</si>
  <si>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</si>
  <si>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</si>
  <si>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</si>
  <si>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</si>
  <si>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</si>
  <si>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</si>
  <si>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</si>
  <si>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</si>
  <si>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</si>
  <si>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</si>
  <si>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</si>
  <si>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</si>
  <si>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</si>
  <si>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</si>
  <si>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</si>
  <si>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</si>
  <si>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</si>
  <si>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</si>
  <si>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</si>
  <si>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</si>
  <si>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</si>
  <si>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</si>
  <si>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</si>
  <si>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</si>
  <si>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</si>
  <si>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</si>
  <si>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</si>
  <si>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</si>
  <si>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</si>
  <si>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</si>
  <si>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</si>
  <si>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</si>
  <si>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</si>
  <si>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</si>
  <si>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</si>
  <si>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</si>
  <si>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</si>
  <si>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</si>
  <si>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</si>
  <si>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</si>
  <si>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</si>
  <si>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</si>
  <si>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</si>
  <si>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</si>
  <si>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</si>
  <si>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</si>
  <si>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</si>
  <si>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</si>
  <si>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</si>
  <si>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</si>
  <si>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</si>
  <si>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</si>
  <si>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</si>
  <si>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</si>
  <si>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</si>
  <si>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</si>
  <si>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</si>
  <si>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</si>
  <si>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</si>
  <si>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</si>
  <si>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</si>
  <si>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</si>
  <si>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</si>
  <si>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</si>
  <si>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</si>
  <si>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</si>
  <si>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</si>
  <si>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</si>
  <si>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</si>
  <si>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</si>
  <si>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</si>
  <si>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</si>
  <si>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</si>
  <si>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</si>
  <si>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</si>
  <si>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</si>
  <si>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</si>
  <si>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</si>
  <si>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</si>
  <si>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</si>
  <si>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</si>
  <si>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</si>
  <si>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</si>
  <si>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</si>
  <si>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</si>
  <si>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</si>
  <si>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</si>
  <si>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</si>
  <si>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</si>
  <si>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</si>
  <si>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</si>
  <si>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</si>
  <si>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</si>
  <si>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</si>
  <si>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</si>
  <si>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</si>
  <si>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</si>
  <si>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</si>
  <si>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</si>
  <si>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</si>
  <si>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</si>
  <si>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</si>
  <si>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</si>
  <si>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[0.343539]</t>
  </si>
  <si>
    <t>0 [0.764943]</t>
  </si>
  <si>
    <t>0 [1.172431]</t>
  </si>
  <si>
    <t>0 [1.574945]</t>
  </si>
  <si>
    <t>0 [1.979988]</t>
  </si>
  <si>
    <t>0 [2.401207]</t>
  </si>
  <si>
    <t>0 [2.797996]</t>
  </si>
  <si>
    <t>0 [3.195395]</t>
  </si>
  <si>
    <t>0 [3.628756]</t>
  </si>
  <si>
    <t>0 [4.022841]</t>
  </si>
  <si>
    <t>0 [4.428820]</t>
  </si>
  <si>
    <t>0 [4.832881]</t>
  </si>
  <si>
    <t>0 [5.239391]</t>
  </si>
  <si>
    <t>0 [5.650158]</t>
  </si>
  <si>
    <t>0 [6.073484]</t>
  </si>
  <si>
    <t>0 [6.442861]</t>
  </si>
  <si>
    <t>0 [6.860685]</t>
  </si>
  <si>
    <t>0 [7.261841]</t>
  </si>
  <si>
    <t>0 [7.667898]</t>
  </si>
  <si>
    <t>0 [8.076612]</t>
  </si>
  <si>
    <t>0 [8.477654]</t>
  </si>
  <si>
    <t>0 [8.898823]</t>
  </si>
  <si>
    <t>0 [9.293511]</t>
  </si>
  <si>
    <t>0 [9.719098]</t>
  </si>
  <si>
    <t>vision^arTn^1^1^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</si>
</sst>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54.574660000000002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4.1611700000000003</c:v>
                </c:pt>
                <c:pt idx="1">
                  <c:v>4.2110700000000003</c:v>
                </c:pt>
              </c:numCache>
            </c:numRef>
          </c:xVal>
          <c:yVal>
            <c:numRef>
              <c:f>info!$W$2:$W$3</c:f>
              <c:numCache>
                <c:formatCode>0.00</c:formatCode>
                <c:ptCount val="2"/>
                <c:pt idx="0">
                  <c:v>38.227499999999999</c:v>
                </c:pt>
                <c:pt idx="1">
                  <c:v>47.795900000000003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4.0938600000000003</c:v>
                </c:pt>
                <c:pt idx="1">
                  <c:v>4.3857800000000005</c:v>
                </c:pt>
              </c:numCache>
            </c:numRef>
          </c:xVal>
          <c:yVal>
            <c:numRef>
              <c:f>info!$W$15:$W$16</c:f>
              <c:numCache>
                <c:formatCode>0.00_ </c:formatCode>
                <c:ptCount val="2"/>
                <c:pt idx="0">
                  <c:v>36.8889</c:v>
                </c:pt>
                <c:pt idx="1">
                  <c:v>48.9024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4.2945476000000005</c:v>
                </c:pt>
              </c:numCache>
            </c:numRef>
          </c:xVal>
          <c:yVal>
            <c:numRef>
              <c:f>info!$N$9</c:f>
              <c:numCache>
                <c:formatCode>0.0</c:formatCode>
                <c:ptCount val="1"/>
                <c:pt idx="0">
                  <c:v>45.140851999999995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70.302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70.301999999999992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54.574660000000002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4.1611700000000003</c:v>
                </c:pt>
                <c:pt idx="1">
                  <c:v>4.2110700000000003</c:v>
                </c:pt>
              </c:numCache>
            </c:numRef>
          </c:xVal>
          <c:yVal>
            <c:numRef>
              <c:f>info!$W$2:$W$3</c:f>
              <c:numCache>
                <c:formatCode>0.00</c:formatCode>
                <c:ptCount val="2"/>
                <c:pt idx="0">
                  <c:v>38.227499999999999</c:v>
                </c:pt>
                <c:pt idx="1">
                  <c:v>47.795900000000003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4.0938600000000003</c:v>
                </c:pt>
                <c:pt idx="1">
                  <c:v>4.3857800000000005</c:v>
                </c:pt>
              </c:numCache>
            </c:numRef>
          </c:xVal>
          <c:yVal>
            <c:numRef>
              <c:f>info!$W$15:$W$16</c:f>
              <c:numCache>
                <c:formatCode>0.00_ </c:formatCode>
                <c:ptCount val="2"/>
                <c:pt idx="0">
                  <c:v>36.8889</c:v>
                </c:pt>
                <c:pt idx="1">
                  <c:v>48.9024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4.2945476000000005</c:v>
                </c:pt>
              </c:numCache>
            </c:numRef>
          </c:xVal>
          <c:yVal>
            <c:numRef>
              <c:f>info!$N$9</c:f>
              <c:numCache>
                <c:formatCode>0.0</c:formatCode>
                <c:ptCount val="1"/>
                <c:pt idx="0">
                  <c:v>45.140851999999995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70.302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70.301999999999992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FT!$J$2:$J$2000</c:f>
              <c:numCache>
                <c:formatCode>General</c:formatCode>
                <c:ptCount val="1999"/>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4.0938600000000003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4.0938600000000003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4.0938600000000003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4.0938600000000003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4.0938600000000003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4.0938600000000003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4.0938600000000003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4.0938600000000003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4.0938600000000003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4.0938600000000003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4.0938600000000003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4.0938600000000003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4.0938600000000003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4.0938600000000003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4.0938600000000003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4.0938600000000003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4.0938600000000003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4.0938600000000003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4.0938600000000003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4.0938600000000003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4.0938600000000003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4.0938600000000003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4.0938600000000003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4.0938600000000003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FT!$K$2:$K$2000</c:f>
              <c:numCache>
                <c:formatCode>General</c:formatCode>
                <c:ptCount val="1999"/>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36.8889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36.8889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36.8889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36.8889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36.8889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36.8889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36.8889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36.8889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36.8889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36.8889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36.8889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36.8889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36.8889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36.8889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36.8889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36.8889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36.8889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36.8889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36.8889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36.8889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36.8889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36.8889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36.8889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36.8889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FT!$L$2:$L$2000</c:f>
              <c:numCache>
                <c:formatCode>General</c:formatCode>
                <c:ptCount val="1999"/>
                <c:pt idx="0">
                  <c:v>9.0107868857264286</c:v>
                </c:pt>
                <c:pt idx="1">
                  <c:v>9.1867191198629232</c:v>
                </c:pt>
                <c:pt idx="2">
                  <c:v>9.4565610485386387</c:v>
                </c:pt>
                <c:pt idx="3">
                  <c:v>9.5389936231501125</c:v>
                </c:pt>
                <c:pt idx="4">
                  <c:v>9.5376673300734751</c:v>
                </c:pt>
                <c:pt idx="5">
                  <c:v>9.5390982468767653</c:v>
                </c:pt>
                <c:pt idx="6">
                  <c:v>9.6692361272347345</c:v>
                </c:pt>
                <c:pt idx="7">
                  <c:v>9.8268874318753987</c:v>
                </c:pt>
                <c:pt idx="8">
                  <c:v>10.031511545830391</c:v>
                </c:pt>
                <c:pt idx="9">
                  <c:v>10.242791729188061</c:v>
                </c:pt>
                <c:pt idx="10">
                  <c:v>10.412377670197493</c:v>
                </c:pt>
                <c:pt idx="11">
                  <c:v>10.595876162920701</c:v>
                </c:pt>
                <c:pt idx="12">
                  <c:v>10.80244946841564</c:v>
                </c:pt>
                <c:pt idx="13">
                  <c:v>10.973157397316644</c:v>
                </c:pt>
                <c:pt idx="14">
                  <c:v>11.084458485679981</c:v>
                </c:pt>
                <c:pt idx="15">
                  <c:v>11.150217293161079</c:v>
                </c:pt>
                <c:pt idx="16">
                  <c:v>11.171130682821355</c:v>
                </c:pt>
                <c:pt idx="17">
                  <c:v>11.191310993260926</c:v>
                </c:pt>
                <c:pt idx="18">
                  <c:v>11.2491187607091</c:v>
                </c:pt>
                <c:pt idx="19">
                  <c:v>11.288847876926544</c:v>
                </c:pt>
                <c:pt idx="20">
                  <c:v>11.326747964407836</c:v>
                </c:pt>
                <c:pt idx="21">
                  <c:v>11.350060673415545</c:v>
                </c:pt>
                <c:pt idx="22">
                  <c:v>11.332310251234968</c:v>
                </c:pt>
                <c:pt idx="23">
                  <c:v>11.304001854325527</c:v>
                </c:pt>
                <c:pt idx="24">
                  <c:v>11.414951635522421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7.1011228295418073E-3</c:v>
                </c:pt>
                <c:pt idx="30">
                  <c:v>6.3301397216927943E-3</c:v>
                </c:pt>
                <c:pt idx="31">
                  <c:v>2.1709155051596759E-2</c:v>
                </c:pt>
                <c:pt idx="32">
                  <c:v>2.9621907816063872E-2</c:v>
                </c:pt>
                <c:pt idx="33">
                  <c:v>2.5888677117625838E-2</c:v>
                </c:pt>
                <c:pt idx="34">
                  <c:v>3.716926520421409E-2</c:v>
                </c:pt>
                <c:pt idx="35">
                  <c:v>5.9162578786957798E-2</c:v>
                </c:pt>
                <c:pt idx="36">
                  <c:v>2.6740811857170855E-2</c:v>
                </c:pt>
                <c:pt idx="37">
                  <c:v>4.2647355399835822E-2</c:v>
                </c:pt>
                <c:pt idx="38">
                  <c:v>3.4450671340152304E-2</c:v>
                </c:pt>
                <c:pt idx="39">
                  <c:v>3.2665165015892311E-2</c:v>
                </c:pt>
                <c:pt idx="40">
                  <c:v>2.6294435276105858E-2</c:v>
                </c:pt>
                <c:pt idx="41">
                  <c:v>1.9315054096353718E-2</c:v>
                </c:pt>
                <c:pt idx="42">
                  <c:v>3.8183873634099023E-2</c:v>
                </c:pt>
                <c:pt idx="43">
                  <c:v>4.1267749256512443E-2</c:v>
                </c:pt>
                <c:pt idx="44">
                  <c:v>5.1371510863297706E-2</c:v>
                </c:pt>
                <c:pt idx="45">
                  <c:v>2.4833649096595155E-2</c:v>
                </c:pt>
                <c:pt idx="46">
                  <c:v>2.2967047949621795E-2</c:v>
                </c:pt>
                <c:pt idx="47">
                  <c:v>3.2705783438477291E-2</c:v>
                </c:pt>
                <c:pt idx="48">
                  <c:v>2.1181626838835756E-2</c:v>
                </c:pt>
                <c:pt idx="49">
                  <c:v>3.3476681332852344E-2</c:v>
                </c:pt>
                <c:pt idx="50">
                  <c:v>3.2949209929073985E-2</c:v>
                </c:pt>
                <c:pt idx="51">
                  <c:v>8.2373024822684961E-3</c:v>
                </c:pt>
                <c:pt idx="52">
                  <c:v>2.4549604183413481E-2</c:v>
                </c:pt>
                <c:pt idx="53">
                  <c:v>2.9621907816063872E-2</c:v>
                </c:pt>
                <c:pt idx="54">
                  <c:v>3.3233254842255658E-2</c:v>
                </c:pt>
                <c:pt idx="55">
                  <c:v>6.0907466688632804E-2</c:v>
                </c:pt>
                <c:pt idx="56">
                  <c:v>3.5870895906060671E-2</c:v>
                </c:pt>
                <c:pt idx="57">
                  <c:v>3.6154940819242344E-2</c:v>
                </c:pt>
                <c:pt idx="58">
                  <c:v>3.4328816072397364E-2</c:v>
                </c:pt>
                <c:pt idx="59">
                  <c:v>3.2989828351658965E-2</c:v>
                </c:pt>
                <c:pt idx="60">
                  <c:v>8.3427967630241684E-2</c:v>
                </c:pt>
                <c:pt idx="61">
                  <c:v>5.6687127368579525E-2</c:v>
                </c:pt>
                <c:pt idx="62">
                  <c:v>0.12011037985326241</c:v>
                </c:pt>
                <c:pt idx="63">
                  <c:v>5.3441062100739366E-2</c:v>
                </c:pt>
                <c:pt idx="64">
                  <c:v>0.11284706737829385</c:v>
                </c:pt>
                <c:pt idx="65">
                  <c:v>0.15265397364631297</c:v>
                </c:pt>
                <c:pt idx="66">
                  <c:v>0.24813339885302663</c:v>
                </c:pt>
                <c:pt idx="67">
                  <c:v>0.30786491960108731</c:v>
                </c:pt>
                <c:pt idx="68">
                  <c:v>0.28542537145973523</c:v>
                </c:pt>
                <c:pt idx="69">
                  <c:v>0.22703312247732613</c:v>
                </c:pt>
                <c:pt idx="70">
                  <c:v>0.46189679512124454</c:v>
                </c:pt>
                <c:pt idx="71">
                  <c:v>0.44018724240676932</c:v>
                </c:pt>
                <c:pt idx="72">
                  <c:v>0.2649326671533303</c:v>
                </c:pt>
                <c:pt idx="73">
                  <c:v>0.5699162351551027</c:v>
                </c:pt>
                <c:pt idx="74">
                  <c:v>0.3552180470776039</c:v>
                </c:pt>
                <c:pt idx="75">
                  <c:v>0.49651050824156318</c:v>
                </c:pt>
                <c:pt idx="76">
                  <c:v>0.41710007186336306</c:v>
                </c:pt>
                <c:pt idx="77">
                  <c:v>0.3439386235751597</c:v>
                </c:pt>
                <c:pt idx="78">
                  <c:v>0.48636726439184569</c:v>
                </c:pt>
                <c:pt idx="79">
                  <c:v>0.418480530141426</c:v>
                </c:pt>
                <c:pt idx="80">
                  <c:v>0.50000142022456595</c:v>
                </c:pt>
                <c:pt idx="81">
                  <c:v>0.33606489858176375</c:v>
                </c:pt>
                <c:pt idx="82">
                  <c:v>0.34600647054312228</c:v>
                </c:pt>
                <c:pt idx="83">
                  <c:v>0.4764256924304871</c:v>
                </c:pt>
                <c:pt idx="84">
                  <c:v>0.32835591963801319</c:v>
                </c:pt>
                <c:pt idx="85">
                  <c:v>0.33152017997085698</c:v>
                </c:pt>
                <c:pt idx="86">
                  <c:v>0.77808139022942313</c:v>
                </c:pt>
                <c:pt idx="87">
                  <c:v>0.31293512130138013</c:v>
                </c:pt>
                <c:pt idx="88">
                  <c:v>0.41543556867211845</c:v>
                </c:pt>
                <c:pt idx="89">
                  <c:v>0.26448643259472188</c:v>
                </c:pt>
                <c:pt idx="90">
                  <c:v>0.29451480868154872</c:v>
                </c:pt>
                <c:pt idx="91">
                  <c:v>0.35550209199078558</c:v>
                </c:pt>
                <c:pt idx="92">
                  <c:v>0.23352553705791959</c:v>
                </c:pt>
                <c:pt idx="93">
                  <c:v>0.37538523591350265</c:v>
                </c:pt>
                <c:pt idx="94">
                  <c:v>0.30680827252405146</c:v>
                </c:pt>
                <c:pt idx="95">
                  <c:v>0.233931153193943</c:v>
                </c:pt>
                <c:pt idx="96">
                  <c:v>0.30672873994836064</c:v>
                </c:pt>
                <c:pt idx="97">
                  <c:v>0.22699250405474114</c:v>
                </c:pt>
                <c:pt idx="98">
                  <c:v>0.34876738709924815</c:v>
                </c:pt>
                <c:pt idx="99">
                  <c:v>0.33273873264840637</c:v>
                </c:pt>
                <c:pt idx="100">
                  <c:v>0.33290063824891991</c:v>
                </c:pt>
                <c:pt idx="101">
                  <c:v>0.45402591057698038</c:v>
                </c:pt>
                <c:pt idx="102">
                  <c:v>0.24699721920029996</c:v>
                </c:pt>
                <c:pt idx="103">
                  <c:v>0.42789377856426658</c:v>
                </c:pt>
                <c:pt idx="104">
                  <c:v>0.58732250743487557</c:v>
                </c:pt>
                <c:pt idx="105">
                  <c:v>0.49273555134537877</c:v>
                </c:pt>
                <c:pt idx="106">
                  <c:v>0.61499700332616591</c:v>
                </c:pt>
                <c:pt idx="107">
                  <c:v>0.55295307293989326</c:v>
                </c:pt>
                <c:pt idx="108">
                  <c:v>0.45098094910767289</c:v>
                </c:pt>
                <c:pt idx="109">
                  <c:v>0.80762206120031699</c:v>
                </c:pt>
                <c:pt idx="110">
                  <c:v>0.35290592148430511</c:v>
                </c:pt>
                <c:pt idx="111">
                  <c:v>0.88780225929323942</c:v>
                </c:pt>
                <c:pt idx="112">
                  <c:v>0.64421386309603268</c:v>
                </c:pt>
                <c:pt idx="113">
                  <c:v>0.35919467586214732</c:v>
                </c:pt>
                <c:pt idx="114">
                  <c:v>0.78510014003414219</c:v>
                </c:pt>
                <c:pt idx="115">
                  <c:v>0.55834992629034497</c:v>
                </c:pt>
                <c:pt idx="116">
                  <c:v>0.6621484589143235</c:v>
                </c:pt>
                <c:pt idx="117">
                  <c:v>0.51667769707746192</c:v>
                </c:pt>
                <c:pt idx="118">
                  <c:v>0.6013230812056003</c:v>
                </c:pt>
                <c:pt idx="119">
                  <c:v>0.53193374936444948</c:v>
                </c:pt>
                <c:pt idx="120">
                  <c:v>0.54905881718017246</c:v>
                </c:pt>
                <c:pt idx="121">
                  <c:v>0.70922038192679027</c:v>
                </c:pt>
                <c:pt idx="122">
                  <c:v>0.62262644969422565</c:v>
                </c:pt>
                <c:pt idx="123">
                  <c:v>0.31269368312517576</c:v>
                </c:pt>
                <c:pt idx="124">
                  <c:v>0.93288586791343442</c:v>
                </c:pt>
                <c:pt idx="125">
                  <c:v>0.64579599326245474</c:v>
                </c:pt>
                <c:pt idx="126">
                  <c:v>0</c:v>
                </c:pt>
                <c:pt idx="127">
                  <c:v>0.91499103838298901</c:v>
                </c:pt>
                <c:pt idx="128">
                  <c:v>0.75860159008342398</c:v>
                </c:pt>
                <c:pt idx="129">
                  <c:v>1</c:v>
                </c:pt>
                <c:pt idx="130">
                  <c:v>0</c:v>
                </c:pt>
                <c:pt idx="131">
                  <c:v>0.7976804892389584</c:v>
                </c:pt>
                <c:pt idx="132">
                  <c:v>0.99850024285840089</c:v>
                </c:pt>
                <c:pt idx="133">
                  <c:v>0.32097075189528967</c:v>
                </c:pt>
                <c:pt idx="134">
                  <c:v>0.52552285567393919</c:v>
                </c:pt>
                <c:pt idx="135">
                  <c:v>0.68840273023970555</c:v>
                </c:pt>
                <c:pt idx="136">
                  <c:v>0.35229806537009634</c:v>
                </c:pt>
                <c:pt idx="137">
                  <c:v>0.57669354678361751</c:v>
                </c:pt>
                <c:pt idx="138">
                  <c:v>0.58070994185600622</c:v>
                </c:pt>
                <c:pt idx="139">
                  <c:v>0.36901410851083777</c:v>
                </c:pt>
                <c:pt idx="140">
                  <c:v>0.46441343305203425</c:v>
                </c:pt>
                <c:pt idx="141">
                  <c:v>0.43872725155301556</c:v>
                </c:pt>
                <c:pt idx="142">
                  <c:v>0.37461547419878027</c:v>
                </c:pt>
                <c:pt idx="143">
                  <c:v>0.16442138630960326</c:v>
                </c:pt>
                <c:pt idx="144">
                  <c:v>0.21964795473460264</c:v>
                </c:pt>
                <c:pt idx="145">
                  <c:v>0.27373805946196211</c:v>
                </c:pt>
                <c:pt idx="146">
                  <c:v>0.10822111192221714</c:v>
                </c:pt>
                <c:pt idx="147">
                  <c:v>0.28883391041791528</c:v>
                </c:pt>
                <c:pt idx="148">
                  <c:v>0.14303678097580788</c:v>
                </c:pt>
                <c:pt idx="149">
                  <c:v>0.14583689572995281</c:v>
                </c:pt>
                <c:pt idx="150">
                  <c:v>0.1754585195011035</c:v>
                </c:pt>
                <c:pt idx="151">
                  <c:v>0.13849206236490114</c:v>
                </c:pt>
                <c:pt idx="152">
                  <c:v>0.15001633258250796</c:v>
                </c:pt>
                <c:pt idx="153">
                  <c:v>9.7021505040376974E-2</c:v>
                </c:pt>
                <c:pt idx="154">
                  <c:v>0.14705402818293628</c:v>
                </c:pt>
                <c:pt idx="155">
                  <c:v>0.14457886080947119</c:v>
                </c:pt>
                <c:pt idx="156">
                  <c:v>0.14169779325506948</c:v>
                </c:pt>
                <c:pt idx="157">
                  <c:v>0.11288768580087884</c:v>
                </c:pt>
                <c:pt idx="158">
                  <c:v>9.3978247840548548E-2</c:v>
                </c:pt>
                <c:pt idx="159">
                  <c:v>8.6187463961801644E-2</c:v>
                </c:pt>
                <c:pt idx="160">
                  <c:v>0.10083594417949365</c:v>
                </c:pt>
                <c:pt idx="161">
                  <c:v>8.3752630966008351E-2</c:v>
                </c:pt>
                <c:pt idx="162">
                  <c:v>8.7445214837370083E-2</c:v>
                </c:pt>
                <c:pt idx="163">
                  <c:v>8.3833867811178311E-2</c:v>
                </c:pt>
                <c:pt idx="164">
                  <c:v>3.0433424133023915E-2</c:v>
                </c:pt>
                <c:pt idx="165">
                  <c:v>4.5812467867419195E-2</c:v>
                </c:pt>
                <c:pt idx="166">
                  <c:v>2.081643029395808E-2</c:v>
                </c:pt>
                <c:pt idx="167">
                  <c:v>1.5784773488383985E-2</c:v>
                </c:pt>
                <c:pt idx="168">
                  <c:v>3.1528985363165625E-2</c:v>
                </c:pt>
                <c:pt idx="169">
                  <c:v>2.5198845641472831E-2</c:v>
                </c:pt>
                <c:pt idx="170">
                  <c:v>2.4955362341893501E-2</c:v>
                </c:pt>
                <c:pt idx="171">
                  <c:v>5.3806343859090999E-2</c:v>
                </c:pt>
                <c:pt idx="172">
                  <c:v>1.2782021093175253E-2</c:v>
                </c:pt>
                <c:pt idx="173">
                  <c:v>9.5357853983871928E-3</c:v>
                </c:pt>
                <c:pt idx="174">
                  <c:v>6.0866848266047831E-3</c:v>
                </c:pt>
                <c:pt idx="175">
                  <c:v>6.0866848266047831E-3</c:v>
                </c:pt>
                <c:pt idx="176">
                  <c:v>1.5013790380534971E-2</c:v>
                </c:pt>
                <c:pt idx="177">
                  <c:v>9.0488472037198522E-3</c:v>
                </c:pt>
                <c:pt idx="178">
                  <c:v>3.0433424133023915E-3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2.7536958243167177E-5</c:v>
                </c:pt>
                <c:pt idx="12">
                  <c:v>0</c:v>
                </c:pt>
                <c:pt idx="13">
                  <c:v>1.7440119448936285E-4</c:v>
                </c:pt>
                <c:pt idx="14">
                  <c:v>3.9010644949556429E-4</c:v>
                </c:pt>
                <c:pt idx="15">
                  <c:v>0</c:v>
                </c:pt>
                <c:pt idx="16">
                  <c:v>4.3921448397851648E-3</c:v>
                </c:pt>
                <c:pt idx="17">
                  <c:v>9.7756201763243475E-4</c:v>
                </c:pt>
                <c:pt idx="18">
                  <c:v>0</c:v>
                </c:pt>
                <c:pt idx="19">
                  <c:v>3.3163678546651552E-2</c:v>
                </c:pt>
                <c:pt idx="20">
                  <c:v>0</c:v>
                </c:pt>
                <c:pt idx="21">
                  <c:v>6.1444127778144682E-2</c:v>
                </c:pt>
                <c:pt idx="22">
                  <c:v>6.3463510682317897E-2</c:v>
                </c:pt>
                <c:pt idx="23">
                  <c:v>0</c:v>
                </c:pt>
                <c:pt idx="24">
                  <c:v>0.25648382774888567</c:v>
                </c:pt>
                <c:pt idx="25">
                  <c:v>5.3398751067592377E-2</c:v>
                </c:pt>
                <c:pt idx="26">
                  <c:v>0.1964348888739372</c:v>
                </c:pt>
                <c:pt idx="27">
                  <c:v>0.40123641438177066</c:v>
                </c:pt>
                <c:pt idx="28">
                  <c:v>0</c:v>
                </c:pt>
                <c:pt idx="29">
                  <c:v>0.61146274682361834</c:v>
                </c:pt>
                <c:pt idx="30">
                  <c:v>0.31246646936463618</c:v>
                </c:pt>
                <c:pt idx="31">
                  <c:v>0.42013139256872029</c:v>
                </c:pt>
                <c:pt idx="32">
                  <c:v>0.63368967217472882</c:v>
                </c:pt>
                <c:pt idx="33">
                  <c:v>0.21505445892671365</c:v>
                </c:pt>
                <c:pt idx="34">
                  <c:v>0.72372635719963829</c:v>
                </c:pt>
                <c:pt idx="35">
                  <c:v>0.73016537233531509</c:v>
                </c:pt>
                <c:pt idx="36">
                  <c:v>0</c:v>
                </c:pt>
                <c:pt idx="37">
                  <c:v>1</c:v>
                </c:pt>
                <c:pt idx="38">
                  <c:v>0.50401814544558998</c:v>
                </c:pt>
                <c:pt idx="39">
                  <c:v>0.48828078344755527</c:v>
                </c:pt>
                <c:pt idx="40">
                  <c:v>0.73402515204562468</c:v>
                </c:pt>
                <c:pt idx="41">
                  <c:v>0.2466347733891664</c:v>
                </c:pt>
                <c:pt idx="42">
                  <c:v>0.67615623567445671</c:v>
                </c:pt>
                <c:pt idx="43">
                  <c:v>0.68058968870530256</c:v>
                </c:pt>
                <c:pt idx="44">
                  <c:v>0.40569738922553256</c:v>
                </c:pt>
                <c:pt idx="45">
                  <c:v>0.40647304200423862</c:v>
                </c:pt>
                <c:pt idx="46">
                  <c:v>0.40976368648473049</c:v>
                </c:pt>
                <c:pt idx="47">
                  <c:v>0.5542730942393701</c:v>
                </c:pt>
                <c:pt idx="48">
                  <c:v>0.37230428926497383</c:v>
                </c:pt>
                <c:pt idx="49">
                  <c:v>0.52440005741951456</c:v>
                </c:pt>
                <c:pt idx="50">
                  <c:v>0.33800240083999505</c:v>
                </c:pt>
                <c:pt idx="51">
                  <c:v>0.17034362506908005</c:v>
                </c:pt>
                <c:pt idx="52">
                  <c:v>0.46960152703778679</c:v>
                </c:pt>
                <c:pt idx="53">
                  <c:v>0.29981323429820506</c:v>
                </c:pt>
                <c:pt idx="54">
                  <c:v>0.30397132050031495</c:v>
                </c:pt>
                <c:pt idx="55">
                  <c:v>0.37732515380482329</c:v>
                </c:pt>
                <c:pt idx="56">
                  <c:v>0.2547306253441784</c:v>
                </c:pt>
                <c:pt idx="57">
                  <c:v>0.33379382975549005</c:v>
                </c:pt>
                <c:pt idx="58">
                  <c:v>0.20531555377681487</c:v>
                </c:pt>
                <c:pt idx="59">
                  <c:v>0.10456700438694448</c:v>
                </c:pt>
                <c:pt idx="60">
                  <c:v>0.350802490504737</c:v>
                </c:pt>
                <c:pt idx="61">
                  <c:v>8.2496133731893892E-2</c:v>
                </c:pt>
                <c:pt idx="62">
                  <c:v>0.30110747408932975</c:v>
                </c:pt>
                <c:pt idx="63">
                  <c:v>6.7194767147419135E-2</c:v>
                </c:pt>
                <c:pt idx="64">
                  <c:v>0.13583523010999621</c:v>
                </c:pt>
                <c:pt idx="65">
                  <c:v>0.17928855710195357</c:v>
                </c:pt>
                <c:pt idx="66">
                  <c:v>0.1110381950814804</c:v>
                </c:pt>
                <c:pt idx="67">
                  <c:v>0.1522243024145323</c:v>
                </c:pt>
                <c:pt idx="68">
                  <c:v>0.1037317161946191</c:v>
                </c:pt>
                <c:pt idx="69">
                  <c:v>4.8290646690332784E-2</c:v>
                </c:pt>
                <c:pt idx="70">
                  <c:v>0.18498870608144125</c:v>
                </c:pt>
                <c:pt idx="71">
                  <c:v>8.9242691255165679E-2</c:v>
                </c:pt>
                <c:pt idx="72">
                  <c:v>4.4655768202234714E-2</c:v>
                </c:pt>
                <c:pt idx="73">
                  <c:v>0.16539615616088407</c:v>
                </c:pt>
                <c:pt idx="74">
                  <c:v>4.0906150093376926E-2</c:v>
                </c:pt>
                <c:pt idx="75">
                  <c:v>0.11324574077502501</c:v>
                </c:pt>
                <c:pt idx="76">
                  <c:v>7.6332446873211501E-2</c:v>
                </c:pt>
                <c:pt idx="77">
                  <c:v>3.7046389658938125E-2</c:v>
                </c:pt>
                <c:pt idx="78">
                  <c:v>0.14132884914896429</c:v>
                </c:pt>
                <c:pt idx="79">
                  <c:v>6.7635363986701461E-2</c:v>
                </c:pt>
                <c:pt idx="80">
                  <c:v>9.7347744684774667E-2</c:v>
                </c:pt>
                <c:pt idx="81">
                  <c:v>6.5726126161805079E-2</c:v>
                </c:pt>
                <c:pt idx="82">
                  <c:v>3.1084638199292431E-2</c:v>
                </c:pt>
                <c:pt idx="83">
                  <c:v>8.9779660564059532E-2</c:v>
                </c:pt>
                <c:pt idx="84">
                  <c:v>6.0406912447870074E-2</c:v>
                </c:pt>
                <c:pt idx="85">
                  <c:v>2.9368165966337789E-2</c:v>
                </c:pt>
                <c:pt idx="86">
                  <c:v>0.14280666682591289</c:v>
                </c:pt>
                <c:pt idx="87">
                  <c:v>2.7729715574021433E-2</c:v>
                </c:pt>
                <c:pt idx="88">
                  <c:v>8.414376769978435E-2</c:v>
                </c:pt>
                <c:pt idx="89">
                  <c:v>5.5982636108358866E-2</c:v>
                </c:pt>
                <c:pt idx="90">
                  <c:v>2.7803151134264313E-2</c:v>
                </c:pt>
                <c:pt idx="91">
                  <c:v>8.0040760921552448E-2</c:v>
                </c:pt>
                <c:pt idx="92">
                  <c:v>5.3219759462163875E-2</c:v>
                </c:pt>
                <c:pt idx="93">
                  <c:v>0.10217588218442389</c:v>
                </c:pt>
                <c:pt idx="94">
                  <c:v>5.0383455516813482E-2</c:v>
                </c:pt>
                <c:pt idx="95">
                  <c:v>2.477408435066801E-2</c:v>
                </c:pt>
                <c:pt idx="96">
                  <c:v>7.200914442903425E-2</c:v>
                </c:pt>
                <c:pt idx="97">
                  <c:v>4.6766934541928228E-2</c:v>
                </c:pt>
                <c:pt idx="98">
                  <c:v>6.585463839223013E-2</c:v>
                </c:pt>
                <c:pt idx="99">
                  <c:v>4.351298305829536E-2</c:v>
                </c:pt>
                <c:pt idx="100">
                  <c:v>4.2627209983574874E-2</c:v>
                </c:pt>
                <c:pt idx="101">
                  <c:v>5.9181513675505393E-2</c:v>
                </c:pt>
                <c:pt idx="102">
                  <c:v>3.8813344020592042E-2</c:v>
                </c:pt>
                <c:pt idx="103">
                  <c:v>1.8688416578928065E-2</c:v>
                </c:pt>
                <c:pt idx="104">
                  <c:v>5.2673613461935491E-2</c:v>
                </c:pt>
                <c:pt idx="105">
                  <c:v>3.492604249736634E-2</c:v>
                </c:pt>
                <c:pt idx="106">
                  <c:v>4.9158056744448807E-2</c:v>
                </c:pt>
                <c:pt idx="107">
                  <c:v>3.2833235047733549E-2</c:v>
                </c:pt>
                <c:pt idx="108">
                  <c:v>3.1254448982842659E-2</c:v>
                </c:pt>
                <c:pt idx="109">
                  <c:v>4.2016810621829798E-2</c:v>
                </c:pt>
                <c:pt idx="110">
                  <c:v>1.379142566888762E-2</c:v>
                </c:pt>
                <c:pt idx="111">
                  <c:v>5.1351840843111389E-2</c:v>
                </c:pt>
                <c:pt idx="112">
                  <c:v>2.4819978822123986E-2</c:v>
                </c:pt>
                <c:pt idx="113">
                  <c:v>1.1877608447835412E-2</c:v>
                </c:pt>
                <c:pt idx="114">
                  <c:v>3.3686879376423819E-2</c:v>
                </c:pt>
                <c:pt idx="115">
                  <c:v>2.1988261157168992E-2</c:v>
                </c:pt>
                <c:pt idx="116">
                  <c:v>4.038294926360466E-2</c:v>
                </c:pt>
                <c:pt idx="117">
                  <c:v>1.0156548557637465E-2</c:v>
                </c:pt>
                <c:pt idx="118">
                  <c:v>9.6287559400781517E-3</c:v>
                </c:pt>
                <c:pt idx="119">
                  <c:v>3.4017322875341822E-2</c:v>
                </c:pt>
                <c:pt idx="120">
                  <c:v>1.5934720754611345E-2</c:v>
                </c:pt>
                <c:pt idx="121">
                  <c:v>1.4723094591911992E-2</c:v>
                </c:pt>
                <c:pt idx="122">
                  <c:v>1.3052518207261242E-2</c:v>
                </c:pt>
                <c:pt idx="123">
                  <c:v>1.3378372672088022E-2</c:v>
                </c:pt>
                <c:pt idx="124">
                  <c:v>2.3085149075956542E-2</c:v>
                </c:pt>
                <c:pt idx="125">
                  <c:v>1.0849561547807867E-2</c:v>
                </c:pt>
                <c:pt idx="126">
                  <c:v>0</c:v>
                </c:pt>
                <c:pt idx="127">
                  <c:v>1.8316666265797397E-2</c:v>
                </c:pt>
                <c:pt idx="128">
                  <c:v>8.7751102345399682E-3</c:v>
                </c:pt>
                <c:pt idx="129">
                  <c:v>1.4034669258984901E-2</c:v>
                </c:pt>
                <c:pt idx="130">
                  <c:v>0</c:v>
                </c:pt>
                <c:pt idx="131">
                  <c:v>6.4528262970835661E-3</c:v>
                </c:pt>
                <c:pt idx="132">
                  <c:v>1.0514529014798638E-2</c:v>
                </c:pt>
                <c:pt idx="133">
                  <c:v>4.6950513804600033E-3</c:v>
                </c:pt>
                <c:pt idx="134">
                  <c:v>3.5889840166420926E-3</c:v>
                </c:pt>
                <c:pt idx="135">
                  <c:v>4.2315135012652976E-3</c:v>
                </c:pt>
                <c:pt idx="136">
                  <c:v>3.7128989518884327E-3</c:v>
                </c:pt>
                <c:pt idx="137">
                  <c:v>5.9846980069497248E-3</c:v>
                </c:pt>
                <c:pt idx="138">
                  <c:v>1.3768479121583589E-3</c:v>
                </c:pt>
                <c:pt idx="139">
                  <c:v>1.3493109539151917E-3</c:v>
                </c:pt>
                <c:pt idx="140">
                  <c:v>4.4793447486058896E-3</c:v>
                </c:pt>
                <c:pt idx="141">
                  <c:v>2.1019882715110653E-3</c:v>
                </c:pt>
                <c:pt idx="142">
                  <c:v>2.4048948121859039E-3</c:v>
                </c:pt>
                <c:pt idx="143">
                  <c:v>7.0678146929198686E-4</c:v>
                </c:pt>
                <c:pt idx="144">
                  <c:v>1.298826071520081E-3</c:v>
                </c:pt>
                <c:pt idx="145">
                  <c:v>2.3498208956995695E-3</c:v>
                </c:pt>
                <c:pt idx="146">
                  <c:v>5.7368708901528692E-4</c:v>
                </c:pt>
                <c:pt idx="147">
                  <c:v>1.4594587868878605E-3</c:v>
                </c:pt>
                <c:pt idx="148">
                  <c:v>8.3528819232537503E-4</c:v>
                </c:pt>
                <c:pt idx="149">
                  <c:v>7.8939234402148825E-4</c:v>
                </c:pt>
                <c:pt idx="150">
                  <c:v>8.9036210881170944E-4</c:v>
                </c:pt>
                <c:pt idx="151">
                  <c:v>5.6909667807615095E-4</c:v>
                </c:pt>
                <c:pt idx="152">
                  <c:v>8.3528819232537503E-4</c:v>
                </c:pt>
                <c:pt idx="153">
                  <c:v>2.7536958243167177E-4</c:v>
                </c:pt>
                <c:pt idx="154">
                  <c:v>4.4059133189067482E-4</c:v>
                </c:pt>
                <c:pt idx="155">
                  <c:v>4.5435981101225843E-4</c:v>
                </c:pt>
                <c:pt idx="156">
                  <c:v>2.4783262418850456E-4</c:v>
                </c:pt>
                <c:pt idx="157">
                  <c:v>2.3406414506692101E-4</c:v>
                </c:pt>
                <c:pt idx="158">
                  <c:v>3.3044349891800612E-4</c:v>
                </c:pt>
                <c:pt idx="159">
                  <c:v>1.7899022858058666E-4</c:v>
                </c:pt>
                <c:pt idx="160">
                  <c:v>2.294751109756972E-4</c:v>
                </c:pt>
                <c:pt idx="161">
                  <c:v>8.7199908820725344E-5</c:v>
                </c:pt>
                <c:pt idx="162">
                  <c:v>1.5604230442864327E-4</c:v>
                </c:pt>
                <c:pt idx="163">
                  <c:v>1.6522174945900306E-4</c:v>
                </c:pt>
                <c:pt idx="164">
                  <c:v>4.5894471455974573E-5</c:v>
                </c:pt>
                <c:pt idx="165">
                  <c:v>5.5073916486334353E-5</c:v>
                </c:pt>
                <c:pt idx="166">
                  <c:v>1.8357513212807396E-5</c:v>
                </c:pt>
                <c:pt idx="167">
                  <c:v>2.7536958243167177E-5</c:v>
                </c:pt>
                <c:pt idx="168">
                  <c:v>3.6716403273526957E-5</c:v>
                </c:pt>
                <c:pt idx="169">
                  <c:v>9.1794450303597787E-6</c:v>
                </c:pt>
                <c:pt idx="170">
                  <c:v>5.0484882395110538E-5</c:v>
                </c:pt>
                <c:pt idx="171">
                  <c:v>9.1794450303597787E-6</c:v>
                </c:pt>
                <c:pt idx="172">
                  <c:v>2.2947924151943369E-5</c:v>
                </c:pt>
                <c:pt idx="173">
                  <c:v>9.1794450303597787E-6</c:v>
                </c:pt>
                <c:pt idx="174">
                  <c:v>0</c:v>
                </c:pt>
                <c:pt idx="175">
                  <c:v>4.5890340912238095E-6</c:v>
                </c:pt>
                <c:pt idx="176">
                  <c:v>1.3768479121583588E-5</c:v>
                </c:pt>
                <c:pt idx="177">
                  <c:v>9.1794450303597787E-6</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(89.8 , 61.5)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89.845115939416431</c:v>
                </c:pt>
              </c:numCache>
            </c:numRef>
          </c:xVal>
          <c:yVal>
            <c:numRef>
              <c:f>info!$W$20:$W$21</c:f>
              <c:numCache>
                <c:formatCode>General</c:formatCode>
                <c:ptCount val="2"/>
                <c:pt idx="0">
                  <c:v>50</c:v>
                </c:pt>
                <c:pt idx="1">
                  <c:v>61.533404221200904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56.426099999999998</c:v>
                      </c:pt>
                    </c:numCache>
                  </c:numRef>
                </c:xVal>
                <c:yVal>
                  <c:numRef>
                    <c:extLst>
                      <c:ext uri="{02D57815-91ED-43cb-92C2-25804820EDAC}">
                        <c15:formulaRef>
                          <c15:sqref>info!$W$18</c15:sqref>
                        </c15:formulaRef>
                      </c:ext>
                    </c:extLst>
                    <c:numCache>
                      <c:formatCode>General</c:formatCode>
                      <c:ptCount val="1"/>
                      <c:pt idx="0">
                        <c:v>53.681899999999999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(89.8 , 61.5)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89.845115939416431</c:v>
                </c:pt>
              </c:numCache>
            </c:numRef>
          </c:xVal>
          <c:yVal>
            <c:numRef>
              <c:f>info!$W$20:$W$21</c:f>
              <c:numCache>
                <c:formatCode>General</c:formatCode>
                <c:ptCount val="2"/>
                <c:pt idx="0">
                  <c:v>50</c:v>
                </c:pt>
                <c:pt idx="1">
                  <c:v>61.533404221200904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46.081800000000001</c:v>
                </c:pt>
                <c:pt idx="1">
                  <c:v>27.0519</c:v>
                </c:pt>
                <c:pt idx="2">
                  <c:v>23.3035</c:v>
                </c:pt>
                <c:pt idx="3">
                  <c:v>33.887999999999998</c:v>
                </c:pt>
                <c:pt idx="4">
                  <c:v>68.150999999999996</c:v>
                </c:pt>
                <c:pt idx="5">
                  <c:v>83.216700000000003</c:v>
                </c:pt>
                <c:pt idx="6">
                  <c:v>31.745899999999999</c:v>
                </c:pt>
                <c:pt idx="7">
                  <c:v>75.096100000000007</c:v>
                </c:pt>
                <c:pt idx="8">
                  <c:v>21.322399999999998</c:v>
                </c:pt>
                <c:pt idx="9">
                  <c:v>26.401199999999999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0.53351084678544924</c:v>
                </c:pt>
                <c:pt idx="1">
                  <c:v>0.26927690094323736</c:v>
                </c:pt>
                <c:pt idx="2">
                  <c:v>0.19721225227131334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7.1011228295418073E-3</c:v>
                </c:pt>
                <c:pt idx="30">
                  <c:v>6.3301397216927943E-3</c:v>
                </c:pt>
                <c:pt idx="31">
                  <c:v>2.1709155051596759E-2</c:v>
                </c:pt>
                <c:pt idx="32">
                  <c:v>2.9621907816063872E-2</c:v>
                </c:pt>
                <c:pt idx="33">
                  <c:v>2.5888677117625838E-2</c:v>
                </c:pt>
                <c:pt idx="34">
                  <c:v>3.716926520421409E-2</c:v>
                </c:pt>
                <c:pt idx="35">
                  <c:v>5.9162578786957798E-2</c:v>
                </c:pt>
                <c:pt idx="36">
                  <c:v>2.6740811857170855E-2</c:v>
                </c:pt>
                <c:pt idx="37">
                  <c:v>4.2647355399835822E-2</c:v>
                </c:pt>
                <c:pt idx="38">
                  <c:v>3.4450671340152304E-2</c:v>
                </c:pt>
                <c:pt idx="39">
                  <c:v>3.2665165015892311E-2</c:v>
                </c:pt>
                <c:pt idx="40">
                  <c:v>2.6294435276105858E-2</c:v>
                </c:pt>
                <c:pt idx="41">
                  <c:v>1.9315054096353718E-2</c:v>
                </c:pt>
                <c:pt idx="42">
                  <c:v>3.8183873634099023E-2</c:v>
                </c:pt>
                <c:pt idx="43">
                  <c:v>4.1267749256512443E-2</c:v>
                </c:pt>
                <c:pt idx="44">
                  <c:v>5.1371510863297706E-2</c:v>
                </c:pt>
                <c:pt idx="45">
                  <c:v>2.4833649096595155E-2</c:v>
                </c:pt>
                <c:pt idx="46">
                  <c:v>2.2967047949621795E-2</c:v>
                </c:pt>
                <c:pt idx="47">
                  <c:v>3.2705783438477291E-2</c:v>
                </c:pt>
                <c:pt idx="48">
                  <c:v>2.1181626838835756E-2</c:v>
                </c:pt>
                <c:pt idx="49">
                  <c:v>3.3476681332852344E-2</c:v>
                </c:pt>
                <c:pt idx="50">
                  <c:v>3.2949209929073985E-2</c:v>
                </c:pt>
                <c:pt idx="51">
                  <c:v>8.2373024822684961E-3</c:v>
                </c:pt>
                <c:pt idx="52">
                  <c:v>2.4549604183413481E-2</c:v>
                </c:pt>
                <c:pt idx="53">
                  <c:v>2.9621907816063872E-2</c:v>
                </c:pt>
                <c:pt idx="54">
                  <c:v>3.3233254842255658E-2</c:v>
                </c:pt>
                <c:pt idx="55">
                  <c:v>6.0907466688632804E-2</c:v>
                </c:pt>
                <c:pt idx="56">
                  <c:v>3.5870895906060671E-2</c:v>
                </c:pt>
                <c:pt idx="57">
                  <c:v>3.6154940819242344E-2</c:v>
                </c:pt>
                <c:pt idx="58">
                  <c:v>3.4328816072397364E-2</c:v>
                </c:pt>
                <c:pt idx="59">
                  <c:v>3.2989828351658965E-2</c:v>
                </c:pt>
                <c:pt idx="60">
                  <c:v>8.3427967630241684E-2</c:v>
                </c:pt>
                <c:pt idx="61">
                  <c:v>5.6687127368579525E-2</c:v>
                </c:pt>
                <c:pt idx="62">
                  <c:v>0.12011037985326241</c:v>
                </c:pt>
                <c:pt idx="63">
                  <c:v>5.3441062100739366E-2</c:v>
                </c:pt>
                <c:pt idx="64">
                  <c:v>0.11284706737829385</c:v>
                </c:pt>
                <c:pt idx="65">
                  <c:v>0.15265397364631297</c:v>
                </c:pt>
                <c:pt idx="66">
                  <c:v>0.24813339885302663</c:v>
                </c:pt>
                <c:pt idx="67">
                  <c:v>0.30786491960108731</c:v>
                </c:pt>
                <c:pt idx="68">
                  <c:v>0.28542537145973523</c:v>
                </c:pt>
                <c:pt idx="69">
                  <c:v>0.22703312247732613</c:v>
                </c:pt>
                <c:pt idx="70">
                  <c:v>0.46189679512124454</c:v>
                </c:pt>
                <c:pt idx="71">
                  <c:v>0.44018724240676932</c:v>
                </c:pt>
                <c:pt idx="72">
                  <c:v>0.2649326671533303</c:v>
                </c:pt>
                <c:pt idx="73">
                  <c:v>0.5699162351551027</c:v>
                </c:pt>
                <c:pt idx="74">
                  <c:v>0.3552180470776039</c:v>
                </c:pt>
                <c:pt idx="75">
                  <c:v>0.49651050824156318</c:v>
                </c:pt>
                <c:pt idx="76">
                  <c:v>0.41710007186336306</c:v>
                </c:pt>
                <c:pt idx="77">
                  <c:v>0.3439386235751597</c:v>
                </c:pt>
                <c:pt idx="78">
                  <c:v>0.48636726439184569</c:v>
                </c:pt>
                <c:pt idx="79">
                  <c:v>0.418480530141426</c:v>
                </c:pt>
                <c:pt idx="80">
                  <c:v>0.50000142022456595</c:v>
                </c:pt>
                <c:pt idx="81">
                  <c:v>0.33606489858176375</c:v>
                </c:pt>
                <c:pt idx="82">
                  <c:v>0.34600647054312228</c:v>
                </c:pt>
                <c:pt idx="83">
                  <c:v>0.4764256924304871</c:v>
                </c:pt>
                <c:pt idx="84">
                  <c:v>0.32835591963801319</c:v>
                </c:pt>
                <c:pt idx="85">
                  <c:v>0.33152017997085698</c:v>
                </c:pt>
                <c:pt idx="86">
                  <c:v>0.77808139022942313</c:v>
                </c:pt>
                <c:pt idx="87">
                  <c:v>0.31293512130138013</c:v>
                </c:pt>
                <c:pt idx="88">
                  <c:v>0.41543556867211845</c:v>
                </c:pt>
                <c:pt idx="89">
                  <c:v>0.26448643259472188</c:v>
                </c:pt>
                <c:pt idx="90">
                  <c:v>0.29451480868154872</c:v>
                </c:pt>
                <c:pt idx="91">
                  <c:v>0.35550209199078558</c:v>
                </c:pt>
                <c:pt idx="92">
                  <c:v>0.23352553705791959</c:v>
                </c:pt>
                <c:pt idx="93">
                  <c:v>0.37538523591350265</c:v>
                </c:pt>
                <c:pt idx="94">
                  <c:v>0.30680827252405146</c:v>
                </c:pt>
                <c:pt idx="95">
                  <c:v>0.233931153193943</c:v>
                </c:pt>
                <c:pt idx="96">
                  <c:v>0.30672873994836064</c:v>
                </c:pt>
                <c:pt idx="97">
                  <c:v>0.22699250405474114</c:v>
                </c:pt>
                <c:pt idx="98">
                  <c:v>0.34876738709924815</c:v>
                </c:pt>
                <c:pt idx="99">
                  <c:v>0.33273873264840637</c:v>
                </c:pt>
                <c:pt idx="100">
                  <c:v>0.33290063824891991</c:v>
                </c:pt>
                <c:pt idx="101">
                  <c:v>0.45402591057698038</c:v>
                </c:pt>
                <c:pt idx="102">
                  <c:v>0.24699721920029996</c:v>
                </c:pt>
                <c:pt idx="103">
                  <c:v>0.42789377856426658</c:v>
                </c:pt>
                <c:pt idx="104">
                  <c:v>0.58732250743487557</c:v>
                </c:pt>
                <c:pt idx="105">
                  <c:v>0.49273555134537877</c:v>
                </c:pt>
                <c:pt idx="106">
                  <c:v>0.61499700332616591</c:v>
                </c:pt>
                <c:pt idx="107">
                  <c:v>0.55295307293989326</c:v>
                </c:pt>
                <c:pt idx="108">
                  <c:v>0.45098094910767289</c:v>
                </c:pt>
                <c:pt idx="109">
                  <c:v>0.80762206120031699</c:v>
                </c:pt>
                <c:pt idx="110">
                  <c:v>0.35290592148430511</c:v>
                </c:pt>
                <c:pt idx="111">
                  <c:v>0.88780225929323942</c:v>
                </c:pt>
                <c:pt idx="112">
                  <c:v>0.64421386309603268</c:v>
                </c:pt>
                <c:pt idx="113">
                  <c:v>0.35919467586214732</c:v>
                </c:pt>
                <c:pt idx="114">
                  <c:v>0.78510014003414219</c:v>
                </c:pt>
                <c:pt idx="115">
                  <c:v>0.55834992629034497</c:v>
                </c:pt>
                <c:pt idx="116">
                  <c:v>0.6621484589143235</c:v>
                </c:pt>
                <c:pt idx="117">
                  <c:v>0.51667769707746192</c:v>
                </c:pt>
                <c:pt idx="118">
                  <c:v>0.6013230812056003</c:v>
                </c:pt>
                <c:pt idx="119">
                  <c:v>0.53193374936444948</c:v>
                </c:pt>
                <c:pt idx="120">
                  <c:v>0.54905881718017246</c:v>
                </c:pt>
                <c:pt idx="121">
                  <c:v>0.70922038192679027</c:v>
                </c:pt>
                <c:pt idx="122">
                  <c:v>0.62262644969422565</c:v>
                </c:pt>
                <c:pt idx="123">
                  <c:v>0.31269368312517576</c:v>
                </c:pt>
                <c:pt idx="124">
                  <c:v>0.93288586791343442</c:v>
                </c:pt>
                <c:pt idx="125">
                  <c:v>0.64579599326245474</c:v>
                </c:pt>
                <c:pt idx="126">
                  <c:v>0</c:v>
                </c:pt>
                <c:pt idx="127">
                  <c:v>0.91499103838298901</c:v>
                </c:pt>
                <c:pt idx="128">
                  <c:v>0.75860159008342398</c:v>
                </c:pt>
                <c:pt idx="129">
                  <c:v>1</c:v>
                </c:pt>
                <c:pt idx="130">
                  <c:v>0</c:v>
                </c:pt>
                <c:pt idx="131">
                  <c:v>0.7976804892389584</c:v>
                </c:pt>
                <c:pt idx="132">
                  <c:v>0.99850024285840089</c:v>
                </c:pt>
                <c:pt idx="133">
                  <c:v>0.32097075189528967</c:v>
                </c:pt>
                <c:pt idx="134">
                  <c:v>0.52552285567393919</c:v>
                </c:pt>
                <c:pt idx="135">
                  <c:v>0.68840273023970555</c:v>
                </c:pt>
                <c:pt idx="136">
                  <c:v>0.35229806537009634</c:v>
                </c:pt>
                <c:pt idx="137">
                  <c:v>0.57669354678361751</c:v>
                </c:pt>
                <c:pt idx="138">
                  <c:v>0.58070994185600622</c:v>
                </c:pt>
                <c:pt idx="139">
                  <c:v>0.36901410851083777</c:v>
                </c:pt>
                <c:pt idx="140">
                  <c:v>0.46441343305203425</c:v>
                </c:pt>
                <c:pt idx="141">
                  <c:v>0.43872725155301556</c:v>
                </c:pt>
                <c:pt idx="142">
                  <c:v>0.37461547419878027</c:v>
                </c:pt>
                <c:pt idx="143">
                  <c:v>0.16442138630960326</c:v>
                </c:pt>
                <c:pt idx="144">
                  <c:v>0.21964795473460264</c:v>
                </c:pt>
                <c:pt idx="145">
                  <c:v>0.27373805946196211</c:v>
                </c:pt>
                <c:pt idx="146">
                  <c:v>0.10822111192221714</c:v>
                </c:pt>
                <c:pt idx="147">
                  <c:v>0.28883391041791528</c:v>
                </c:pt>
                <c:pt idx="148">
                  <c:v>0.14303678097580788</c:v>
                </c:pt>
                <c:pt idx="149">
                  <c:v>0.14583689572995281</c:v>
                </c:pt>
                <c:pt idx="150">
                  <c:v>0.1754585195011035</c:v>
                </c:pt>
                <c:pt idx="151">
                  <c:v>0.13849206236490114</c:v>
                </c:pt>
                <c:pt idx="152">
                  <c:v>0.15001633258250796</c:v>
                </c:pt>
                <c:pt idx="153">
                  <c:v>9.7021505040376974E-2</c:v>
                </c:pt>
                <c:pt idx="154">
                  <c:v>0.14705402818293628</c:v>
                </c:pt>
                <c:pt idx="155">
                  <c:v>0.14457886080947119</c:v>
                </c:pt>
                <c:pt idx="156">
                  <c:v>0.14169779325506948</c:v>
                </c:pt>
                <c:pt idx="157">
                  <c:v>0.11288768580087884</c:v>
                </c:pt>
                <c:pt idx="158">
                  <c:v>9.3978247840548548E-2</c:v>
                </c:pt>
                <c:pt idx="159">
                  <c:v>8.6187463961801644E-2</c:v>
                </c:pt>
                <c:pt idx="160">
                  <c:v>0.10083594417949365</c:v>
                </c:pt>
                <c:pt idx="161">
                  <c:v>8.3752630966008351E-2</c:v>
                </c:pt>
                <c:pt idx="162">
                  <c:v>8.7445214837370083E-2</c:v>
                </c:pt>
                <c:pt idx="163">
                  <c:v>8.3833867811178311E-2</c:v>
                </c:pt>
                <c:pt idx="164">
                  <c:v>3.0433424133023915E-2</c:v>
                </c:pt>
                <c:pt idx="165">
                  <c:v>4.5812467867419195E-2</c:v>
                </c:pt>
                <c:pt idx="166">
                  <c:v>2.081643029395808E-2</c:v>
                </c:pt>
                <c:pt idx="167">
                  <c:v>1.5784773488383985E-2</c:v>
                </c:pt>
                <c:pt idx="168">
                  <c:v>3.1528985363165625E-2</c:v>
                </c:pt>
                <c:pt idx="169">
                  <c:v>2.5198845641472831E-2</c:v>
                </c:pt>
                <c:pt idx="170">
                  <c:v>2.4955362341893501E-2</c:v>
                </c:pt>
                <c:pt idx="171">
                  <c:v>5.3806343859090999E-2</c:v>
                </c:pt>
                <c:pt idx="172">
                  <c:v>1.2782021093175253E-2</c:v>
                </c:pt>
                <c:pt idx="173">
                  <c:v>9.5357853983871928E-3</c:v>
                </c:pt>
                <c:pt idx="174">
                  <c:v>6.0866848266047831E-3</c:v>
                </c:pt>
                <c:pt idx="175">
                  <c:v>6.0866848266047831E-3</c:v>
                </c:pt>
                <c:pt idx="176">
                  <c:v>1.5013790380534971E-2</c:v>
                </c:pt>
                <c:pt idx="177">
                  <c:v>9.0488472037198522E-3</c:v>
                </c:pt>
                <c:pt idx="178">
                  <c:v>3.0433424133023915E-3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extLst xmlns:c15="http://schemas.microsoft.com/office/drawing/2012/chart"/>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4.0938600000000003</c:v>
                </c:pt>
              </c:numCache>
            </c:numRef>
          </c:xVal>
          <c:yVal>
            <c:numRef>
              <c:f>[0]!FT_PH01</c:f>
              <c:numCache>
                <c:formatCode>0.00</c:formatCode>
                <c:ptCount val="1"/>
                <c:pt idx="0">
                  <c:v>36.8889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4.0938600000000003</c:v>
                </c:pt>
              </c:numCache>
            </c:numRef>
          </c:xVal>
          <c:yVal>
            <c:numRef>
              <c:f>[0]!FT_PH02</c:f>
              <c:numCache>
                <c:formatCode>0.00</c:formatCode>
                <c:ptCount val="1"/>
                <c:pt idx="0">
                  <c:v>36.8889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4.0938600000000003</c:v>
                </c:pt>
              </c:numCache>
            </c:numRef>
          </c:xVal>
          <c:yVal>
            <c:numRef>
              <c:f>[0]!FT_PH03</c:f>
              <c:numCache>
                <c:formatCode>0.00</c:formatCode>
                <c:ptCount val="1"/>
                <c:pt idx="0">
                  <c:v>36.8889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4.0938600000000003</c:v>
                </c:pt>
              </c:numCache>
            </c:numRef>
          </c:xVal>
          <c:yVal>
            <c:numRef>
              <c:f>[0]!FT_PH04</c:f>
              <c:numCache>
                <c:formatCode>0.00</c:formatCode>
                <c:ptCount val="1"/>
                <c:pt idx="0">
                  <c:v>36.8889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4.0938600000000003</c:v>
                </c:pt>
              </c:numCache>
            </c:numRef>
          </c:xVal>
          <c:yVal>
            <c:numRef>
              <c:f>[0]!FT_PH05</c:f>
              <c:numCache>
                <c:formatCode>0.00</c:formatCode>
                <c:ptCount val="1"/>
                <c:pt idx="0">
                  <c:v>36.8889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4.0938600000000003</c:v>
                </c:pt>
              </c:numCache>
            </c:numRef>
          </c:xVal>
          <c:yVal>
            <c:numRef>
              <c:f>[0]!FT_PH06</c:f>
              <c:numCache>
                <c:formatCode>0.00</c:formatCode>
                <c:ptCount val="1"/>
                <c:pt idx="0">
                  <c:v>36.8889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4.0938600000000003</c:v>
                </c:pt>
              </c:numCache>
            </c:numRef>
          </c:xVal>
          <c:yVal>
            <c:numRef>
              <c:f>[0]!FT_PH07</c:f>
              <c:numCache>
                <c:formatCode>0.00</c:formatCode>
                <c:ptCount val="1"/>
                <c:pt idx="0">
                  <c:v>36.8889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4.0938600000000003</c:v>
                </c:pt>
              </c:numCache>
            </c:numRef>
          </c:xVal>
          <c:yVal>
            <c:numRef>
              <c:f>[0]!FT_PH08</c:f>
              <c:numCache>
                <c:formatCode>0.00</c:formatCode>
                <c:ptCount val="1"/>
                <c:pt idx="0">
                  <c:v>36.8889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4.0938600000000003</c:v>
                </c:pt>
              </c:numCache>
            </c:numRef>
          </c:xVal>
          <c:yVal>
            <c:numRef>
              <c:f>[0]!FT_PH09</c:f>
              <c:numCache>
                <c:formatCode>0.00</c:formatCode>
                <c:ptCount val="1"/>
                <c:pt idx="0">
                  <c:v>36.8889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4.0938600000000003</c:v>
                </c:pt>
              </c:numCache>
            </c:numRef>
          </c:xVal>
          <c:yVal>
            <c:numRef>
              <c:f>[0]!FT_PH10</c:f>
              <c:numCache>
                <c:formatCode>0.00</c:formatCode>
                <c:ptCount val="1"/>
                <c:pt idx="0">
                  <c:v>36.8889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4.0938600000000003</c:v>
                </c:pt>
              </c:numCache>
            </c:numRef>
          </c:xVal>
          <c:yVal>
            <c:numRef>
              <c:f>[0]!FT_PH11</c:f>
              <c:numCache>
                <c:formatCode>0.00</c:formatCode>
                <c:ptCount val="1"/>
                <c:pt idx="0">
                  <c:v>36.8889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4.0938600000000003</c:v>
                </c:pt>
              </c:numCache>
            </c:numRef>
          </c:xVal>
          <c:yVal>
            <c:numRef>
              <c:f>[0]!FT_PH12</c:f>
              <c:numCache>
                <c:formatCode>0.00</c:formatCode>
                <c:ptCount val="1"/>
                <c:pt idx="0">
                  <c:v>36.8889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4.0938600000000003</c:v>
                </c:pt>
              </c:numCache>
            </c:numRef>
          </c:xVal>
          <c:yVal>
            <c:numRef>
              <c:f>[0]!FT_PH13</c:f>
              <c:numCache>
                <c:formatCode>0.00</c:formatCode>
                <c:ptCount val="1"/>
                <c:pt idx="0">
                  <c:v>36.8889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4.0938600000000003</c:v>
                </c:pt>
              </c:numCache>
            </c:numRef>
          </c:xVal>
          <c:yVal>
            <c:numRef>
              <c:f>[0]!FT_PH14</c:f>
              <c:numCache>
                <c:formatCode>0.00</c:formatCode>
                <c:ptCount val="1"/>
                <c:pt idx="0">
                  <c:v>36.8889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4.0938600000000003</c:v>
                </c:pt>
              </c:numCache>
            </c:numRef>
          </c:xVal>
          <c:yVal>
            <c:numRef>
              <c:f>[0]!FT_PH15</c:f>
              <c:numCache>
                <c:formatCode>0.00</c:formatCode>
                <c:ptCount val="1"/>
                <c:pt idx="0">
                  <c:v>36.8889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4.0938600000000003</c:v>
                </c:pt>
              </c:numCache>
            </c:numRef>
          </c:xVal>
          <c:yVal>
            <c:numRef>
              <c:f>[0]!FT_PH16</c:f>
              <c:numCache>
                <c:formatCode>0.00</c:formatCode>
                <c:ptCount val="1"/>
                <c:pt idx="0">
                  <c:v>36.8889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4.0938600000000003</c:v>
                </c:pt>
              </c:numCache>
            </c:numRef>
          </c:xVal>
          <c:yVal>
            <c:numRef>
              <c:f>[0]!FT_PH17</c:f>
              <c:numCache>
                <c:formatCode>0.00</c:formatCode>
                <c:ptCount val="1"/>
                <c:pt idx="0">
                  <c:v>36.8889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4.0938600000000003</c:v>
                </c:pt>
              </c:numCache>
            </c:numRef>
          </c:xVal>
          <c:yVal>
            <c:numRef>
              <c:f>[0]!FT_PH18</c:f>
              <c:numCache>
                <c:formatCode>0.00</c:formatCode>
                <c:ptCount val="1"/>
                <c:pt idx="0">
                  <c:v>36.8889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4.0938600000000003</c:v>
                </c:pt>
              </c:numCache>
            </c:numRef>
          </c:xVal>
          <c:yVal>
            <c:numRef>
              <c:f>[0]!FT_PH19</c:f>
              <c:numCache>
                <c:formatCode>0.00</c:formatCode>
                <c:ptCount val="1"/>
                <c:pt idx="0">
                  <c:v>36.8889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4.0938600000000003</c:v>
                </c:pt>
              </c:numCache>
            </c:numRef>
          </c:xVal>
          <c:yVal>
            <c:numRef>
              <c:f>[0]!FT_PH20</c:f>
              <c:numCache>
                <c:formatCode>0.00</c:formatCode>
                <c:ptCount val="1"/>
                <c:pt idx="0">
                  <c:v>36.8889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4.0938600000000003</c:v>
                </c:pt>
              </c:numCache>
            </c:numRef>
          </c:xVal>
          <c:yVal>
            <c:numRef>
              <c:f>[0]!FT_PH21</c:f>
              <c:numCache>
                <c:formatCode>0.00</c:formatCode>
                <c:ptCount val="1"/>
                <c:pt idx="0">
                  <c:v>36.8889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4.0938600000000003</c:v>
                </c:pt>
              </c:numCache>
            </c:numRef>
          </c:xVal>
          <c:yVal>
            <c:numRef>
              <c:f>[0]!FT_PH22</c:f>
              <c:numCache>
                <c:formatCode>0.00</c:formatCode>
                <c:ptCount val="1"/>
                <c:pt idx="0">
                  <c:v>36.8889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4.0938600000000003</c:v>
                </c:pt>
              </c:numCache>
            </c:numRef>
          </c:xVal>
          <c:yVal>
            <c:numRef>
              <c:f>[0]!FT_PH23</c:f>
              <c:numCache>
                <c:formatCode>0.00</c:formatCode>
                <c:ptCount val="1"/>
                <c:pt idx="0">
                  <c:v>36.8889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4.0938600000000003</c:v>
                </c:pt>
              </c:numCache>
            </c:numRef>
          </c:xVal>
          <c:yVal>
            <c:numRef>
              <c:f>[0]!FT_PH24</c:f>
              <c:numCache>
                <c:formatCode>0.00</c:formatCode>
                <c:ptCount val="1"/>
                <c:pt idx="0">
                  <c:v>36.8889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4.0938600000000003</c:v>
                </c:pt>
              </c:numCache>
            </c:numRef>
          </c:xVal>
          <c:yVal>
            <c:numRef>
              <c:f>info!$H$2</c:f>
              <c:numCache>
                <c:formatCode>0.00</c:formatCode>
                <c:ptCount val="1"/>
                <c:pt idx="0">
                  <c:v>36.8889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0.24478449275418504</c:v>
                </c:pt>
                <c:pt idx="1">
                  <c:v>0.27293810359197751</c:v>
                </c:pt>
                <c:pt idx="2">
                  <c:v>0.48227740365383731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[0]!FT_E</c:f>
              <c:numCache>
                <c:formatCode>0.00</c:formatCode>
                <c:ptCount val="25"/>
                <c:pt idx="0">
                  <c:v>4.0938600000000003</c:v>
                </c:pt>
                <c:pt idx="1">
                  <c:v>4.1611700000000003</c:v>
                </c:pt>
                <c:pt idx="2">
                  <c:v>4.2306500000000007</c:v>
                </c:pt>
                <c:pt idx="3">
                  <c:v>4.2387699999999997</c:v>
                </c:pt>
                <c:pt idx="4">
                  <c:v>4.2558100000000003</c:v>
                </c:pt>
                <c:pt idx="5">
                  <c:v>4.2792200000000005</c:v>
                </c:pt>
                <c:pt idx="6">
                  <c:v>4.3070000000000004</c:v>
                </c:pt>
                <c:pt idx="7">
                  <c:v>4.3376399999999995</c:v>
                </c:pt>
                <c:pt idx="8">
                  <c:v>4.36348</c:v>
                </c:pt>
                <c:pt idx="9">
                  <c:v>4.3918299999999997</c:v>
                </c:pt>
                <c:pt idx="10">
                  <c:v>4.4163399999999999</c:v>
                </c:pt>
                <c:pt idx="11">
                  <c:v>4.4274300000000002</c:v>
                </c:pt>
                <c:pt idx="12">
                  <c:v>4.4254500000000005</c:v>
                </c:pt>
                <c:pt idx="13">
                  <c:v>4.4228199999999998</c:v>
                </c:pt>
                <c:pt idx="14">
                  <c:v>4.4060700000000006</c:v>
                </c:pt>
                <c:pt idx="15">
                  <c:v>4.3857800000000005</c:v>
                </c:pt>
                <c:pt idx="16">
                  <c:v>4.3611699999999995</c:v>
                </c:pt>
                <c:pt idx="17">
                  <c:v>4.3181000000000003</c:v>
                </c:pt>
                <c:pt idx="18">
                  <c:v>4.2837399999999999</c:v>
                </c:pt>
                <c:pt idx="19">
                  <c:v>4.2589199999999998</c:v>
                </c:pt>
                <c:pt idx="20">
                  <c:v>4.2346399999999997</c:v>
                </c:pt>
                <c:pt idx="21">
                  <c:v>4.2110700000000003</c:v>
                </c:pt>
                <c:pt idx="22">
                  <c:v>4.1964699999999997</c:v>
                </c:pt>
                <c:pt idx="23">
                  <c:v>4.1848099999999997</c:v>
                </c:pt>
                <c:pt idx="24">
                  <c:v>4.1714500000000001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4.0938600000000003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4.0938600000000003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4.0938600000000003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4.0938600000000003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4.0938600000000003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4.0938600000000003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4.0938600000000003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4.0938600000000003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4.0938600000000003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4.0938600000000003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4.0938600000000003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4.0938600000000003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4.0938600000000003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4.0938600000000003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4.0938600000000003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4.0938600000000003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4.0938600000000003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4.0938600000000003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4.0938600000000003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4.0938600000000003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4.0938600000000003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4.0938600000000003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4.0938600000000003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4.0938600000000003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0.34353899999999998</c:v>
                </c:pt>
                <c:pt idx="2">
                  <c:v>0.76494300000000004</c:v>
                </c:pt>
                <c:pt idx="3">
                  <c:v>1.1724300000000001</c:v>
                </c:pt>
                <c:pt idx="4">
                  <c:v>1.57494</c:v>
                </c:pt>
                <c:pt idx="5">
                  <c:v>1.9799899999999999</c:v>
                </c:pt>
                <c:pt idx="6">
                  <c:v>2.4012099999999998</c:v>
                </c:pt>
                <c:pt idx="7">
                  <c:v>2.798</c:v>
                </c:pt>
                <c:pt idx="8">
                  <c:v>3.1953900000000002</c:v>
                </c:pt>
                <c:pt idx="9">
                  <c:v>3.6287600000000002</c:v>
                </c:pt>
                <c:pt idx="10">
                  <c:v>4.0228400000000004</c:v>
                </c:pt>
                <c:pt idx="11">
                  <c:v>4.42882</c:v>
                </c:pt>
                <c:pt idx="12">
                  <c:v>4.8328800000000003</c:v>
                </c:pt>
                <c:pt idx="13">
                  <c:v>5.2393900000000002</c:v>
                </c:pt>
                <c:pt idx="14">
                  <c:v>5.6501599999999996</c:v>
                </c:pt>
                <c:pt idx="15">
                  <c:v>6.07348</c:v>
                </c:pt>
                <c:pt idx="16">
                  <c:v>6.4428599999999996</c:v>
                </c:pt>
                <c:pt idx="17">
                  <c:v>6.86069</c:v>
                </c:pt>
                <c:pt idx="18">
                  <c:v>7.2618400000000003</c:v>
                </c:pt>
                <c:pt idx="19">
                  <c:v>7.6679000000000004</c:v>
                </c:pt>
                <c:pt idx="20">
                  <c:v>8.0766100000000005</c:v>
                </c:pt>
                <c:pt idx="21">
                  <c:v>8.4776500000000006</c:v>
                </c:pt>
                <c:pt idx="22">
                  <c:v>8.8988200000000006</c:v>
                </c:pt>
                <c:pt idx="23">
                  <c:v>9.2935099999999995</c:v>
                </c:pt>
                <c:pt idx="24">
                  <c:v>9.7190999999999992</c:v>
                </c:pt>
              </c:numCache>
            </c:numRef>
          </c:xVal>
          <c:yVal>
            <c:numRef>
              <c:f>[0]!FT_PH</c:f>
              <c:numCache>
                <c:formatCode>0.00</c:formatCode>
                <c:ptCount val="25"/>
                <c:pt idx="0">
                  <c:v>36.8889</c:v>
                </c:pt>
                <c:pt idx="1">
                  <c:v>38.227499999999999</c:v>
                </c:pt>
                <c:pt idx="2">
                  <c:v>40.007399999999997</c:v>
                </c:pt>
                <c:pt idx="3">
                  <c:v>40.433599999999998</c:v>
                </c:pt>
                <c:pt idx="4">
                  <c:v>40.590499999999999</c:v>
                </c:pt>
                <c:pt idx="5">
                  <c:v>40.819899999999997</c:v>
                </c:pt>
                <c:pt idx="6">
                  <c:v>41.645400000000002</c:v>
                </c:pt>
                <c:pt idx="7">
                  <c:v>42.625500000000002</c:v>
                </c:pt>
                <c:pt idx="8">
                  <c:v>43.772299999999994</c:v>
                </c:pt>
                <c:pt idx="9">
                  <c:v>44.9846</c:v>
                </c:pt>
                <c:pt idx="10">
                  <c:v>45.9846</c:v>
                </c:pt>
                <c:pt idx="11">
                  <c:v>46.912500000000001</c:v>
                </c:pt>
                <c:pt idx="12">
                  <c:v>47.805700000000002</c:v>
                </c:pt>
                <c:pt idx="13">
                  <c:v>48.532299999999999</c:v>
                </c:pt>
                <c:pt idx="14">
                  <c:v>48.838900000000002</c:v>
                </c:pt>
                <c:pt idx="15">
                  <c:v>48.9024</c:v>
                </c:pt>
                <c:pt idx="16">
                  <c:v>48.719200000000001</c:v>
                </c:pt>
                <c:pt idx="17">
                  <c:v>48.325200000000002</c:v>
                </c:pt>
                <c:pt idx="18">
                  <c:v>48.188299999999998</c:v>
                </c:pt>
                <c:pt idx="19">
                  <c:v>48.078299999999999</c:v>
                </c:pt>
                <c:pt idx="20">
                  <c:v>47.964700000000001</c:v>
                </c:pt>
                <c:pt idx="21">
                  <c:v>47.795900000000003</c:v>
                </c:pt>
                <c:pt idx="22">
                  <c:v>47.555700000000002</c:v>
                </c:pt>
                <c:pt idx="23">
                  <c:v>47.305100000000003</c:v>
                </c:pt>
                <c:pt idx="24">
                  <c:v>47.616900000000001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36.8889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36.8889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36.8889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36.8889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36.8889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36.8889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36.8889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36.8889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36.8889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36.8889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36.8889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36.8889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36.8889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36.8889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36.8889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36.8889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36.8889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36.8889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36.8889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36.8889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36.8889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36.8889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36.8889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36.8889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81.55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1.1770543771276178</c:v>
                </c:pt>
                <c:pt idx="1">
                  <c:v>1.1770543771276178</c:v>
                </c:pt>
                <c:pt idx="2">
                  <c:v>-7</c:v>
                </c:pt>
              </c:numCache>
            </c:numRef>
          </c:xVal>
          <c:yVal>
            <c:numRef>
              <c:f>'R'!$I$5:$I$7</c:f>
              <c:numCache>
                <c:formatCode>0.0_ </c:formatCode>
                <c:ptCount val="3"/>
                <c:pt idx="0">
                  <c:v>0</c:v>
                </c:pt>
                <c:pt idx="1">
                  <c:v>81.545665653174055</c:v>
                </c:pt>
                <c:pt idx="2">
                  <c:v>81.545665653174055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1.1770543771276178</c:v>
                </c:pt>
              </c:numCache>
            </c:numRef>
          </c:xVal>
          <c:yVal>
            <c:numRef>
              <c:f>'R'!$I$4</c:f>
              <c:numCache>
                <c:formatCode>0.00_ </c:formatCode>
                <c:ptCount val="1"/>
                <c:pt idx="0">
                  <c:v>81.545665653174055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54.574660000000002</c:v>
                </c:pt>
                <c:pt idx="1">
                  <c:v>54.574660000000002</c:v>
                </c:pt>
                <c:pt idx="2">
                  <c:v>0</c:v>
                </c:pt>
              </c:numCache>
            </c:numRef>
          </c:xVal>
          <c:yVal>
            <c:numRef>
              <c:f>'R2'!$I$5:$I$7</c:f>
              <c:numCache>
                <c:formatCode>0.0_ </c:formatCode>
                <c:ptCount val="3"/>
                <c:pt idx="0">
                  <c:v>0</c:v>
                </c:pt>
                <c:pt idx="1">
                  <c:v>58.163023009108997</c:v>
                </c:pt>
                <c:pt idx="2">
                  <c:v>58.163023009108997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2.1090599999999999</c:v>
                </c:pt>
                <c:pt idx="1">
                  <c:v>2.1090599999999999</c:v>
                </c:pt>
                <c:pt idx="2">
                  <c:v>0</c:v>
                </c:pt>
              </c:numCache>
            </c:numRef>
          </c:xVal>
          <c:yVal>
            <c:numRef>
              <c:f>'R3'!$I$6:$I$8</c:f>
              <c:numCache>
                <c:formatCode>0.0_ </c:formatCode>
                <c:ptCount val="3"/>
                <c:pt idx="0">
                  <c:v>0</c:v>
                </c:pt>
                <c:pt idx="1">
                  <c:v>61.533404221200904</c:v>
                </c:pt>
                <c:pt idx="2">
                  <c:v>61.533404221200904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2.1090599999999999</c:v>
                </c:pt>
                <c:pt idx="1">
                  <c:v>2.1090599999999999</c:v>
                </c:pt>
                <c:pt idx="2">
                  <c:v>0</c:v>
                </c:pt>
              </c:numCache>
            </c:numRef>
          </c:xVal>
          <c:yVal>
            <c:numRef>
              <c:f>'R4'!$I$5:$I$7</c:f>
              <c:numCache>
                <c:formatCode>0.0_ </c:formatCode>
                <c:ptCount val="3"/>
                <c:pt idx="0">
                  <c:v>0</c:v>
                </c:pt>
                <c:pt idx="1">
                  <c:v>7.4099311450940897E-2</c:v>
                </c:pt>
                <c:pt idx="2">
                  <c:v>7.4099311450940897E-2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0.59187316694115988</c:v>
                </c:pt>
                <c:pt idx="1">
                  <c:v>0.29873389286397861</c:v>
                </c:pt>
                <c:pt idx="2">
                  <c:v>0.10939294019486154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0.32256816014137346</c:v>
                </c:pt>
                <c:pt idx="1">
                  <c:v>0.3596679712736196</c:v>
                </c:pt>
                <c:pt idx="2">
                  <c:v>0.31776386858500683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(89.8 , 61.5)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89.845115939416431</c:v>
                      </c:pt>
                    </c:numCache>
                  </c:numRef>
                </c:xVal>
                <c:yVal>
                  <c:numRef>
                    <c:extLst>
                      <c:ext uri="{02D57815-91ED-43cb-92C2-25804820EDAC}">
                        <c15:formulaRef>
                          <c15:sqref>info!$W$20:$W$21</c15:sqref>
                        </c15:formulaRef>
                      </c:ext>
                    </c:extLst>
                    <c:numCache>
                      <c:formatCode>General</c:formatCode>
                      <c:ptCount val="2"/>
                      <c:pt idx="0">
                        <c:v>50</c:v>
                      </c:pt>
                      <c:pt idx="1">
                        <c:v>61.533404221200904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(56.4 , 46.3)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56.426099999999998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53.681899999999999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rTn%5e1%5e1%5e\2025-05-02%2015_36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rTn%5e1%5e1%5e\2025-05-02%2015_36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3376625-E0B8-7FE8-AF55-4ED6B545F23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CE4992-9926-B1B5-AFCE-2AE0C73782C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45779.650729166664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arTn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45779.650729166664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arTn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( 91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1.1770543771276178</v>
      </c>
      <c r="I20" s="862"/>
      <c r="J20" s="311" t="str">
        <f>lang!B174</f>
        <v>정보량</v>
      </c>
      <c r="K20" s="236">
        <f ca="1">info!N9</f>
        <v>45.140851999999995</v>
      </c>
      <c r="L20" s="312" t="str">
        <f>lang!B175</f>
        <v>에너지</v>
      </c>
      <c r="M20" s="863">
        <f ca="1">info!M9</f>
        <v>4.2945476000000005</v>
      </c>
      <c r="N20" s="864"/>
      <c r="O20" s="846" t="str">
        <f>lang!B180</f>
        <v>유형</v>
      </c>
      <c r="P20" s="865"/>
      <c r="Q20" s="846" t="str">
        <f>IF(info!CB24&lt;&gt;"", info!CB24,"")</f>
        <v>4-1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기분 상태에 있지만 점점 기분이 나아지는 긍정적인 방향성을 갖고 있다. 에너지 대사량이 매우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36.2239</v>
      </c>
      <c r="N32" s="816"/>
      <c r="O32" s="817">
        <f>Measurement!N7</f>
        <v>46.081800000000001</v>
      </c>
      <c r="P32" s="818"/>
      <c r="Q32" s="819">
        <f>Measurement!T7</f>
        <v>50.4861</v>
      </c>
      <c r="R32" s="820"/>
    </row>
    <row r="33" spans="3:18" ht="12.75" customHeight="1">
      <c r="C33" s="77"/>
      <c r="I33" s="502">
        <f>Measurement!L8</f>
        <v>3</v>
      </c>
      <c r="J33" s="139" t="str">
        <f>lang!B15</f>
        <v>스트레스</v>
      </c>
      <c r="K33" s="90" t="s">
        <v>226</v>
      </c>
      <c r="L33" s="504" t="str">
        <f>Measurement!Y8</f>
        <v>보통</v>
      </c>
      <c r="M33" s="792">
        <f>Measurement!R8</f>
        <v>22.0379</v>
      </c>
      <c r="N33" s="793"/>
      <c r="O33" s="806">
        <f>Measurement!N8</f>
        <v>27.0519</v>
      </c>
      <c r="P33" s="807"/>
      <c r="Q33" s="792">
        <f>Measurement!T8</f>
        <v>41.967100000000002</v>
      </c>
      <c r="R33" s="808"/>
    </row>
    <row r="34" spans="3:18" ht="12.75" customHeight="1">
      <c r="C34" s="77"/>
      <c r="I34" s="502">
        <f>Measurement!L9</f>
        <v>3</v>
      </c>
      <c r="J34" s="139" t="str">
        <f>lang!B16</f>
        <v>불안</v>
      </c>
      <c r="K34" s="90" t="s">
        <v>227</v>
      </c>
      <c r="L34" s="504" t="str">
        <f>Measurement!Y9</f>
        <v>보통</v>
      </c>
      <c r="M34" s="792">
        <f>Measurement!R9</f>
        <v>15.4496</v>
      </c>
      <c r="N34" s="793"/>
      <c r="O34" s="806">
        <f>Measurement!N9</f>
        <v>23.3035</v>
      </c>
      <c r="P34" s="807"/>
      <c r="Q34" s="792">
        <f>Measurement!T9</f>
        <v>37.581299999999999</v>
      </c>
      <c r="R34" s="808"/>
    </row>
    <row r="35" spans="3:18" ht="12.75" customHeight="1">
      <c r="C35" s="77"/>
      <c r="I35" s="502">
        <f>Measurement!L10</f>
        <v>3</v>
      </c>
      <c r="J35" s="139" t="str">
        <f>lang!B17</f>
        <v>의심</v>
      </c>
      <c r="K35" s="90" t="s">
        <v>225</v>
      </c>
      <c r="L35" s="504" t="str">
        <f>Measurement!Y10</f>
        <v>보통</v>
      </c>
      <c r="M35" s="792">
        <f>Measurement!R10</f>
        <v>31.438400000000001</v>
      </c>
      <c r="N35" s="793"/>
      <c r="O35" s="806">
        <f>Measurement!N10</f>
        <v>33.887999999999998</v>
      </c>
      <c r="P35" s="807"/>
      <c r="Q35" s="792">
        <f>Measurement!T10</f>
        <v>36.844299999999997</v>
      </c>
      <c r="R35" s="808"/>
    </row>
    <row r="36" spans="3:18" ht="12.75" customHeight="1">
      <c r="C36" s="77"/>
      <c r="I36" s="502">
        <f>Measurement!L11</f>
        <v>3</v>
      </c>
      <c r="J36" s="139" t="str">
        <f>lang!B18</f>
        <v>밸런스</v>
      </c>
      <c r="K36" s="90" t="s">
        <v>2171</v>
      </c>
      <c r="L36" s="504" t="str">
        <f>Measurement!Y11</f>
        <v>보통</v>
      </c>
      <c r="M36" s="792">
        <f>Measurement!R11</f>
        <v>47.781799999999997</v>
      </c>
      <c r="N36" s="793"/>
      <c r="O36" s="806">
        <f>Measurement!N11</f>
        <v>68.150999999999996</v>
      </c>
      <c r="P36" s="807"/>
      <c r="Q36" s="792">
        <f>Measurement!T11</f>
        <v>74.394300000000001</v>
      </c>
      <c r="R36" s="808"/>
    </row>
    <row r="37" spans="3:18" ht="12.75" customHeight="1">
      <c r="C37" s="77"/>
      <c r="I37" s="502">
        <f>Measurement!L12</f>
        <v>5</v>
      </c>
      <c r="J37" s="139" t="str">
        <f>lang!B19</f>
        <v>카리스마</v>
      </c>
      <c r="K37" s="90" t="s">
        <v>229</v>
      </c>
      <c r="L37" s="504" t="str">
        <f>Measurement!Y12</f>
        <v>매우 높음</v>
      </c>
      <c r="M37" s="792">
        <f>Measurement!R12</f>
        <v>45.294800000000002</v>
      </c>
      <c r="N37" s="793"/>
      <c r="O37" s="806">
        <f>Measurement!N12</f>
        <v>83.216700000000003</v>
      </c>
      <c r="P37" s="807"/>
      <c r="Q37" s="792">
        <f>Measurement!T12</f>
        <v>85.748500000000007</v>
      </c>
      <c r="R37" s="808"/>
    </row>
    <row r="38" spans="3:18" ht="12.75" customHeight="1">
      <c r="C38" s="77"/>
      <c r="I38" s="502">
        <f>Measurement!L13</f>
        <v>3</v>
      </c>
      <c r="J38" s="139" t="str">
        <f>lang!B20</f>
        <v>에너지</v>
      </c>
      <c r="K38" s="90" t="s">
        <v>2170</v>
      </c>
      <c r="L38" s="504" t="str">
        <f>Measurement!Y13</f>
        <v>보통</v>
      </c>
      <c r="M38" s="792">
        <f>Measurement!R13</f>
        <v>21.466100000000001</v>
      </c>
      <c r="N38" s="793"/>
      <c r="O38" s="806">
        <f>Measurement!N13</f>
        <v>31.745899999999999</v>
      </c>
      <c r="P38" s="807"/>
      <c r="Q38" s="792">
        <f>Measurement!T13</f>
        <v>35.3247</v>
      </c>
      <c r="R38" s="808"/>
    </row>
    <row r="39" spans="3:18" ht="12.75" customHeight="1">
      <c r="C39" s="77"/>
      <c r="I39" s="502">
        <f>Measurement!L14</f>
        <v>4</v>
      </c>
      <c r="J39" s="139" t="str">
        <f>lang!B21</f>
        <v>자기조절</v>
      </c>
      <c r="K39" s="90" t="s">
        <v>230</v>
      </c>
      <c r="L39" s="504" t="str">
        <f>Measurement!Y14</f>
        <v>높음</v>
      </c>
      <c r="M39" s="792">
        <f>Measurement!R14</f>
        <v>46.666699999999999</v>
      </c>
      <c r="N39" s="793"/>
      <c r="O39" s="806">
        <f>Measurement!N14</f>
        <v>75.096100000000007</v>
      </c>
      <c r="P39" s="807"/>
      <c r="Q39" s="792">
        <f>Measurement!T14</f>
        <v>79.449399999999997</v>
      </c>
      <c r="R39" s="808"/>
    </row>
    <row r="40" spans="3:18" ht="12.75" customHeight="1">
      <c r="C40" s="77"/>
      <c r="I40" s="502">
        <f>Measurement!L15</f>
        <v>3</v>
      </c>
      <c r="J40" s="139" t="str">
        <f>lang!B22</f>
        <v>억제</v>
      </c>
      <c r="K40" s="91" t="s">
        <v>248</v>
      </c>
      <c r="L40" s="504" t="str">
        <f>Measurement!Y15</f>
        <v>보통</v>
      </c>
      <c r="M40" s="792">
        <f>Measurement!R15</f>
        <v>17.233000000000001</v>
      </c>
      <c r="N40" s="793"/>
      <c r="O40" s="806">
        <f>Measurement!N15</f>
        <v>21.322399999999998</v>
      </c>
      <c r="P40" s="807"/>
      <c r="Q40" s="792">
        <f>Measurement!T15</f>
        <v>25.812200000000001</v>
      </c>
      <c r="R40" s="808"/>
    </row>
    <row r="41" spans="3:18" ht="12.75" customHeight="1" thickBot="1">
      <c r="C41" s="77"/>
      <c r="I41" s="502">
        <f>Measurement!L16</f>
        <v>3</v>
      </c>
      <c r="J41" s="140" t="str">
        <f>lang!B23</f>
        <v>신경성</v>
      </c>
      <c r="K41" s="92" t="s">
        <v>231</v>
      </c>
      <c r="L41" s="504" t="str">
        <f>Measurement!Y16</f>
        <v>보통</v>
      </c>
      <c r="M41" s="794">
        <f>Measurement!R16</f>
        <v>1.3554900000000001</v>
      </c>
      <c r="N41" s="795"/>
      <c r="O41" s="796">
        <f>Measurement!N16</f>
        <v>26.401199999999999</v>
      </c>
      <c r="P41" s="797"/>
      <c r="Q41" s="794">
        <f>Measurement!T16</f>
        <v>28.356999999999999</v>
      </c>
      <c r="R41" s="798"/>
    </row>
    <row r="42" spans="3:18" ht="29.25" customHeight="1" thickBot="1">
      <c r="C42" s="77"/>
      <c r="I42" s="84"/>
      <c r="J42" s="780" t="str">
        <f>lang!B215</f>
        <v>감정변이도</v>
      </c>
      <c r="K42" s="781"/>
      <c r="L42" s="319" t="str">
        <f>info!V43</f>
        <v>보통</v>
      </c>
      <c r="M42" s="782">
        <f>info!W43</f>
        <v>13.5052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2.1090599999999999</v>
      </c>
      <c r="E44" s="249" t="s">
        <v>1072</v>
      </c>
      <c r="G44" s="289"/>
      <c r="H44" s="289"/>
      <c r="I44" s="290"/>
      <c r="J44" s="802">
        <f>info!$W$36</f>
        <v>54.574660000000002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45779.650729166664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arTn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( 91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1.1770543771276178</v>
      </c>
      <c r="I20" s="862"/>
      <c r="J20" s="311" t="str">
        <f>lang!B174</f>
        <v>정보량</v>
      </c>
      <c r="K20" s="236">
        <f ca="1">info!N9</f>
        <v>45.140851999999995</v>
      </c>
      <c r="L20" s="312" t="str">
        <f>lang!B175</f>
        <v>에너지</v>
      </c>
      <c r="M20" s="863">
        <f ca="1">info!M9</f>
        <v>4.2945476000000005</v>
      </c>
      <c r="N20" s="864"/>
      <c r="O20" s="846" t="str">
        <f>lang!B180</f>
        <v>유형</v>
      </c>
      <c r="P20" s="865"/>
      <c r="Q20" s="846" t="str">
        <f>IF(info!CB24&lt;&gt;"", info!CB24,"")</f>
        <v>4-1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기분 상태에 있지만 점점 기분이 나아지는 긍정적인 방향성을 갖고 있다. 에너지 대사량이 매우 크며 거의 변화가 없는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36.2239</v>
      </c>
      <c r="N32" s="816"/>
      <c r="O32" s="817">
        <f>Measurement!N7</f>
        <v>46.081800000000001</v>
      </c>
      <c r="P32" s="818"/>
      <c r="Q32" s="819">
        <f>Measurement!T7</f>
        <v>50.4861</v>
      </c>
      <c r="R32" s="820"/>
    </row>
    <row r="33" spans="3:18" ht="12.75" customHeight="1">
      <c r="C33" s="77"/>
      <c r="I33" s="502">
        <f>Measurement!L8</f>
        <v>3</v>
      </c>
      <c r="J33" s="139" t="str">
        <f>lang!B15</f>
        <v>스트레스</v>
      </c>
      <c r="K33" s="90" t="s">
        <v>226</v>
      </c>
      <c r="L33" s="504" t="str">
        <f>Measurement!Y8</f>
        <v>보통</v>
      </c>
      <c r="M33" s="792">
        <f>Measurement!R8</f>
        <v>22.0379</v>
      </c>
      <c r="N33" s="793"/>
      <c r="O33" s="806">
        <f>Measurement!N8</f>
        <v>27.0519</v>
      </c>
      <c r="P33" s="807"/>
      <c r="Q33" s="792">
        <f>Measurement!T8</f>
        <v>41.967100000000002</v>
      </c>
      <c r="R33" s="808"/>
    </row>
    <row r="34" spans="3:18" ht="12.75" customHeight="1">
      <c r="C34" s="77"/>
      <c r="I34" s="502">
        <f>Measurement!L9</f>
        <v>3</v>
      </c>
      <c r="J34" s="139" t="str">
        <f>lang!B16</f>
        <v>불안</v>
      </c>
      <c r="K34" s="90" t="s">
        <v>227</v>
      </c>
      <c r="L34" s="504" t="str">
        <f>Measurement!Y9</f>
        <v>보통</v>
      </c>
      <c r="M34" s="792">
        <f>Measurement!R9</f>
        <v>15.4496</v>
      </c>
      <c r="N34" s="793"/>
      <c r="O34" s="806">
        <f>Measurement!N9</f>
        <v>23.3035</v>
      </c>
      <c r="P34" s="807"/>
      <c r="Q34" s="792">
        <f>Measurement!T9</f>
        <v>37.581299999999999</v>
      </c>
      <c r="R34" s="808"/>
    </row>
    <row r="35" spans="3:18" ht="12.75" customHeight="1">
      <c r="C35" s="77"/>
      <c r="I35" s="502">
        <f>Measurement!L10</f>
        <v>3</v>
      </c>
      <c r="J35" s="139" t="str">
        <f>lang!B17</f>
        <v>의심</v>
      </c>
      <c r="K35" s="90" t="s">
        <v>225</v>
      </c>
      <c r="L35" s="504" t="str">
        <f>Measurement!Y10</f>
        <v>보통</v>
      </c>
      <c r="M35" s="792">
        <f>Measurement!R10</f>
        <v>31.438400000000001</v>
      </c>
      <c r="N35" s="793"/>
      <c r="O35" s="806">
        <f>Measurement!N10</f>
        <v>33.887999999999998</v>
      </c>
      <c r="P35" s="807"/>
      <c r="Q35" s="792">
        <f>Measurement!T10</f>
        <v>36.844299999999997</v>
      </c>
      <c r="R35" s="808"/>
    </row>
    <row r="36" spans="3:18" ht="12.75" customHeight="1">
      <c r="C36" s="77"/>
      <c r="I36" s="502">
        <f>Measurement!L11</f>
        <v>3</v>
      </c>
      <c r="J36" s="139" t="str">
        <f>lang!B18</f>
        <v>밸런스</v>
      </c>
      <c r="K36" s="90" t="s">
        <v>2171</v>
      </c>
      <c r="L36" s="504" t="str">
        <f>Measurement!Y11</f>
        <v>보통</v>
      </c>
      <c r="M36" s="792">
        <f>Measurement!R11</f>
        <v>47.781799999999997</v>
      </c>
      <c r="N36" s="793"/>
      <c r="O36" s="806">
        <f>Measurement!N11</f>
        <v>68.150999999999996</v>
      </c>
      <c r="P36" s="807"/>
      <c r="Q36" s="792">
        <f>Measurement!T11</f>
        <v>74.394300000000001</v>
      </c>
      <c r="R36" s="808"/>
    </row>
    <row r="37" spans="3:18" ht="12.75" customHeight="1">
      <c r="C37" s="77"/>
      <c r="I37" s="502">
        <f>Measurement!L12</f>
        <v>5</v>
      </c>
      <c r="J37" s="139" t="str">
        <f>lang!B19</f>
        <v>카리스마</v>
      </c>
      <c r="K37" s="90" t="s">
        <v>229</v>
      </c>
      <c r="L37" s="504" t="str">
        <f>Measurement!Y12</f>
        <v>매우 높음</v>
      </c>
      <c r="M37" s="792">
        <f>Measurement!R12</f>
        <v>45.294800000000002</v>
      </c>
      <c r="N37" s="793"/>
      <c r="O37" s="806">
        <f>Measurement!N12</f>
        <v>83.216700000000003</v>
      </c>
      <c r="P37" s="807"/>
      <c r="Q37" s="792">
        <f>Measurement!T12</f>
        <v>85.748500000000007</v>
      </c>
      <c r="R37" s="808"/>
    </row>
    <row r="38" spans="3:18" ht="12.75" customHeight="1">
      <c r="C38" s="77"/>
      <c r="I38" s="502">
        <f>Measurement!L13</f>
        <v>3</v>
      </c>
      <c r="J38" s="139" t="str">
        <f>lang!B20</f>
        <v>에너지</v>
      </c>
      <c r="K38" s="90" t="s">
        <v>2170</v>
      </c>
      <c r="L38" s="504" t="str">
        <f>Measurement!Y13</f>
        <v>보통</v>
      </c>
      <c r="M38" s="792">
        <f>Measurement!R13</f>
        <v>21.466100000000001</v>
      </c>
      <c r="N38" s="793"/>
      <c r="O38" s="806">
        <f>Measurement!N13</f>
        <v>31.745899999999999</v>
      </c>
      <c r="P38" s="807"/>
      <c r="Q38" s="792">
        <f>Measurement!T13</f>
        <v>35.3247</v>
      </c>
      <c r="R38" s="808"/>
    </row>
    <row r="39" spans="3:18" ht="12.75" customHeight="1">
      <c r="C39" s="77"/>
      <c r="I39" s="502">
        <f>Measurement!L14</f>
        <v>4</v>
      </c>
      <c r="J39" s="139" t="str">
        <f>lang!B21</f>
        <v>자기조절</v>
      </c>
      <c r="K39" s="90" t="s">
        <v>230</v>
      </c>
      <c r="L39" s="504" t="str">
        <f>Measurement!Y14</f>
        <v>높음</v>
      </c>
      <c r="M39" s="792">
        <f>Measurement!R14</f>
        <v>46.666699999999999</v>
      </c>
      <c r="N39" s="793"/>
      <c r="O39" s="806">
        <f>Measurement!N14</f>
        <v>75.096100000000007</v>
      </c>
      <c r="P39" s="807"/>
      <c r="Q39" s="792">
        <f>Measurement!T14</f>
        <v>79.449399999999997</v>
      </c>
      <c r="R39" s="808"/>
    </row>
    <row r="40" spans="3:18" ht="12.75" customHeight="1">
      <c r="C40" s="77"/>
      <c r="I40" s="502">
        <f>Measurement!L15</f>
        <v>3</v>
      </c>
      <c r="J40" s="139" t="str">
        <f>lang!B22</f>
        <v>억제</v>
      </c>
      <c r="K40" s="91" t="s">
        <v>248</v>
      </c>
      <c r="L40" s="504" t="str">
        <f>Measurement!Y15</f>
        <v>보통</v>
      </c>
      <c r="M40" s="792">
        <f>Measurement!R15</f>
        <v>17.233000000000001</v>
      </c>
      <c r="N40" s="793"/>
      <c r="O40" s="806">
        <f>Measurement!N15</f>
        <v>21.322399999999998</v>
      </c>
      <c r="P40" s="807"/>
      <c r="Q40" s="792">
        <f>Measurement!T15</f>
        <v>25.812200000000001</v>
      </c>
      <c r="R40" s="808"/>
    </row>
    <row r="41" spans="3:18" ht="12.75" customHeight="1" thickBot="1">
      <c r="C41" s="77"/>
      <c r="I41" s="502">
        <f>Measurement!L16</f>
        <v>3</v>
      </c>
      <c r="J41" s="140" t="str">
        <f>lang!B23</f>
        <v>신경성</v>
      </c>
      <c r="K41" s="92" t="s">
        <v>231</v>
      </c>
      <c r="L41" s="504" t="str">
        <f>Measurement!Y16</f>
        <v>보통</v>
      </c>
      <c r="M41" s="794">
        <f>Measurement!R16</f>
        <v>1.3554900000000001</v>
      </c>
      <c r="N41" s="795"/>
      <c r="O41" s="796">
        <f>Measurement!N16</f>
        <v>26.401199999999999</v>
      </c>
      <c r="P41" s="797"/>
      <c r="Q41" s="794">
        <f>Measurement!T16</f>
        <v>28.356999999999999</v>
      </c>
      <c r="R41" s="798"/>
    </row>
    <row r="42" spans="3:18" ht="29.25" customHeight="1" thickBot="1">
      <c r="C42" s="77"/>
      <c r="I42" s="84"/>
      <c r="J42" s="780" t="str">
        <f>lang!B215</f>
        <v>감정변이도</v>
      </c>
      <c r="K42" s="781"/>
      <c r="L42" s="319" t="str">
        <f>info!V43</f>
        <v>보통</v>
      </c>
      <c r="M42" s="782">
        <f>info!W43</f>
        <v>13.5052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2.1090599999999999</v>
      </c>
      <c r="E44" s="249" t="s">
        <v>1195</v>
      </c>
      <c r="G44" s="289"/>
      <c r="H44" s="289"/>
      <c r="I44" s="290"/>
      <c r="J44" s="802">
        <f>info!$W$36</f>
        <v>54.574660000000002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45779.650729166664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arTn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(-0.05,-0.01)</v>
      </c>
      <c r="S18" s="966"/>
      <c r="T18" s="967"/>
    </row>
    <row r="19" spans="2:22" ht="16.5" customHeight="1">
      <c r="C19" s="136" t="str">
        <f>lang!B328</f>
        <v>최소값</v>
      </c>
      <c r="D19" s="105">
        <f ca="1">info!M7</f>
        <v>36.8889</v>
      </c>
      <c r="E19" s="94" t="str">
        <f>lang!B330</f>
        <v>평균값</v>
      </c>
      <c r="F19" s="971">
        <f ca="1">info!N9</f>
        <v>45.140851999999995</v>
      </c>
      <c r="G19" s="972"/>
      <c r="H19" s="912" t="str">
        <f>lang!B329</f>
        <v>최대값</v>
      </c>
      <c r="I19" s="913"/>
      <c r="J19" s="105">
        <f ca="1">info!M8</f>
        <v>48.9024</v>
      </c>
      <c r="K19" s="137" t="str">
        <f>lang!B328</f>
        <v>최소값</v>
      </c>
      <c r="L19" s="105">
        <f ca="1">info!M5</f>
        <v>4.0938600000000003</v>
      </c>
      <c r="M19" s="94" t="str">
        <f>lang!B330</f>
        <v>평균값</v>
      </c>
      <c r="N19" s="971">
        <f ca="1">info!M9</f>
        <v>4.2945476000000005</v>
      </c>
      <c r="O19" s="972">
        <f>info!T9</f>
        <v>1</v>
      </c>
      <c r="P19" s="94" t="str">
        <f>lang!B329</f>
        <v>최대값</v>
      </c>
      <c r="Q19" s="105">
        <f ca="1">info!M6</f>
        <v>4.4274300000000002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10.50749081034691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2.1090650000000002</v>
      </c>
      <c r="N47" s="986"/>
      <c r="O47" s="451"/>
      <c r="P47" s="491" t="s">
        <v>1101</v>
      </c>
      <c r="Q47" s="987">
        <f>hist!M3</f>
        <v>0.97834600000000005</v>
      </c>
      <c r="R47" s="986"/>
      <c r="S47" s="451"/>
      <c r="T47" s="452"/>
    </row>
    <row r="48" spans="3:20" ht="18" customHeight="1">
      <c r="C48" s="931"/>
      <c r="D48" s="910"/>
      <c r="E48" s="910"/>
      <c r="F48" s="355"/>
      <c r="G48" s="355"/>
      <c r="H48" s="356"/>
      <c r="I48" s="356"/>
      <c r="J48" s="951"/>
      <c r="K48" s="951"/>
      <c r="L48" s="936"/>
      <c r="M48" s="988">
        <f>hist!N2</f>
        <v>0.510181</v>
      </c>
      <c r="N48" s="989"/>
      <c r="O48" s="451"/>
      <c r="P48" s="491" t="s">
        <v>1102</v>
      </c>
      <c r="Q48" s="986">
        <f>hist!N3</f>
        <v>0.41023700000000002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0.26028499999999999</v>
      </c>
      <c r="N49" s="991"/>
      <c r="O49" s="453"/>
      <c r="P49" s="454" t="s">
        <v>1588</v>
      </c>
      <c r="Q49" s="992">
        <f>hist!O3</f>
        <v>0.168294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vision^arTn^1^1^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89.845115939416431</v>
      </c>
      <c r="CK4" s="422">
        <f>info!W21</f>
        <v>61.533404221200904</v>
      </c>
      <c r="CL4">
        <f>100-M!B19*100</f>
        <v>53.681899999999999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45779.650729166664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13.5052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46.081800000000001</v>
      </c>
      <c r="O7" s="48">
        <f>M!C5*1</f>
        <v>3.5202900000000001</v>
      </c>
      <c r="P7" s="48">
        <f>M!D5*1</f>
        <v>7.6392100000000003</v>
      </c>
      <c r="Q7" s="48">
        <f>M!E5*1</f>
        <v>20</v>
      </c>
      <c r="R7" s="48">
        <f>IF(M!B5="","",M!F5*1)</f>
        <v>36.2239</v>
      </c>
      <c r="S7" s="48">
        <f>M!G5*1</f>
        <v>50</v>
      </c>
      <c r="T7" s="48">
        <f>IF(M!B5="","",M!H5*1)</f>
        <v>50.4861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1.1562822811920266</v>
      </c>
      <c r="AI7" s="98">
        <v>2.5024862326905418E-2</v>
      </c>
      <c r="AJ7" s="98">
        <v>-7.7313821231156016E-2</v>
      </c>
      <c r="AK7" s="98">
        <v>0.50012525104428274</v>
      </c>
      <c r="AL7" s="98">
        <v>-8.545985269705475E-2</v>
      </c>
      <c r="AM7" s="98">
        <f>$AH7*AI7+$AH8*AI8+$AH9*AI9+$AH10*AI10+$AH11*AI11+$AH12*AI12+$AH13*AI13+$AH14*AI14+$AH15*AI15+$AH16*AI16</f>
        <v>0.86688683160980207</v>
      </c>
      <c r="AN7" s="98">
        <f t="shared" ref="AN7:AP7" si="2">$AH7*AJ7+$AH8*AJ8+$AH9*AJ9+$AH10*AJ10+$AH11*AJ11+$AH12*AJ12+$AH13*AJ13+$AH14*AJ14+$AH15*AJ15+$AH16*AJ16</f>
        <v>0.53578357029123447</v>
      </c>
      <c r="AO7" s="98">
        <f t="shared" si="2"/>
        <v>1.9073240704592049</v>
      </c>
      <c r="AP7" s="98">
        <f t="shared" si="2"/>
        <v>4.7883578603332005E-2</v>
      </c>
      <c r="AQ7" s="335">
        <f>IF(SUM(N7:N16)&gt;0, 0.8608*AM7+0.333*AN7+0.104*AO7+1.129*AP7,"")</f>
        <v>1.1770543771276178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46.081800000000001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347.39371543039999</v>
      </c>
      <c r="BL7" s="56">
        <f t="shared" ref="BL7:BT7" si="3">BB7*$AY7+BB8*$AY8+BB9*$AY9+BB10*$AY10+BB11*$AY11+BB12*$AY12+BB13*$AY13+BB14</f>
        <v>342.5173429254001</v>
      </c>
      <c r="BM7" s="56">
        <f t="shared" si="3"/>
        <v>331.12386486639991</v>
      </c>
      <c r="BN7" s="56">
        <f t="shared" si="3"/>
        <v>349.17037989019997</v>
      </c>
      <c r="BO7" s="56">
        <f t="shared" si="3"/>
        <v>351.62640054460007</v>
      </c>
      <c r="BP7" s="56">
        <f t="shared" si="3"/>
        <v>325.9263626799999</v>
      </c>
      <c r="BQ7" s="56">
        <f t="shared" si="3"/>
        <v>333.73744343919998</v>
      </c>
      <c r="BR7" s="56">
        <f t="shared" si="3"/>
        <v>332.68238124440006</v>
      </c>
      <c r="BS7" s="56">
        <f t="shared" si="3"/>
        <v>339.52436181360002</v>
      </c>
      <c r="BT7" s="56">
        <f t="shared" si="3"/>
        <v>310.58287112279999</v>
      </c>
      <c r="BU7" s="56">
        <f>EXP(BK7)+EXP(BL7)+EXP(BM7)+EXP(BN7)+EXP(BO7)+EXP(BP7)+EXP(BQ7)+EXP(BR7)+EXP(BS7)+EXP(BT7)</f>
        <v>5.6358325782234607E+152</v>
      </c>
      <c r="BV7" s="56">
        <f>IF(SUM($AY$7:$AY$13)&gt;0,EXP(BK7)/$BU$7,"")</f>
        <v>1.3189112603260486E-2</v>
      </c>
      <c r="BW7" s="56">
        <f t="shared" ref="BW7:CE7" si="4">IF(SUM($AY$7:$AY$13)&gt;0,EXP(BL7)/$BU$7,"")</f>
        <v>1.0056200077899155E-4</v>
      </c>
      <c r="BX7" s="56">
        <f t="shared" si="4"/>
        <v>1.1332070161864912E-9</v>
      </c>
      <c r="BY7" s="56">
        <f t="shared" si="4"/>
        <v>7.794910753749397E-2</v>
      </c>
      <c r="BZ7" s="56">
        <f t="shared" si="4"/>
        <v>0.90875615391626996</v>
      </c>
      <c r="CA7" s="56">
        <f t="shared" si="4"/>
        <v>6.2670438802827859E-12</v>
      </c>
      <c r="CB7" s="56">
        <f t="shared" si="4"/>
        <v>1.5465786370382612E-8</v>
      </c>
      <c r="CC7" s="56">
        <f t="shared" si="4"/>
        <v>5.3847347835853491E-9</v>
      </c>
      <c r="CD7" s="56">
        <f t="shared" si="4"/>
        <v>5.0419522015043792E-6</v>
      </c>
      <c r="CE7" s="56">
        <f t="shared" si="4"/>
        <v>1.3597811582964251E-18</v>
      </c>
      <c r="CF7" s="418" t="s">
        <v>1870</v>
      </c>
      <c r="CG7" s="221">
        <f>IF(SUM($AY$7:$AY$13)&gt;0,HLOOKUP(1,$BV$6:$CE$7,2,FALSE),"")</f>
        <v>0.90875615391626996</v>
      </c>
      <c r="CH7" s="221">
        <f>IF(SUM($AY$7:$AY$13)&gt;0,HLOOKUP(2,$BV$6:$CE$7,2,FALSE),"")</f>
        <v>7.794910753749397E-2</v>
      </c>
      <c r="CI7" s="425" t="str">
        <f>"( "&amp;IF(CG7&lt;&gt;"",ROUND(CG7*100,0),"")&amp;" , "&amp;IF(CH7&lt;&gt;"",ROUND(CH7*100,0),"")&amp;" )"</f>
        <v>( 91 , 8 )</v>
      </c>
      <c r="CJ7" s="420">
        <f>CG7</f>
        <v>0.90875615391626996</v>
      </c>
      <c r="CK7" s="420">
        <f>CH7</f>
        <v>7.794910753749397E-2</v>
      </c>
      <c r="CL7" s="425" t="str">
        <f>CI7</f>
        <v>( 91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46.081800000000001</v>
      </c>
      <c r="DJ7" s="265">
        <f>(DI7-$DB7)/$DC7</f>
        <v>1.4259099270664175</v>
      </c>
      <c r="DK7" s="266">
        <f>IF(DH7=1,(DJ7-DF7)^2,0)</f>
        <v>7.8140451128953958E-2</v>
      </c>
      <c r="DL7" s="267">
        <f>IF(DH7=1,(DJ7-DG7)^2,0)</f>
        <v>0.3677491824738216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27.0519</v>
      </c>
      <c r="O8" s="48">
        <f>M!C6*1</f>
        <v>5.3694499999999996</v>
      </c>
      <c r="P8" s="48">
        <f>M!D6*1</f>
        <v>19.848700000000001</v>
      </c>
      <c r="Q8" s="48">
        <f>M!E6*1</f>
        <v>20</v>
      </c>
      <c r="R8" s="48">
        <f>IF(M!B6="","",M!F6*1)</f>
        <v>22.0379</v>
      </c>
      <c r="S8" s="48">
        <f>M!G6*1</f>
        <v>40</v>
      </c>
      <c r="T8" s="48">
        <f>IF(M!B6="","",M!H6*1)</f>
        <v>41.967100000000002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-0.2094953131209239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27.0519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27.0519</v>
      </c>
      <c r="DJ8" s="265">
        <f t="shared" ref="DJ8:DJ14" si="8">(DI8-$DB8)/$DC8</f>
        <v>-0.69760088610501914</v>
      </c>
      <c r="DK8" s="273">
        <f t="shared" ref="DK8:DK14" si="9">IF(DH8=1,(DJ8-DF8)^2,0)</f>
        <v>0.61628576966887394</v>
      </c>
      <c r="DL8" s="274">
        <f t="shared" ref="DL8:DL14" si="10">IF(DH8=1,(DJ8-DG8)^2,0)</f>
        <v>0.93915883088932339</v>
      </c>
    </row>
    <row r="9" spans="2:119" s="5" customFormat="1" ht="24.75" customHeight="1" thickBot="1">
      <c r="B9" s="62" t="str">
        <f>CONCATENATE(M7,"
(20 ~ 50)")</f>
        <v>적극/공격성
(20 ~ 50)</v>
      </c>
      <c r="C9" s="63">
        <f>R7</f>
        <v>36.2239</v>
      </c>
      <c r="D9" s="64">
        <f>N7</f>
        <v>46.081800000000001</v>
      </c>
      <c r="E9" s="65">
        <f>T7</f>
        <v>50.4861</v>
      </c>
      <c r="F9" s="65">
        <f>P7</f>
        <v>7.6392100000000003</v>
      </c>
      <c r="G9" s="66" t="str">
        <f>CONCATENATE(M8,"
(20 ~ 40)")</f>
        <v>스트레스
(20 ~ 40)</v>
      </c>
      <c r="H9" s="63">
        <f>R8</f>
        <v>22.0379</v>
      </c>
      <c r="I9" s="67">
        <f>N8</f>
        <v>27.0519</v>
      </c>
      <c r="J9" s="63">
        <f>T8</f>
        <v>41.967100000000002</v>
      </c>
      <c r="K9" s="68">
        <f>P8</f>
        <v>19.848700000000001</v>
      </c>
      <c r="L9" s="1">
        <f>IF(M!B7="","",IF(N9&lt;U9,1,IF(N9&lt;V9,2,IF(N9&lt;W9,3,IF(N9&lt;X9,4,5)))))</f>
        <v>3</v>
      </c>
      <c r="M9" s="162" t="str">
        <f>lang!B16</f>
        <v>불안</v>
      </c>
      <c r="N9" s="48">
        <f>IF(M!B7="","",M!B7*1)</f>
        <v>23.3035</v>
      </c>
      <c r="O9" s="48">
        <f>M!C7*1</f>
        <v>3.6935899999999999</v>
      </c>
      <c r="P9" s="48">
        <f>M!D7*1</f>
        <v>15.85</v>
      </c>
      <c r="Q9" s="48">
        <f>M!E7*1</f>
        <v>15</v>
      </c>
      <c r="R9" s="48">
        <f>IF(M!B7="","",M!F7*1)</f>
        <v>15.4496</v>
      </c>
      <c r="S9" s="48">
        <f>M!G7*1</f>
        <v>40</v>
      </c>
      <c r="T9" s="48">
        <f>IF(M!B7="","",M!H7*1)</f>
        <v>37.581299999999999</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9.0647151569097001E-2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23.3035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23.3035</v>
      </c>
      <c r="DJ9" s="265">
        <f t="shared" si="8"/>
        <v>-0.71502512129419771</v>
      </c>
      <c r="DK9" s="273">
        <f t="shared" si="9"/>
        <v>0.25317040876150582</v>
      </c>
      <c r="DL9" s="274">
        <f t="shared" si="10"/>
        <v>0.76266995544738814</v>
      </c>
      <c r="DM9"/>
      <c r="DN9"/>
    </row>
    <row r="10" spans="2:119" s="4" customFormat="1" ht="30.3" thickBot="1">
      <c r="B10" s="57" t="str">
        <f>CONCATENATE(M9,"
(15 ~ 40)")</f>
        <v>불안
(15 ~ 40)</v>
      </c>
      <c r="C10" s="17">
        <f>R9</f>
        <v>15.4496</v>
      </c>
      <c r="D10" s="41">
        <f>N9</f>
        <v>23.3035</v>
      </c>
      <c r="E10" s="43">
        <f>T9</f>
        <v>37.581299999999999</v>
      </c>
      <c r="F10" s="43">
        <f>P9</f>
        <v>15.85</v>
      </c>
      <c r="G10" s="59" t="str">
        <f>CONCATENATE(M10,"
(20 ~ 50)")</f>
        <v>의심
(20 ~ 50)</v>
      </c>
      <c r="H10" s="17">
        <f>R10</f>
        <v>31.438400000000001</v>
      </c>
      <c r="I10" s="42">
        <f>N10</f>
        <v>33.887999999999998</v>
      </c>
      <c r="J10" s="17">
        <f>T10</f>
        <v>36.844299999999997</v>
      </c>
      <c r="K10" s="18">
        <f>P10</f>
        <v>5.2360300000000004</v>
      </c>
      <c r="L10" s="1">
        <f>IF(M!B8="","",IF(N10&lt;U10,1,IF(N10&lt;V10,2,IF(N10&lt;W10,3,IF(N10&lt;X10,4,5)))))</f>
        <v>3</v>
      </c>
      <c r="M10" s="162" t="str">
        <f>lang!B17</f>
        <v>의심</v>
      </c>
      <c r="N10" s="48">
        <f>IF(M!B8="","",M!B8*1)</f>
        <v>33.887999999999998</v>
      </c>
      <c r="O10" s="48">
        <f>M!C8*1</f>
        <v>1.7743899999999999</v>
      </c>
      <c r="P10" s="48">
        <f>M!D8*1</f>
        <v>5.2360300000000004</v>
      </c>
      <c r="Q10" s="48">
        <f>M!E8*1</f>
        <v>20</v>
      </c>
      <c r="R10" s="48">
        <f>IF(M!B8="","",M!F8*1)</f>
        <v>31.438400000000001</v>
      </c>
      <c r="S10" s="48">
        <f>M!G8*1</f>
        <v>50</v>
      </c>
      <c r="T10" s="48">
        <f>IF(M!B8="","",M!H8*1)</f>
        <v>36.844299999999997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1.222054535635406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68.150999999999996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68.150999999999996</v>
      </c>
      <c r="DJ10" s="265">
        <f t="shared" si="8"/>
        <v>0.23057416343140411</v>
      </c>
      <c r="DK10" s="273">
        <f t="shared" si="9"/>
        <v>0.23819068504773958</v>
      </c>
      <c r="DL10" s="274">
        <f t="shared" si="10"/>
        <v>3.221331638651515</v>
      </c>
      <c r="DM10"/>
      <c r="DN10"/>
    </row>
    <row r="11" spans="2:119" s="4" customFormat="1" ht="24.75" customHeight="1" thickBot="1">
      <c r="B11" s="57" t="str">
        <f>CONCATENATE(M11,"
(50 ~ 100)")</f>
        <v>밸런스
(50 ~ 100)</v>
      </c>
      <c r="C11" s="17">
        <f>R11</f>
        <v>47.781799999999997</v>
      </c>
      <c r="D11" s="42">
        <f>N11</f>
        <v>68.150999999999996</v>
      </c>
      <c r="E11" s="17">
        <f>T11</f>
        <v>74.394300000000001</v>
      </c>
      <c r="F11" s="17">
        <f>P11</f>
        <v>9.0899300000000007</v>
      </c>
      <c r="G11" s="59" t="str">
        <f>CONCATENATE(M12,"
(40 ~ 100)")</f>
        <v>카리스마
(40 ~ 100)</v>
      </c>
      <c r="H11" s="17">
        <f>R12</f>
        <v>45.294800000000002</v>
      </c>
      <c r="I11" s="42">
        <f>N12</f>
        <v>83.216700000000003</v>
      </c>
      <c r="J11" s="17">
        <f>T12</f>
        <v>85.748500000000007</v>
      </c>
      <c r="K11" s="18">
        <f>P12</f>
        <v>13.644500000000001</v>
      </c>
      <c r="L11" s="1">
        <f>IF(M!B9="","",IF(N11&lt;U11,1,IF(N11&lt;V11,2,IF(N11&lt;W11,3,IF(N11&lt;X11,4,5)))))</f>
        <v>3</v>
      </c>
      <c r="M11" s="162" t="str">
        <f>lang!B18</f>
        <v>밸런스</v>
      </c>
      <c r="N11" s="48">
        <f>IF(M!B9="","",M!B9*1)</f>
        <v>68.150999999999996</v>
      </c>
      <c r="O11" s="48">
        <f>M!C9*1</f>
        <v>6.1948800000000004</v>
      </c>
      <c r="P11" s="48">
        <f>M!D9*1</f>
        <v>9.0899300000000007</v>
      </c>
      <c r="Q11" s="48">
        <f>M!E9*1</f>
        <v>50</v>
      </c>
      <c r="R11" s="48">
        <f>IF(M!B9="","",M!F9*1)</f>
        <v>47.781799999999997</v>
      </c>
      <c r="S11" s="48">
        <f>M!G9*1</f>
        <v>100</v>
      </c>
      <c r="T11" s="48">
        <f>IF(M!B9="","",M!H9*1)</f>
        <v>74.394300000000001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-0.53492208059296953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83.216700000000003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83.216700000000003</v>
      </c>
      <c r="DJ11" s="265">
        <f t="shared" si="8"/>
        <v>1.2043340998118359</v>
      </c>
      <c r="DK11" s="273">
        <f t="shared" si="9"/>
        <v>3.7602235475134554E-2</v>
      </c>
      <c r="DL11" s="274">
        <f t="shared" si="10"/>
        <v>2.4986303834912742</v>
      </c>
      <c r="DM11"/>
      <c r="DN11"/>
    </row>
    <row r="12" spans="2:119" s="4" customFormat="1" ht="24.75" customHeight="1" thickBot="1">
      <c r="B12" s="57" t="str">
        <f>CONCATENATE(M13,"
(10 ~ 50)")</f>
        <v>에너지
(10 ~ 50)</v>
      </c>
      <c r="C12" s="17">
        <f>R13</f>
        <v>21.466100000000001</v>
      </c>
      <c r="D12" s="41">
        <f>N13</f>
        <v>31.745899999999999</v>
      </c>
      <c r="E12" s="43">
        <f>T13</f>
        <v>35.3247</v>
      </c>
      <c r="F12" s="43">
        <f>P13</f>
        <v>9.7606999999999999</v>
      </c>
      <c r="G12" s="59" t="str">
        <f>CONCATENATE(M14,"
(50 ~ 100)")</f>
        <v>자기조절
(50 ~ 100)</v>
      </c>
      <c r="H12" s="17">
        <f>R14</f>
        <v>46.666699999999999</v>
      </c>
      <c r="I12" s="42">
        <f>N14</f>
        <v>75.096100000000007</v>
      </c>
      <c r="J12" s="17">
        <f>T14</f>
        <v>79.449399999999997</v>
      </c>
      <c r="K12" s="18">
        <f>P14</f>
        <v>11.0684</v>
      </c>
      <c r="L12" s="1">
        <f>IF(M!B10="","",IF(N12&lt;U12,1,IF(N12&lt;V12,2,IF(N12&lt;W12,3,IF(N12&lt;X12,4,5)))))</f>
        <v>5</v>
      </c>
      <c r="M12" s="162" t="str">
        <f>lang!B19</f>
        <v>카리스마</v>
      </c>
      <c r="N12" s="48">
        <f>IF(M!B10="","",M!B10*1)</f>
        <v>83.216700000000003</v>
      </c>
      <c r="O12" s="48">
        <f>M!C10*1</f>
        <v>11.3545</v>
      </c>
      <c r="P12" s="48">
        <f>M!D10*1</f>
        <v>13.644500000000001</v>
      </c>
      <c r="Q12" s="48">
        <f>M!E10*1</f>
        <v>40</v>
      </c>
      <c r="R12" s="48">
        <f>IF(M!B10="","",M!F10*1)</f>
        <v>45.294800000000002</v>
      </c>
      <c r="S12" s="48">
        <f>M!G10*1</f>
        <v>100</v>
      </c>
      <c r="T12" s="48">
        <f>IF(M!B10="","",M!H10*1)</f>
        <v>85.748500000000007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1.4918909136469316</v>
      </c>
      <c r="AI12" s="98">
        <v>0.31913434649697919</v>
      </c>
      <c r="AJ12" s="98">
        <v>3.8587997439955973E-2</v>
      </c>
      <c r="AK12" s="98">
        <v>1.0272327081707585E-2</v>
      </c>
      <c r="AL12" s="98">
        <v>1.9404033844491575E-2</v>
      </c>
      <c r="AM12" s="101"/>
      <c r="AN12" s="101"/>
      <c r="AO12" s="101"/>
      <c r="AP12" s="101"/>
      <c r="AX12" s="171"/>
      <c r="AY12" s="219">
        <f>N13</f>
        <v>31.745899999999999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31.745899999999999</v>
      </c>
      <c r="DJ12" s="265">
        <f t="shared" si="8"/>
        <v>2.1580687612855951</v>
      </c>
      <c r="DK12" s="273">
        <f t="shared" si="9"/>
        <v>7.3046736100128448E-2</v>
      </c>
      <c r="DL12" s="274">
        <f t="shared" si="10"/>
        <v>3.3003542961287682</v>
      </c>
      <c r="DM12"/>
      <c r="DN12"/>
    </row>
    <row r="13" spans="2:119" ht="24.75" customHeight="1" thickBot="1">
      <c r="B13" s="58" t="str">
        <f>CONCATENATE(M15,"
(10 ~ 25)")</f>
        <v>억제
(10 ~ 25)</v>
      </c>
      <c r="C13" s="44">
        <f>R15</f>
        <v>17.233000000000001</v>
      </c>
      <c r="D13" s="45">
        <f>N15</f>
        <v>21.322399999999998</v>
      </c>
      <c r="E13" s="46">
        <f>T15</f>
        <v>25.812200000000001</v>
      </c>
      <c r="F13" s="46">
        <f>P15</f>
        <v>12.3819</v>
      </c>
      <c r="G13" s="60" t="str">
        <f>CONCATENATE(M16,"
(10 ~ 50)")</f>
        <v>신경성
(10 ~ 50)</v>
      </c>
      <c r="H13" s="44">
        <f>R16</f>
        <v>1.3554900000000001</v>
      </c>
      <c r="I13" s="45">
        <f>N16</f>
        <v>26.401199999999999</v>
      </c>
      <c r="J13" s="46">
        <f>T16</f>
        <v>28.356999999999999</v>
      </c>
      <c r="K13" s="47">
        <f>P16</f>
        <v>30.532800000000002</v>
      </c>
      <c r="L13" s="1">
        <f>IF(M!B11="","",IF(N13&lt;U13,1,IF(N13&lt;V13,2,IF(N13&lt;W13,3,IF(N13&lt;X13,4,5)))))</f>
        <v>3</v>
      </c>
      <c r="M13" s="162" t="str">
        <f>lang!B20</f>
        <v>에너지</v>
      </c>
      <c r="N13" s="48">
        <f>IF(M!B11="","",M!B11*1)</f>
        <v>31.745899999999999</v>
      </c>
      <c r="O13" s="48">
        <f>M!C11*1</f>
        <v>3.0986199999999999</v>
      </c>
      <c r="P13" s="48">
        <f>M!D11*1</f>
        <v>9.7606999999999999</v>
      </c>
      <c r="Q13" s="48">
        <f>M!E11*1</f>
        <v>10</v>
      </c>
      <c r="R13" s="48">
        <f>IF(M!B11="","",M!F11*1)</f>
        <v>21.466100000000001</v>
      </c>
      <c r="S13" s="48">
        <f>M!G11*1</f>
        <v>50</v>
      </c>
      <c r="T13" s="48">
        <f>IF(M!B11="","",M!H11*1)</f>
        <v>35.3247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1.9272189522231413</v>
      </c>
      <c r="AI13" s="98">
        <v>0.16093442074971984</v>
      </c>
      <c r="AJ13" s="98">
        <v>-1.0988594420247608E-2</v>
      </c>
      <c r="AK13" s="98">
        <v>0.37151940745754808</v>
      </c>
      <c r="AL13" s="98">
        <v>8.9062029657998948E-2</v>
      </c>
      <c r="AM13" s="96"/>
      <c r="AN13" s="96"/>
      <c r="AO13" s="96"/>
      <c r="AP13" s="96"/>
      <c r="AX13" s="171"/>
      <c r="AY13" s="219">
        <f>info!W36</f>
        <v>54.574660000000002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26.401199999999999</v>
      </c>
      <c r="DJ13" s="265">
        <f t="shared" si="8"/>
        <v>-0.25961538155352837</v>
      </c>
      <c r="DK13" s="273">
        <f>IF(DH13=1,(DJ13-DF13)^2,0)</f>
        <v>0.48922962559637129</v>
      </c>
      <c r="DL13" s="274">
        <f t="shared" si="10"/>
        <v>1.1729719593510324E-2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75.096100000000007</v>
      </c>
      <c r="O14" s="48">
        <f>M!C12*1</f>
        <v>8.3119200000000006</v>
      </c>
      <c r="P14" s="48">
        <f>M!D12*1</f>
        <v>11.0684</v>
      </c>
      <c r="Q14" s="48">
        <f>M!E12*1</f>
        <v>50</v>
      </c>
      <c r="R14" s="48">
        <f>IF(M!B12="","",M!F12*1)</f>
        <v>46.666699999999999</v>
      </c>
      <c r="S14" s="48">
        <f>M!G12*1</f>
        <v>100</v>
      </c>
      <c r="T14" s="48">
        <f>IF(M!B12="","",M!H12*1)</f>
        <v>79.449399999999997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0.88440500574871272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56.426099999999998</v>
      </c>
      <c r="DJ14" s="265">
        <f t="shared" si="8"/>
        <v>6.3698050019521182E-2</v>
      </c>
      <c r="DK14" s="279">
        <f t="shared" si="9"/>
        <v>1.7783984317526858E-2</v>
      </c>
      <c r="DL14" s="280">
        <f t="shared" si="10"/>
        <v>4.8543597385867105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21.322399999999998</v>
      </c>
      <c r="O15" s="48">
        <f>M!C13*1</f>
        <v>2.64012</v>
      </c>
      <c r="P15" s="48">
        <f>M!D13*1</f>
        <v>12.3819</v>
      </c>
      <c r="Q15" s="48">
        <f>M!E13*1</f>
        <v>10</v>
      </c>
      <c r="R15" s="48">
        <f>IF(M!B13="","",M!F13*1)</f>
        <v>17.233000000000001</v>
      </c>
      <c r="S15" s="48">
        <f>M!G13*1</f>
        <v>25</v>
      </c>
      <c r="T15" s="48">
        <f>IF(M!B13="","",M!H13*1)</f>
        <v>25.812200000000001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0.44534197467086206</v>
      </c>
      <c r="AI15" s="98">
        <v>-8.3250321124619289E-2</v>
      </c>
      <c r="AJ15" s="98">
        <v>-0.44690513063775733</v>
      </c>
      <c r="AK15" s="98">
        <v>0.12052818186953573</v>
      </c>
      <c r="AL15" s="98">
        <v>-2.4174505446491225E-2</v>
      </c>
      <c r="AM15" s="96"/>
      <c r="AN15" s="96"/>
      <c r="AO15" s="96"/>
      <c r="AP15" s="96"/>
      <c r="AX15" s="171"/>
      <c r="AY15" s="50">
        <f>SUM(AY7:AY14)</f>
        <v>334.12545999999998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1.8034498960962344</v>
      </c>
      <c r="DL15" s="281">
        <f>IF(SUM($DI$7:$DI$14)&gt;0,SUM(DL7:DL14),0)</f>
        <v>15.955983745262312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26.401199999999999</v>
      </c>
      <c r="O16" s="48">
        <f>M!C14*1</f>
        <v>8.0610199999999992</v>
      </c>
      <c r="P16" s="48">
        <f>M!D14*1</f>
        <v>30.532800000000002</v>
      </c>
      <c r="Q16" s="48">
        <f>M!E14*1</f>
        <v>10</v>
      </c>
      <c r="R16" s="48">
        <f>IF(M!B14="","",M!F14*1)</f>
        <v>1.3554900000000001</v>
      </c>
      <c r="S16" s="48">
        <f>M!G14*1</f>
        <v>50</v>
      </c>
      <c r="T16" s="48">
        <f>IF(M!B14="","",M!H14*1)</f>
        <v>28.356999999999999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-1.2625347258330493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0.55449280967805648</v>
      </c>
      <c r="DL16" s="281">
        <f>IF(DL15&gt;0,1/DL15,0)</f>
        <v>6.2672412805441863E-2</v>
      </c>
      <c r="DM16" t="s">
        <v>1207</v>
      </c>
    </row>
    <row r="17" spans="2:117" ht="21" customHeight="1" thickBot="1">
      <c r="B17" s="20"/>
      <c r="C17"/>
      <c r="D17"/>
      <c r="E17"/>
      <c r="F17"/>
      <c r="G17" s="1071"/>
      <c r="H17" s="827"/>
      <c r="I17" s="827"/>
      <c r="J17" s="827"/>
      <c r="K17" s="828"/>
      <c r="M17" s="163" t="str">
        <f>lang!B7</f>
        <v>긍정감정</v>
      </c>
      <c r="N17" s="54">
        <f>SUM(N11:N14)/4</f>
        <v>64.552424999999999</v>
      </c>
      <c r="O17" s="16">
        <f>N17/(N17+N18+N19)</f>
        <v>0.53351084678544924</v>
      </c>
      <c r="P17" s="54">
        <f>SUM(P11:P14)/4</f>
        <v>10.8908825</v>
      </c>
      <c r="Q17" s="16">
        <f>P17/(P17+P18+P19)</f>
        <v>0.24478449275418504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0.89845115939416431</v>
      </c>
      <c r="DL17" s="283"/>
      <c r="DM17" s="284" t="s">
        <v>1208</v>
      </c>
    </row>
    <row r="18" spans="2:117" ht="21" customHeight="1">
      <c r="B18" s="20"/>
      <c r="C18"/>
      <c r="D18"/>
      <c r="E18"/>
      <c r="F18"/>
      <c r="G18" s="1071"/>
      <c r="H18" s="827"/>
      <c r="I18" s="827"/>
      <c r="J18" s="827"/>
      <c r="K18" s="828"/>
      <c r="M18" s="163" t="str">
        <f>lang!B8</f>
        <v>부정감정</v>
      </c>
      <c r="N18" s="14">
        <f>SUM(N7:N10)/4</f>
        <v>32.581299999999999</v>
      </c>
      <c r="O18" s="16">
        <f>N18/(N17+N18+N19)</f>
        <v>0.26927690094323736</v>
      </c>
      <c r="P18" s="14">
        <f>SUM(P7:P10)/4</f>
        <v>12.143485</v>
      </c>
      <c r="Q18" s="16">
        <f>P18/(P17+P18+P19)</f>
        <v>0.27293810359197751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23.861799999999999</v>
      </c>
      <c r="O19" s="16">
        <f>N19/(N17+N18+N19)</f>
        <v>0.19721225227131334</v>
      </c>
      <c r="P19" s="14">
        <f>(P15+P16)/2</f>
        <v>21.457350000000002</v>
      </c>
      <c r="Q19" s="16">
        <f>P19/(P17+P18+P19)</f>
        <v>0.48227740365383731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2.1090599999999999</v>
      </c>
      <c r="D24" s="34" t="str">
        <f>lang!B11</f>
        <v>편차</v>
      </c>
      <c r="E24" s="1077">
        <f>FH_info!G2*1</f>
        <v>0.510181</v>
      </c>
      <c r="F24" s="1078"/>
      <c r="G24" s="1075" t="str">
        <f>lang!B12</f>
        <v>정보(I)변화량</v>
      </c>
      <c r="H24" s="1076"/>
      <c r="I24" s="51" t="str">
        <f ca="1">CONCATENATE(info!N7,"-",info!N8)</f>
        <v>36.9-48.9</v>
      </c>
      <c r="J24" s="32" t="str">
        <f>lang!B13</f>
        <v>Kcal/분</v>
      </c>
      <c r="K24" s="31" t="str">
        <f ca="1">CONCATENATE(info!N5,"-",info!N6)</f>
        <v>4.1-4.4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56.426099999999998</v>
      </c>
      <c r="F27" s="1043"/>
      <c r="G27" s="1055" t="str">
        <f>lang!B33</f>
        <v>정서안정성</v>
      </c>
      <c r="H27" s="1056"/>
      <c r="I27" s="1057"/>
      <c r="J27" s="993">
        <f>M!B19*100</f>
        <v>46.318100000000001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4.0938600000000003</v>
      </c>
      <c r="H2" s="50">
        <f>IF(FT!B2&lt;&gt;"",FT!B2*100,"")</f>
        <v>36.8889</v>
      </c>
      <c r="I2" s="50">
        <f>(IF(G2&lt;&gt;"",1,""))</f>
        <v>1</v>
      </c>
      <c r="J2" t="str">
        <f>IF(FT!B2&lt;&gt;"",FT!E2,"")</f>
        <v>0 [0.000000]</v>
      </c>
      <c r="K2">
        <f>IF(FT!B2&lt;&gt;"",IF(FT!C2&lt;&gt;"",FT!C2,F2/$M$3*$M$4),"")</f>
        <v>0</v>
      </c>
      <c r="L2" t="s">
        <v>52</v>
      </c>
      <c r="M2">
        <f>FH_info!E2</f>
        <v>4.9234099999999996</v>
      </c>
      <c r="N2" s="75">
        <f>LOOKUP(O3,A2:A1000,B2:B1000)</f>
        <v>2.4906662352941176</v>
      </c>
      <c r="O2" s="50">
        <f>MAX(C2:C1000)</f>
        <v>1</v>
      </c>
      <c r="P2" t="s">
        <v>60</v>
      </c>
      <c r="Q2" t="s">
        <v>61</v>
      </c>
      <c r="R2" t="s">
        <v>62</v>
      </c>
      <c r="S2" t="s">
        <v>63</v>
      </c>
      <c r="T2" t="s">
        <v>64</v>
      </c>
      <c r="V2" s="50">
        <f>FT!G2*10</f>
        <v>4.1611700000000003</v>
      </c>
      <c r="W2" s="50">
        <f>FT!H2*100</f>
        <v>38.227499999999999</v>
      </c>
      <c r="Y2">
        <f>IF(I2=1,H2/G2,"")</f>
        <v>9.0107868857264286</v>
      </c>
      <c r="Z2">
        <f>AVERAGE(Y2:Y2000)</f>
        <v>10.50749081034691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4.1611700000000003</v>
      </c>
      <c r="H3" s="50">
        <f>IF(FT!B3&lt;&gt;"",FT!B3*100,"")</f>
        <v>38.227499999999999</v>
      </c>
      <c r="I3" s="50">
        <f t="shared" ref="I3:I66" si="2">(IF(G3&lt;&gt;"",1,""))</f>
        <v>1</v>
      </c>
      <c r="J3" t="str">
        <f>IF(FT!B3&lt;&gt;"",FT!E3,"")</f>
        <v>0 [0.343539]</v>
      </c>
      <c r="K3">
        <f>IF(FT!B3&lt;&gt;"",IF(FT!C3&lt;&gt;"",FT!C3,F3/$M$3*$M$4),"")</f>
        <v>0.34353899999999998</v>
      </c>
      <c r="L3" t="s">
        <v>53</v>
      </c>
      <c r="M3">
        <f>SUM(I2:I2005)</f>
        <v>25</v>
      </c>
      <c r="O3" s="104">
        <f>MATCH(O2,C2:C1000,0)-1</f>
        <v>129</v>
      </c>
      <c r="P3">
        <v>0</v>
      </c>
      <c r="Q3">
        <v>0</v>
      </c>
      <c r="R3">
        <f>IF(S4=0,M3,0)</f>
        <v>25</v>
      </c>
      <c r="S3">
        <f t="array" ref="S3">MAX(IF(ft_nq=0,row_n))</f>
        <v>1998</v>
      </c>
      <c r="T3">
        <f>R3-Q3</f>
        <v>25</v>
      </c>
      <c r="V3" s="50">
        <f>FT!G3*10</f>
        <v>4.2110700000000003</v>
      </c>
      <c r="W3" s="50">
        <f>FT!H3*100</f>
        <v>47.795900000000003</v>
      </c>
      <c r="Y3" s="75">
        <f t="shared" ref="Y3:Y66" si="3">IF(I3=1,H3/G3,"")</f>
        <v>9.1867191198629232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4.2306500000000007</v>
      </c>
      <c r="H4" s="50">
        <f>IF(FT!B4&lt;&gt;"",FT!B4*100,"")</f>
        <v>40.007399999999997</v>
      </c>
      <c r="I4" s="50">
        <f t="shared" si="2"/>
        <v>1</v>
      </c>
      <c r="J4" t="str">
        <f>IF(FT!B4&lt;&gt;"",FT!E4,"")</f>
        <v>0 [0.764943]</v>
      </c>
      <c r="K4">
        <f>IF(FT!B4&lt;&gt;"",IF(FT!C4&lt;&gt;"",FT!C4,F4/$M$3*$M$4),"")</f>
        <v>0.76494300000000004</v>
      </c>
      <c r="L4" t="s">
        <v>246</v>
      </c>
      <c r="M4">
        <f>IF(M2&lt;&gt;0,M3/M2*2,0)</f>
        <v>10.155562912696688</v>
      </c>
      <c r="P4">
        <f>P3+1</f>
        <v>1</v>
      </c>
      <c r="Q4">
        <v>0</v>
      </c>
      <c r="R4">
        <f>IF(S4=1998,0,S4)</f>
        <v>0</v>
      </c>
      <c r="S4">
        <f t="array" ref="S4">MAX(IF(ft_nq=P4,row_n))</f>
        <v>0</v>
      </c>
      <c r="T4">
        <f>R4-Q4+1</f>
        <v>1</v>
      </c>
      <c r="V4" t="s">
        <v>209</v>
      </c>
      <c r="W4" s="23">
        <f>IF(ISERROR(V3-V2)=FALSE,(V3-V2)*10,0)</f>
        <v>0.49900000000000055</v>
      </c>
      <c r="Y4" s="75">
        <f t="shared" si="3"/>
        <v>9.4565610485386387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v>
      </c>
      <c r="E5" s="50">
        <f t="shared" si="1"/>
        <v>2.2686280082898476E-5</v>
      </c>
      <c r="F5">
        <f t="shared" si="6"/>
        <v>3</v>
      </c>
      <c r="G5" s="50">
        <f>IF(FT!A5&lt;&gt;"",FT!A5*10,"")</f>
        <v>4.2387699999999997</v>
      </c>
      <c r="H5" s="50">
        <f>IF(FT!B5&lt;&gt;"",FT!B5*100,"")</f>
        <v>40.433599999999998</v>
      </c>
      <c r="I5" s="50">
        <f t="shared" si="2"/>
        <v>1</v>
      </c>
      <c r="J5" t="str">
        <f>IF(FT!B5&lt;&gt;"",FT!E5,"")</f>
        <v>0 [1.172431]</v>
      </c>
      <c r="K5">
        <f>IF(FT!B5&lt;&gt;"",IF(FT!C5&lt;&gt;"",FT!C5,F5/$M$3*$M$4),"")</f>
        <v>1.1724300000000001</v>
      </c>
      <c r="L5" t="s">
        <v>54</v>
      </c>
      <c r="M5" s="52">
        <f ca="1">IF(M3&gt;0,MIN(FT_E),0)</f>
        <v>4.0938600000000003</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9.568400000000004</v>
      </c>
      <c r="Y5" s="75">
        <f t="shared" si="3"/>
        <v>9.5389936231501125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4.2558100000000003</v>
      </c>
      <c r="H6" s="50">
        <f>IF(FT!B6&lt;&gt;"",FT!B6*100,"")</f>
        <v>40.590499999999999</v>
      </c>
      <c r="I6" s="50">
        <f t="shared" si="2"/>
        <v>1</v>
      </c>
      <c r="J6" t="str">
        <f>IF(FT!B6&lt;&gt;"",FT!E6,"")</f>
        <v>0 [1.574945]</v>
      </c>
      <c r="K6">
        <f>IF(FT!B6&lt;&gt;"",IF(FT!C6&lt;&gt;"",FT!C6,F6/$M$3*$M$4),"")</f>
        <v>1.57494</v>
      </c>
      <c r="L6" t="s">
        <v>55</v>
      </c>
      <c r="M6" s="52">
        <f ca="1">IF(M3&gt;0,MAX(FT_E),0)</f>
        <v>4.4274300000000002</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19.175150300601189</v>
      </c>
      <c r="Y6" s="75">
        <f t="shared" si="3"/>
        <v>9.5376673300734751</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4.2792200000000005</v>
      </c>
      <c r="H7" s="50">
        <f>IF(FT!B7&lt;&gt;"",FT!B7*100,"")</f>
        <v>40.819899999999997</v>
      </c>
      <c r="I7" s="50">
        <f t="shared" si="2"/>
        <v>1</v>
      </c>
      <c r="J7" t="str">
        <f>IF(FT!B7&lt;&gt;"",FT!E7,"")</f>
        <v>0 [1.979988]</v>
      </c>
      <c r="K7">
        <f>IF(FT!B7&lt;&gt;"",IF(FT!C7&lt;&gt;"",FT!C7,F7/$M$3*$M$4),"")</f>
        <v>1.9799899999999999</v>
      </c>
      <c r="L7" t="s">
        <v>56</v>
      </c>
      <c r="M7" s="366">
        <f ca="1">IF(M3&gt;0,MIN(FT_PH),0)</f>
        <v>36.8889</v>
      </c>
      <c r="N7" s="52">
        <f ca="1">IF(M3&gt;0,ROUND(M7,1),0)</f>
        <v>36.9</v>
      </c>
      <c r="P7">
        <f t="shared" si="10"/>
        <v>4</v>
      </c>
      <c r="Q7">
        <f t="shared" si="12"/>
        <v>0</v>
      </c>
      <c r="R7">
        <f t="shared" si="13"/>
        <v>0</v>
      </c>
      <c r="S7">
        <f t="array" ref="S7">MAX(IF(ft_nq=P7,row_n))</f>
        <v>0</v>
      </c>
      <c r="T7">
        <f t="shared" si="11"/>
        <v>1</v>
      </c>
      <c r="V7" t="s">
        <v>212</v>
      </c>
      <c r="W7" s="23">
        <f>DEGREES(ATAN(W6))</f>
        <v>87.014681992267896</v>
      </c>
      <c r="X7" s="106">
        <v>0.05</v>
      </c>
      <c r="Y7" s="75">
        <f t="shared" si="3"/>
        <v>9.5390982468767653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v>
      </c>
      <c r="E8" s="50">
        <f t="shared" si="1"/>
        <v>4.239235128206329E-5</v>
      </c>
      <c r="F8">
        <f t="shared" si="6"/>
        <v>6</v>
      </c>
      <c r="G8" s="50">
        <f>IF(FT!A8&lt;&gt;"",FT!A8*10,"")</f>
        <v>4.3070000000000004</v>
      </c>
      <c r="H8" s="50">
        <f>IF(FT!B8&lt;&gt;"",FT!B8*100,"")</f>
        <v>41.645400000000002</v>
      </c>
      <c r="I8" s="50">
        <f t="shared" si="2"/>
        <v>1</v>
      </c>
      <c r="J8" t="str">
        <f>IF(FT!B8&lt;&gt;"",FT!E8,"")</f>
        <v>0 [2.401207]</v>
      </c>
      <c r="K8">
        <f>IF(FT!B8&lt;&gt;"",IF(FT!C8&lt;&gt;"",FT!C8,F8/$M$3*$M$4),"")</f>
        <v>2.4012099999999998</v>
      </c>
      <c r="L8" t="s">
        <v>57</v>
      </c>
      <c r="M8" s="52">
        <f ca="1">IF(M3&gt;0,MAX(FT_PH),0)</f>
        <v>48.9024</v>
      </c>
      <c r="N8" s="52">
        <f ca="1">IF(M3&gt;0,ROUND(M8,1),0)</f>
        <v>48.9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9.6692361272347345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4.3376399999999995</v>
      </c>
      <c r="H9" s="50">
        <f>IF(FT!B9&lt;&gt;"",FT!B9*100,"")</f>
        <v>42.625500000000002</v>
      </c>
      <c r="I9" s="50">
        <f t="shared" si="2"/>
        <v>1</v>
      </c>
      <c r="J9" t="str">
        <f>IF(FT!B9&lt;&gt;"",FT!E9,"")</f>
        <v>0 [2.797996]</v>
      </c>
      <c r="K9">
        <f>IF(FT!B9&lt;&gt;"",IF(FT!C9&lt;&gt;"",FT!C9,F9/$M$3*$M$4),"")</f>
        <v>2.798</v>
      </c>
      <c r="L9" t="s">
        <v>222</v>
      </c>
      <c r="M9" s="74">
        <f ca="1">IF(M3&gt;0,IF(COUNT(FT_E)&gt;0,AVERAGE(FT_E),0),0)</f>
        <v>4.2945476000000005</v>
      </c>
      <c r="N9" s="365">
        <f ca="1">IF(M3&gt;0,IF(COUNT(FT_PH)&gt;0,AVERAGE(FT_PH),0),0)</f>
        <v>45.140851999999995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9.8268874318753987</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v>
      </c>
      <c r="E10" s="50">
        <f t="shared" si="1"/>
        <v>6.3640932711193118E-5</v>
      </c>
      <c r="F10">
        <f t="shared" si="6"/>
        <v>8</v>
      </c>
      <c r="G10" s="50">
        <f>IF(FT!A10&lt;&gt;"",FT!A10*10,"")</f>
        <v>4.36348</v>
      </c>
      <c r="H10" s="50">
        <f>IF(FT!B10&lt;&gt;"",FT!B10*100,"")</f>
        <v>43.772299999999994</v>
      </c>
      <c r="I10" s="50">
        <f t="shared" si="2"/>
        <v>1</v>
      </c>
      <c r="J10" t="str">
        <f>IF(FT!B10&lt;&gt;"",FT!E10,"")</f>
        <v>0 [3.195395]</v>
      </c>
      <c r="K10">
        <f>IF(FT!B10&lt;&gt;"",IF(FT!C10&lt;&gt;"",FT!C10,F10/$M$3*$M$4),"")</f>
        <v>3.1953900000000002</v>
      </c>
      <c r="M10">
        <v>2</v>
      </c>
      <c r="P10">
        <f t="shared" si="10"/>
        <v>7</v>
      </c>
      <c r="Q10">
        <f t="shared" si="12"/>
        <v>0</v>
      </c>
      <c r="R10">
        <f t="shared" si="13"/>
        <v>0</v>
      </c>
      <c r="S10">
        <f t="array" ref="S10">MAX(IF(ft_nq=P10,row_n))</f>
        <v>0</v>
      </c>
      <c r="T10">
        <f t="shared" si="11"/>
        <v>1</v>
      </c>
      <c r="V10" t="s">
        <v>215</v>
      </c>
      <c r="X10" s="71" t="s">
        <v>270</v>
      </c>
      <c r="Y10" s="75">
        <f t="shared" si="3"/>
        <v>10.031511545830391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4.3918299999999997</v>
      </c>
      <c r="H11" s="50">
        <f>IF(FT!B11&lt;&gt;"",FT!B11*100,"")</f>
        <v>44.9846</v>
      </c>
      <c r="I11" s="50">
        <f t="shared" si="2"/>
        <v>1</v>
      </c>
      <c r="J11" t="str">
        <f>IF(FT!B11&lt;&gt;"",FT!E11,"")</f>
        <v>0 [3.628756]</v>
      </c>
      <c r="K11">
        <f>IF(FT!B11&lt;&gt;"",IF(FT!C11&lt;&gt;"",FT!C11,F11/$M$3*$M$4),"")</f>
        <v>3.6287600000000002</v>
      </c>
      <c r="M11" s="49">
        <f>MAX(IF(ft_nq=1,row_n))</f>
        <v>0</v>
      </c>
      <c r="P11">
        <f t="shared" si="10"/>
        <v>8</v>
      </c>
      <c r="Q11">
        <f t="shared" si="12"/>
        <v>0</v>
      </c>
      <c r="R11">
        <f t="shared" si="13"/>
        <v>0</v>
      </c>
      <c r="S11">
        <f t="array" ref="S11">MAX(IF(ft_nq=P11,row_n))</f>
        <v>0</v>
      </c>
      <c r="T11">
        <f t="shared" si="11"/>
        <v>1</v>
      </c>
      <c r="V11" s="71" t="s">
        <v>216</v>
      </c>
      <c r="W11" s="23">
        <f>FT!H11*100</f>
        <v>36.8889</v>
      </c>
      <c r="Y11" s="75">
        <f t="shared" si="3"/>
        <v>10.242791729188061</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4.4163399999999999</v>
      </c>
      <c r="H12" s="50">
        <f>IF(FT!B12&lt;&gt;"",FT!B12*100,"")</f>
        <v>45.9846</v>
      </c>
      <c r="I12" s="50">
        <f t="shared" si="2"/>
        <v>1</v>
      </c>
      <c r="J12" t="str">
        <f>IF(FT!B12&lt;&gt;"",FT!E12,"")</f>
        <v>0 [4.022841]</v>
      </c>
      <c r="K12">
        <f>IF(FT!B12&lt;&gt;"",IF(FT!C12&lt;&gt;"",FT!C12,F12/$M$3*$M$4),"")</f>
        <v>4.0228400000000004</v>
      </c>
      <c r="M12">
        <f>M11+1</f>
        <v>1</v>
      </c>
      <c r="P12">
        <f t="shared" si="10"/>
        <v>9</v>
      </c>
      <c r="Q12">
        <f t="shared" si="12"/>
        <v>0</v>
      </c>
      <c r="R12">
        <f t="shared" si="13"/>
        <v>0</v>
      </c>
      <c r="S12">
        <f t="array" ref="S12">MAX(IF(ft_nq=P12,row_n))</f>
        <v>0</v>
      </c>
      <c r="T12">
        <f t="shared" si="11"/>
        <v>1</v>
      </c>
      <c r="V12" s="71" t="s">
        <v>217</v>
      </c>
      <c r="W12" s="23">
        <f>FT!H12*100</f>
        <v>48.9024</v>
      </c>
      <c r="Y12" s="75">
        <f t="shared" si="3"/>
        <v>10.412377670197493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2.7536958243167177E-5</v>
      </c>
      <c r="E13" s="50">
        <f t="shared" si="1"/>
        <v>1.1522836836240688E-4</v>
      </c>
      <c r="F13">
        <f t="shared" si="6"/>
        <v>11</v>
      </c>
      <c r="G13" s="50">
        <f>IF(FT!A13&lt;&gt;"",FT!A13*10,"")</f>
        <v>4.4274300000000002</v>
      </c>
      <c r="H13" s="50">
        <f>IF(FT!B13&lt;&gt;"",FT!B13*100,"")</f>
        <v>46.912500000000001</v>
      </c>
      <c r="I13" s="50">
        <f t="shared" si="2"/>
        <v>1</v>
      </c>
      <c r="J13" t="str">
        <f>IF(FT!B13&lt;&gt;"",FT!E13,"")</f>
        <v>0 [4.428820]</v>
      </c>
      <c r="K13">
        <f>IF(FT!B13&lt;&gt;"",IF(FT!C13&lt;&gt;"",FT!C13,F13/$M$3*$M$4),"")</f>
        <v>4.42882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10.595876162920701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4.4254500000000005</v>
      </c>
      <c r="H14" s="50">
        <f>IF(FT!B14&lt;&gt;"",FT!B14*100,"")</f>
        <v>47.805700000000002</v>
      </c>
      <c r="I14" s="50">
        <f t="shared" si="2"/>
        <v>1</v>
      </c>
      <c r="J14" t="str">
        <f>IF(FT!B14&lt;&gt;"",FT!E14,"")</f>
        <v>0 [4.832881]</v>
      </c>
      <c r="K14">
        <f>IF(FT!B14&lt;&gt;"",IF(FT!C14&lt;&gt;"",FT!C14,F14/$M$3*$M$4),"")</f>
        <v>4.8328800000000003</v>
      </c>
      <c r="M14">
        <f>M13+1</f>
        <v>1</v>
      </c>
      <c r="P14">
        <f t="shared" si="10"/>
        <v>11</v>
      </c>
      <c r="Q14">
        <f t="shared" si="12"/>
        <v>0</v>
      </c>
      <c r="R14">
        <f t="shared" si="13"/>
        <v>0</v>
      </c>
      <c r="S14">
        <f t="array" ref="S14">MAX(IF(ft_nq=P14,row_n))</f>
        <v>0</v>
      </c>
      <c r="T14">
        <f t="shared" si="11"/>
        <v>1</v>
      </c>
      <c r="V14" s="71" t="s">
        <v>221</v>
      </c>
      <c r="W14">
        <f>FT!H14</f>
        <v>16</v>
      </c>
      <c r="Y14" s="75">
        <f t="shared" si="3"/>
        <v>10.80244946841564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1.7440119448936285E-4</v>
      </c>
      <c r="E15" s="50">
        <f t="shared" si="1"/>
        <v>1.6938471460455832E-4</v>
      </c>
      <c r="F15">
        <f t="shared" si="6"/>
        <v>13</v>
      </c>
      <c r="G15" s="50">
        <f>IF(FT!A15&lt;&gt;"",FT!A15*10,"")</f>
        <v>4.4228199999999998</v>
      </c>
      <c r="H15" s="50">
        <f>IF(FT!B15&lt;&gt;"",FT!B15*100,"")</f>
        <v>48.532299999999999</v>
      </c>
      <c r="I15" s="50">
        <f t="shared" si="2"/>
        <v>1</v>
      </c>
      <c r="J15" t="str">
        <f>IF(FT!B15&lt;&gt;"",FT!E15,"")</f>
        <v>0 [5.239391]</v>
      </c>
      <c r="K15">
        <f>IF(FT!B15&lt;&gt;"",IF(FT!C15&lt;&gt;"",FT!C15,F15/$M$3*$M$4),"")</f>
        <v>5.2393900000000002</v>
      </c>
      <c r="M15">
        <f t="array" ref="M15">MAX(IF(ft_nq=3,row_n))</f>
        <v>0</v>
      </c>
      <c r="P15">
        <f t="shared" si="10"/>
        <v>12</v>
      </c>
      <c r="Q15">
        <f t="shared" si="12"/>
        <v>0</v>
      </c>
      <c r="R15">
        <f t="shared" si="13"/>
        <v>0</v>
      </c>
      <c r="S15">
        <f t="array" ref="S15">MAX(IF(ft_nq=P15,row_n))</f>
        <v>0</v>
      </c>
      <c r="T15">
        <f t="shared" si="11"/>
        <v>1</v>
      </c>
      <c r="V15" s="23">
        <f>FT!G15*10</f>
        <v>4.0938600000000003</v>
      </c>
      <c r="W15" s="23">
        <f>FT!H15*100</f>
        <v>36.8889</v>
      </c>
      <c r="Y15" s="75">
        <f t="shared" si="3"/>
        <v>10.973157397316644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3.9010644949556429E-4</v>
      </c>
      <c r="E16" s="50">
        <f t="shared" si="1"/>
        <v>2.0472057137382575E-4</v>
      </c>
      <c r="F16">
        <f t="shared" si="6"/>
        <v>14</v>
      </c>
      <c r="G16" s="50">
        <f>IF(FT!A16&lt;&gt;"",FT!A16*10,"")</f>
        <v>4.4060700000000006</v>
      </c>
      <c r="H16" s="50">
        <f>IF(FT!B16&lt;&gt;"",FT!B16*100,"")</f>
        <v>48.838900000000002</v>
      </c>
      <c r="I16" s="50">
        <f t="shared" si="2"/>
        <v>1</v>
      </c>
      <c r="J16" t="str">
        <f>IF(FT!B16&lt;&gt;"",FT!E16,"")</f>
        <v>0 [5.650158]</v>
      </c>
      <c r="K16">
        <f>IF(FT!B16&lt;&gt;"",IF(FT!C16&lt;&gt;"",FT!C16,F16/$M$3*$M$4),"")</f>
        <v>5.6501599999999996</v>
      </c>
      <c r="M16">
        <f>M15+1</f>
        <v>1</v>
      </c>
      <c r="P16">
        <f t="shared" si="10"/>
        <v>13</v>
      </c>
      <c r="Q16">
        <f t="shared" si="12"/>
        <v>0</v>
      </c>
      <c r="R16">
        <f t="shared" si="13"/>
        <v>0</v>
      </c>
      <c r="S16">
        <f t="array" ref="S16">MAX(IF(ft_nq=P16,row_n))</f>
        <v>0</v>
      </c>
      <c r="T16">
        <f t="shared" si="11"/>
        <v>1</v>
      </c>
      <c r="V16" s="23">
        <f>FT!G16*10</f>
        <v>4.3857800000000005</v>
      </c>
      <c r="W16" s="23">
        <f>FT!H16*100</f>
        <v>48.9024</v>
      </c>
      <c r="Y16" s="75">
        <f t="shared" si="3"/>
        <v>11.084458485679981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4.3857800000000005</v>
      </c>
      <c r="H17" s="50">
        <f>IF(FT!B17&lt;&gt;"",FT!B17*100,"")</f>
        <v>48.9024</v>
      </c>
      <c r="I17" s="50">
        <f t="shared" si="2"/>
        <v>1</v>
      </c>
      <c r="J17" t="str">
        <f>IF(FT!B17&lt;&gt;"",FT!E17,"")</f>
        <v>0 [6.073484]</v>
      </c>
      <c r="K17">
        <f>IF(FT!B17&lt;&gt;"",IF(FT!C17&lt;&gt;"",FT!C17,F17/$M$3*$M$4),"")</f>
        <v>6.07348</v>
      </c>
      <c r="M17">
        <f>M3+1</f>
        <v>26</v>
      </c>
      <c r="P17">
        <f t="shared" si="10"/>
        <v>14</v>
      </c>
      <c r="Q17">
        <f t="shared" si="12"/>
        <v>0</v>
      </c>
      <c r="R17">
        <f t="shared" si="13"/>
        <v>0</v>
      </c>
      <c r="S17">
        <f t="array" ref="S17">MAX(IF(ft_nq=P17,row_n))</f>
        <v>0</v>
      </c>
      <c r="T17">
        <f t="shared" si="11"/>
        <v>1</v>
      </c>
      <c r="V17" t="s">
        <v>1522</v>
      </c>
      <c r="Y17" s="75">
        <f t="shared" si="3"/>
        <v>11.150217293161079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4.3921448397851648E-3</v>
      </c>
      <c r="E18" s="50">
        <f t="shared" si="1"/>
        <v>2.9716369761879154E-4</v>
      </c>
      <c r="F18">
        <f t="shared" si="6"/>
        <v>16</v>
      </c>
      <c r="G18" s="50">
        <f>IF(FT!A18&lt;&gt;"",FT!A18*10,"")</f>
        <v>4.3611699999999995</v>
      </c>
      <c r="H18" s="50">
        <f>IF(FT!B18&lt;&gt;"",FT!B18*100,"")</f>
        <v>48.719200000000001</v>
      </c>
      <c r="I18" s="50">
        <f t="shared" si="2"/>
        <v>1</v>
      </c>
      <c r="J18" t="str">
        <f>IF(FT!B18&lt;&gt;"",FT!E18,"")</f>
        <v>0 [6.442861]</v>
      </c>
      <c r="K18">
        <f>IF(FT!B18&lt;&gt;"",IF(FT!C18&lt;&gt;"",FT!C18,F18/$M$3*$M$4),"")</f>
        <v>6.4428599999999996</v>
      </c>
      <c r="P18">
        <f t="shared" si="10"/>
        <v>15</v>
      </c>
      <c r="Q18">
        <f t="shared" si="12"/>
        <v>0</v>
      </c>
      <c r="R18">
        <f t="shared" si="13"/>
        <v>0</v>
      </c>
      <c r="S18">
        <f t="array" ref="S18">MAX(IF(ft_nq=P18,row_n))</f>
        <v>0</v>
      </c>
      <c r="T18">
        <f t="shared" si="11"/>
        <v>1</v>
      </c>
      <c r="V18" s="288">
        <f>M!B18*100</f>
        <v>56.426099999999998</v>
      </c>
      <c r="W18" s="287">
        <f>100-M!B19*100</f>
        <v>53.681899999999999</v>
      </c>
      <c r="X18" t="str">
        <f>"(" &amp; ROUND(V18,1) &amp; " , " &amp; ROUND(100-W18,1) &amp; ")"</f>
        <v>(56.4 , 46.3)</v>
      </c>
      <c r="Y18" s="75">
        <f t="shared" si="3"/>
        <v>11.171130682821355</v>
      </c>
      <c r="Z18">
        <f>M!B18*100</f>
        <v>56.426099999999998</v>
      </c>
      <c r="AA18">
        <f>100-M!B19*100</f>
        <v>53.681899999999999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9.7756201763243475E-4</v>
      </c>
      <c r="E19" s="50">
        <f t="shared" si="1"/>
        <v>3.5689688220270742E-4</v>
      </c>
      <c r="F19">
        <f t="shared" si="6"/>
        <v>17</v>
      </c>
      <c r="G19" s="50">
        <f>IF(FT!A19&lt;&gt;"",FT!A19*10,"")</f>
        <v>4.3181000000000003</v>
      </c>
      <c r="H19" s="50">
        <f>IF(FT!B19&lt;&gt;"",FT!B19*100,"")</f>
        <v>48.325200000000002</v>
      </c>
      <c r="I19" s="50">
        <f t="shared" si="2"/>
        <v>1</v>
      </c>
      <c r="J19" t="str">
        <f>IF(FT!B19&lt;&gt;"",FT!E19,"")</f>
        <v>0 [6.860685]</v>
      </c>
      <c r="K19">
        <f>IF(FT!B19&lt;&gt;"",IF(FT!C19&lt;&gt;"",FT!C19,F19/$M$3*$M$4),"")</f>
        <v>6.86069</v>
      </c>
      <c r="P19">
        <f t="shared" si="10"/>
        <v>16</v>
      </c>
      <c r="Q19">
        <f t="shared" si="12"/>
        <v>0</v>
      </c>
      <c r="R19">
        <f t="shared" si="13"/>
        <v>0</v>
      </c>
      <c r="S19">
        <f t="array" ref="S19">MAX(IF(ft_nq=P19,row_n))</f>
        <v>0</v>
      </c>
      <c r="T19">
        <f t="shared" si="11"/>
        <v>1</v>
      </c>
      <c r="V19" t="s">
        <v>1521</v>
      </c>
      <c r="Y19" s="75">
        <f t="shared" si="3"/>
        <v>11.191310993260926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4.2837399999999999</v>
      </c>
      <c r="H20" s="50">
        <f>IF(FT!B20&lt;&gt;"",FT!B20*100,"")</f>
        <v>48.188299999999998</v>
      </c>
      <c r="I20" s="50">
        <f t="shared" si="2"/>
        <v>1</v>
      </c>
      <c r="J20" t="str">
        <f>IF(FT!B20&lt;&gt;"",FT!E20,"")</f>
        <v>0 [7.261841]</v>
      </c>
      <c r="K20">
        <f>IF(FT!B20&lt;&gt;"",IF(FT!C20&lt;&gt;"",FT!C20,F20/$M$3*$M$4),"")</f>
        <v>7.2618400000000003</v>
      </c>
      <c r="P20">
        <f t="shared" si="10"/>
        <v>17</v>
      </c>
      <c r="Q20">
        <f t="shared" si="12"/>
        <v>0</v>
      </c>
      <c r="R20">
        <f t="shared" si="13"/>
        <v>0</v>
      </c>
      <c r="S20">
        <f t="array" ref="S20">MAX(IF(ft_nq=P20,row_n))</f>
        <v>0</v>
      </c>
      <c r="T20">
        <f t="shared" si="11"/>
        <v>1</v>
      </c>
      <c r="V20" s="56">
        <v>50</v>
      </c>
      <c r="W20">
        <v>50</v>
      </c>
      <c r="Y20" s="75">
        <f t="shared" si="3"/>
        <v>11.2491187607091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3.3163678546651552E-2</v>
      </c>
      <c r="E21" s="50">
        <f t="shared" si="1"/>
        <v>5.1155989191839816E-4</v>
      </c>
      <c r="F21">
        <f t="shared" si="6"/>
        <v>19</v>
      </c>
      <c r="G21" s="50">
        <f>IF(FT!A21&lt;&gt;"",FT!A21*10,"")</f>
        <v>4.2589199999999998</v>
      </c>
      <c r="H21" s="50">
        <f>IF(FT!B21&lt;&gt;"",FT!B21*100,"")</f>
        <v>48.078299999999999</v>
      </c>
      <c r="I21" s="50">
        <f t="shared" si="2"/>
        <v>1</v>
      </c>
      <c r="J21" t="str">
        <f>IF(FT!B21&lt;&gt;"",FT!E21,"")</f>
        <v>0 [7.667898]</v>
      </c>
      <c r="K21">
        <f>IF(FT!B21&lt;&gt;"",IF(FT!C21&lt;&gt;"",FT!C21,F21/$M$3*$M$4),"")</f>
        <v>7.6679000000000004</v>
      </c>
      <c r="P21">
        <f t="shared" si="10"/>
        <v>18</v>
      </c>
      <c r="Q21">
        <f t="shared" si="12"/>
        <v>0</v>
      </c>
      <c r="R21">
        <f t="shared" si="13"/>
        <v>0</v>
      </c>
      <c r="S21">
        <f t="array" ref="S21">MAX(IF(ft_nq=P21,row_n))</f>
        <v>0</v>
      </c>
      <c r="T21">
        <f t="shared" si="11"/>
        <v>1</v>
      </c>
      <c r="V21" s="288">
        <f>Measurement!DK17*100</f>
        <v>89.845115939416431</v>
      </c>
      <c r="W21" s="287">
        <f>'R3'!I3</f>
        <v>61.533404221200904</v>
      </c>
      <c r="X21" t="str">
        <f>"(" &amp; ROUND(V21,1) &amp; " , " &amp; ROUND(W21,1) &amp; ")" &amp; CHAR(10) &amp; AR26</f>
        <v>(89.8 , 61.5)
자랑스러운</v>
      </c>
      <c r="Y21" s="75">
        <f t="shared" si="3"/>
        <v>11.288847876926544</v>
      </c>
      <c r="AA21">
        <f>100-M!B19*100</f>
        <v>53.681899999999999</v>
      </c>
      <c r="AC21">
        <f>'R3'!I3</f>
        <v>61.533404221200904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4.2346399999999997</v>
      </c>
      <c r="H22" s="50">
        <f>IF(FT!B22&lt;&gt;"",FT!B22*100,"")</f>
        <v>47.964700000000001</v>
      </c>
      <c r="I22" s="50">
        <f t="shared" si="2"/>
        <v>1</v>
      </c>
      <c r="J22" t="str">
        <f>IF(FT!B22&lt;&gt;"",FT!E22,"")</f>
        <v>0 [8.076612]</v>
      </c>
      <c r="K22">
        <f>IF(FT!B22&lt;&gt;"",IF(FT!C22&lt;&gt;"",FT!C22,F22/$M$3*$M$4),"")</f>
        <v>8.0766100000000005</v>
      </c>
      <c r="P22">
        <f t="shared" si="10"/>
        <v>19</v>
      </c>
      <c r="Q22">
        <f t="shared" si="12"/>
        <v>0</v>
      </c>
      <c r="R22">
        <f t="shared" si="13"/>
        <v>0</v>
      </c>
      <c r="S22">
        <f t="array" ref="S22">MAX(IF(ft_nq=P22,row_n))</f>
        <v>0</v>
      </c>
      <c r="T22">
        <f t="shared" si="11"/>
        <v>1</v>
      </c>
      <c r="V22" s="300">
        <f>X23</f>
        <v>90</v>
      </c>
      <c r="W22" s="300">
        <f>X23</f>
        <v>90</v>
      </c>
      <c r="X22" t="s">
        <v>1188</v>
      </c>
      <c r="Y22" s="75">
        <f t="shared" si="3"/>
        <v>11.326747964407836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6.1444127778144682E-2</v>
      </c>
      <c r="E23" s="50">
        <f t="shared" si="1"/>
        <v>7.2710399246906645E-4</v>
      </c>
      <c r="F23">
        <f t="shared" si="6"/>
        <v>21</v>
      </c>
      <c r="G23" s="50">
        <f>IF(FT!A23&lt;&gt;"",FT!A23*10,"")</f>
        <v>4.2110700000000003</v>
      </c>
      <c r="H23" s="50">
        <f>IF(FT!B23&lt;&gt;"",FT!B23*100,"")</f>
        <v>47.795900000000003</v>
      </c>
      <c r="I23" s="50">
        <f t="shared" si="2"/>
        <v>1</v>
      </c>
      <c r="J23" t="str">
        <f>IF(FT!B23&lt;&gt;"",FT!E23,"")</f>
        <v>0 [8.477654]</v>
      </c>
      <c r="K23">
        <f>IF(FT!B23&lt;&gt;"",IF(FT!C23&lt;&gt;"",FT!C23,F23/$M$3*$M$4),"")</f>
        <v>8.4776500000000006</v>
      </c>
      <c r="P23">
        <f t="shared" si="10"/>
        <v>20</v>
      </c>
      <c r="Q23">
        <f t="shared" si="12"/>
        <v>0</v>
      </c>
      <c r="R23">
        <f t="shared" si="13"/>
        <v>0</v>
      </c>
      <c r="S23">
        <f t="array" ref="S23">MAX(IF(ft_nq=P23,row_n))</f>
        <v>0</v>
      </c>
      <c r="T23">
        <f t="shared" si="11"/>
        <v>1</v>
      </c>
      <c r="V23" s="300">
        <f>100-X23</f>
        <v>10</v>
      </c>
      <c r="W23" s="300">
        <f>X23</f>
        <v>90</v>
      </c>
      <c r="X23">
        <v>90</v>
      </c>
      <c r="Y23" s="75">
        <f t="shared" si="3"/>
        <v>11.350060673415545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6.3463510682317897E-2</v>
      </c>
      <c r="E24" s="50">
        <f t="shared" si="1"/>
        <v>8.6412469495482391E-4</v>
      </c>
      <c r="F24">
        <f t="shared" si="6"/>
        <v>22</v>
      </c>
      <c r="G24" s="50">
        <f>IF(FT!A24&lt;&gt;"",FT!A24*10,"")</f>
        <v>4.1964699999999997</v>
      </c>
      <c r="H24" s="50">
        <f>IF(FT!B24&lt;&gt;"",FT!B24*100,"")</f>
        <v>47.555700000000002</v>
      </c>
      <c r="I24" s="50">
        <f t="shared" si="2"/>
        <v>1</v>
      </c>
      <c r="J24" t="str">
        <f>IF(FT!B24&lt;&gt;"",FT!E24,"")</f>
        <v>0 [8.898823]</v>
      </c>
      <c r="K24">
        <f>IF(FT!B24&lt;&gt;"",IF(FT!C24&lt;&gt;"",FT!C24,F24/$M$3*$M$4),"")</f>
        <v>8.8988200000000006</v>
      </c>
      <c r="P24">
        <f t="shared" si="10"/>
        <v>21</v>
      </c>
      <c r="Q24">
        <f t="shared" si="12"/>
        <v>0</v>
      </c>
      <c r="R24">
        <f t="shared" si="13"/>
        <v>0</v>
      </c>
      <c r="S24">
        <f t="array" ref="S24">MAX(IF(ft_nq=P24,row_n))</f>
        <v>0</v>
      </c>
      <c r="T24">
        <f t="shared" si="11"/>
        <v>1</v>
      </c>
      <c r="V24" s="300">
        <f>100-X23</f>
        <v>10</v>
      </c>
      <c r="W24" s="300">
        <f>100-X23</f>
        <v>10</v>
      </c>
      <c r="Y24" s="75">
        <f t="shared" si="3"/>
        <v>11.332310251234968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4.1848099999999997</v>
      </c>
      <c r="H25" s="50">
        <f>IF(FT!B25&lt;&gt;"",FT!B25*100,"")</f>
        <v>47.305100000000003</v>
      </c>
      <c r="I25" s="50">
        <f t="shared" si="2"/>
        <v>1</v>
      </c>
      <c r="J25" t="str">
        <f>IF(FT!B25&lt;&gt;"",FT!E25,"")</f>
        <v>0 [9.293511]</v>
      </c>
      <c r="K25">
        <f>IF(FT!B25&lt;&gt;"",IF(FT!C25&lt;&gt;"",FT!C25,F25/$M$3*$M$4),"")</f>
        <v>9.2935099999999995</v>
      </c>
      <c r="P25">
        <f t="shared" si="10"/>
        <v>22</v>
      </c>
      <c r="Q25">
        <f t="shared" si="12"/>
        <v>0</v>
      </c>
      <c r="R25">
        <f t="shared" si="13"/>
        <v>0</v>
      </c>
      <c r="S25">
        <f t="array" ref="S25">MAX(IF(ft_nq=P25,row_n))</f>
        <v>0</v>
      </c>
      <c r="T25">
        <f t="shared" si="11"/>
        <v>1</v>
      </c>
      <c r="V25" s="300">
        <f>X23</f>
        <v>90</v>
      </c>
      <c r="W25" s="300">
        <f>100-X23</f>
        <v>10</v>
      </c>
      <c r="Y25" s="75">
        <f t="shared" si="3"/>
        <v>11.304001854325527</v>
      </c>
    </row>
    <row r="26" spans="1:120">
      <c r="A26" s="50">
        <f t="shared" si="5"/>
        <v>24</v>
      </c>
      <c r="B26" s="50">
        <f t="shared" si="0"/>
        <v>0.46337976470588232</v>
      </c>
      <c r="C26" s="50">
        <f>IF(FH!$C$2&gt;0,FH!A26/FH!$C$2,0)</f>
        <v>0</v>
      </c>
      <c r="D26" s="50">
        <f>IF(hist!$D$2&gt;0,hist!B26/hist!$D$2,0)</f>
        <v>0.25648382774888567</v>
      </c>
      <c r="E26" s="50">
        <f t="shared" si="1"/>
        <v>1.2128188079122912E-3</v>
      </c>
      <c r="F26">
        <f t="shared" si="6"/>
        <v>24</v>
      </c>
      <c r="G26" s="50">
        <f>IF(FT!A26&lt;&gt;"",FT!A26*10,"")</f>
        <v>4.1714500000000001</v>
      </c>
      <c r="H26" s="50">
        <f>IF(FT!B26&lt;&gt;"",FT!B26*100,"")</f>
        <v>47.616900000000001</v>
      </c>
      <c r="I26" s="50">
        <f t="shared" si="2"/>
        <v>1</v>
      </c>
      <c r="J26" t="str">
        <f>IF(FT!B26&lt;&gt;"",FT!E26,"")</f>
        <v>0 [9.719098]</v>
      </c>
      <c r="K26">
        <f>IF(FT!B26&lt;&gt;"",IF(FT!C26&lt;&gt;"",FT!C26,F26/$M$3*$M$4),"")</f>
        <v>9.7190999999999992</v>
      </c>
      <c r="P26">
        <f t="shared" si="10"/>
        <v>23</v>
      </c>
      <c r="Q26">
        <f t="shared" si="12"/>
        <v>0</v>
      </c>
      <c r="R26">
        <f t="shared" si="13"/>
        <v>0</v>
      </c>
      <c r="S26">
        <f t="array" ref="S26">MAX(IF(ft_nq=P26,row_n))</f>
        <v>0</v>
      </c>
      <c r="T26">
        <f t="shared" si="11"/>
        <v>1</v>
      </c>
      <c r="V26" s="300">
        <f>X23</f>
        <v>90</v>
      </c>
      <c r="W26" s="300">
        <f>X23</f>
        <v>90</v>
      </c>
      <c r="Y26" s="75">
        <f t="shared" si="3"/>
        <v>11.414951635522421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0.48268725490196074</v>
      </c>
      <c r="C27" s="50">
        <f>IF(FH!$C$2&gt;0,FH!A27/FH!$C$2,0)</f>
        <v>0</v>
      </c>
      <c r="D27" s="50">
        <f>IF(hist!$D$2&gt;0,hist!B27/hist!$D$2,0)</f>
        <v>5.3398751067592377E-2</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v>
      </c>
      <c r="D28" s="50">
        <f>IF(hist!$D$2&gt;0,hist!B28/hist!$D$2,0)</f>
        <v>0.1964348888739372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0.40123641438177066</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7.1011228295418073E-3</v>
      </c>
      <c r="D31" s="50">
        <f>IF(hist!$D$2&gt;0,hist!B31/hist!$D$2,0)</f>
        <v>0.61146274682361834</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기분 상태에 있지만 점점 기분이 나아지는 긍정적인 방향성을 갖고 있다. 에너지 대사량이 매우 크며 거의 변화가 없는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6.3301397216927943E-3</v>
      </c>
      <c r="D32" s="50">
        <f>IF(hist!$D$2&gt;0,hist!B32/hist!$D$2,0)</f>
        <v>0.31246646936463618</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2.1709155051596759E-2</v>
      </c>
      <c r="D33" s="50">
        <f>IF(hist!$D$2&gt;0,hist!B33/hist!$D$2,0)</f>
        <v>0.42013139256872029</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0.510181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2.9621907816063872E-2</v>
      </c>
      <c r="D34" s="50">
        <f>IF(hist!$D$2&gt;0,hist!B34/hist!$D$2,0)</f>
        <v>0.63368967217472882</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48.981900000000003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2.5888677117625838E-2</v>
      </c>
      <c r="D35" s="50">
        <f>IF(hist!$D$2&gt;0,hist!B35/hist!$D$2,0)</f>
        <v>0.21505445892671365</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70.301999999999992</v>
      </c>
      <c r="W35" s="23">
        <f>IF(FH_info!G2*1&lt;&gt;0,(1-NORMSDIST((FH_info!G2*1-0.5308)/0.1538))*100,0)</f>
        <v>55.332390572265489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3.716926520421409E-2</v>
      </c>
      <c r="D36" s="50">
        <f>IF(hist!$D$2&gt;0,hist!B36/hist!$D$2,0)</f>
        <v>0.72372635719963829</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2.1090599999999999</v>
      </c>
      <c r="W36" s="495">
        <f>IF(W34&gt;=60,30/40*(W34-60)+70,IF(W34&gt;=35,35/25*(W34-35)+35,IF(W34&gt;=0,W34,0)))</f>
        <v>54.574660000000002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5.9162578786957798E-2</v>
      </c>
      <c r="D37" s="50">
        <f>IF(hist!$D$2&gt;0,hist!B37/hist!$D$2,0)</f>
        <v>0.73016537233531509</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2.6740811857170855E-2</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4.2647355399835822E-2</v>
      </c>
      <c r="D39" s="50">
        <f>IF(hist!$D$2&gt;0,hist!B39/hist!$D$2,0)</f>
        <v>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3.4450671340152304E-2</v>
      </c>
      <c r="D40" s="50">
        <f>IF(hist!$D$2&gt;0,hist!B40/hist!$D$2,0)</f>
        <v>0.50401814544558998</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3.2665165015892311E-2</v>
      </c>
      <c r="D41" s="50">
        <f>IF(hist!$D$2&gt;0,hist!B41/hist!$D$2,0)</f>
        <v>0.48828078344755527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2.6294435276105858E-2</v>
      </c>
      <c r="D42" s="50">
        <f>IF(hist!$D$2&gt;0,hist!B42/hist!$D$2,0)</f>
        <v>0.73402515204562468</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1.9315054096353718E-2</v>
      </c>
      <c r="D43" s="50">
        <f>IF(hist!$D$2&gt;0,hist!B43/hist!$D$2,0)</f>
        <v>0.2466347733891664</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13.5052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3.8183873634099023E-2</v>
      </c>
      <c r="D44" s="50">
        <f>IF(hist!$D$2&gt;0,hist!B44/hist!$D$2,0)</f>
        <v>0.67615623567445671</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4.1267749256512443E-2</v>
      </c>
      <c r="D45" s="50">
        <f>IF(hist!$D$2&gt;0,hist!B45/hist!$D$2,0)</f>
        <v>0.68058968870530256</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5.1371510863297706E-2</v>
      </c>
      <c r="D46" s="50">
        <f>IF(hist!$D$2&gt;0,hist!B46/hist!$D$2,0)</f>
        <v>0.40569738922553256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2.4833649096595155E-2</v>
      </c>
      <c r="D47" s="50">
        <f>IF(hist!$D$2&gt;0,hist!B47/hist!$D$2,0)</f>
        <v>0.40647304200423862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2.2967047949621795E-2</v>
      </c>
      <c r="D48" s="50">
        <f>IF(hist!$D$2&gt;0,hist!B48/hist!$D$2,0)</f>
        <v>0.40976368648473049</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3.2705783438477291E-2</v>
      </c>
      <c r="D49" s="50">
        <f>IF(hist!$D$2&gt;0,hist!B49/hist!$D$2,0)</f>
        <v>0.5542730942393701</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2.1181626838835756E-2</v>
      </c>
      <c r="D50" s="50">
        <f>IF(hist!$D$2&gt;0,hist!B50/hist!$D$2,0)</f>
        <v>0.37230428926497383</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3.3476681332852344E-2</v>
      </c>
      <c r="D51" s="50">
        <f>IF(hist!$D$2&gt;0,hist!B51/hist!$D$2,0)</f>
        <v>0.52440005741951456</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3.2949209929073985E-2</v>
      </c>
      <c r="D52" s="50">
        <f>IF(hist!$D$2&gt;0,hist!B52/hist!$D$2,0)</f>
        <v>0.33800240083999505</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89.845115939416431</v>
      </c>
      <c r="W52" s="303">
        <f ca="1">100-N9</f>
        <v>54.859148000000005</v>
      </c>
      <c r="X52" t="str">
        <f ca="1">"(" &amp; ROUND(V52,1) &amp; " , " &amp; ROUND(100-W52,1) &amp; ")"</f>
        <v>(89.8 , 45.1)</v>
      </c>
      <c r="Y52" s="75" t="str">
        <f t="shared" si="3"/>
        <v/>
      </c>
    </row>
    <row r="53" spans="1:25">
      <c r="A53" s="50">
        <f t="shared" si="5"/>
        <v>51</v>
      </c>
      <c r="B53" s="50">
        <f t="shared" si="0"/>
        <v>0.98468199999999995</v>
      </c>
      <c r="C53" s="50">
        <f>IF(FH!$C$2&gt;0,FH!A53/FH!$C$2,0)</f>
        <v>8.2373024822684961E-3</v>
      </c>
      <c r="D53" s="50">
        <f>IF(hist!$D$2&gt;0,hist!B53/hist!$D$2,0)</f>
        <v>0.17034362506908005</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2.4549604183413481E-2</v>
      </c>
      <c r="D54" s="50">
        <f>IF(hist!$D$2&gt;0,hist!B54/hist!$D$2,0)</f>
        <v>0.46960152703778679</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2.9621907816063872E-2</v>
      </c>
      <c r="D55" s="50">
        <f>IF(hist!$D$2&gt;0,hist!B55/hist!$D$2,0)</f>
        <v>0.29981323429820506</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3.3233254842255658E-2</v>
      </c>
      <c r="D56" s="50">
        <f>IF(hist!$D$2&gt;0,hist!B56/hist!$D$2,0)</f>
        <v>0.30397132050031495</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6.0907466688632804E-2</v>
      </c>
      <c r="D57" s="50">
        <f>IF(hist!$D$2&gt;0,hist!B57/hist!$D$2,0)</f>
        <v>0.37732515380482329</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3.5870895906060671E-2</v>
      </c>
      <c r="D58" s="50">
        <f>IF(hist!$D$2&gt;0,hist!B58/hist!$D$2,0)</f>
        <v>0.2547306253441784</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3.6154940819242344E-2</v>
      </c>
      <c r="D59" s="50">
        <f>IF(hist!$D$2&gt;0,hist!B59/hist!$D$2,0)</f>
        <v>0.33379382975549005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3.4328816072397364E-2</v>
      </c>
      <c r="D60" s="50">
        <f>IF(hist!$D$2&gt;0,hist!B60/hist!$D$2,0)</f>
        <v>0.20531555377681487</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3.2989828351658965E-2</v>
      </c>
      <c r="D61" s="50">
        <f>IF(hist!$D$2&gt;0,hist!B61/hist!$D$2,0)</f>
        <v>0.10456700438694448</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8.3427967630241684E-2</v>
      </c>
      <c r="D62" s="50">
        <f>IF(hist!$D$2&gt;0,hist!B62/hist!$D$2,0)</f>
        <v>0.350802490504737</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5.6687127368579525E-2</v>
      </c>
      <c r="D63" s="50">
        <f>IF(hist!$D$2&gt;0,hist!B63/hist!$D$2,0)</f>
        <v>8.2496133731893892E-2</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0.12011037985326241</v>
      </c>
      <c r="D64" s="50">
        <f>IF(hist!$D$2&gt;0,hist!B64/hist!$D$2,0)</f>
        <v>0.30110747408932975</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5.3441062100739366E-2</v>
      </c>
      <c r="D65" s="50">
        <f>IF(hist!$D$2&gt;0,hist!B65/hist!$D$2,0)</f>
        <v>6.7194767147419135E-2</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0.11284706737829385</v>
      </c>
      <c r="D66" s="50">
        <f>IF(hist!$D$2&gt;0,hist!B66/hist!$D$2,0)</f>
        <v>0.13583523010999621</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0.15265397364631297</v>
      </c>
      <c r="D67" s="50">
        <f>IF(hist!$D$2&gt;0,hist!B67/hist!$D$2,0)</f>
        <v>0.17928855710195357</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0.24813339885302663</v>
      </c>
      <c r="D68" s="50">
        <f>IF(hist!$D$2&gt;0,hist!B68/hist!$D$2,0)</f>
        <v>0.1110381950814804</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0.30786491960108731</v>
      </c>
      <c r="D69" s="50">
        <f>IF(hist!$D$2&gt;0,hist!B69/hist!$D$2,0)</f>
        <v>0.1522243024145323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0.28542537145973523</v>
      </c>
      <c r="D70" s="50">
        <f>IF(hist!$D$2&gt;0,hist!B70/hist!$D$2,0)</f>
        <v>0.1037317161946191</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0.22703312247732613</v>
      </c>
      <c r="D71" s="50">
        <f>IF(hist!$D$2&gt;0,hist!B71/hist!$D$2,0)</f>
        <v>4.8290646690332784E-2</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0.46189679512124454</v>
      </c>
      <c r="D72" s="50">
        <f>IF(hist!$D$2&gt;0,hist!B72/hist!$D$2,0)</f>
        <v>0.18498870608144125</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0.44018724240676932</v>
      </c>
      <c r="D73" s="50">
        <f>IF(hist!$D$2&gt;0,hist!B73/hist!$D$2,0)</f>
        <v>8.9242691255165679E-2</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0.2649326671533303</v>
      </c>
      <c r="D74" s="50">
        <f>IF(hist!$D$2&gt;0,hist!B74/hist!$D$2,0)</f>
        <v>4.4655768202234714E-2</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0.5699162351551027</v>
      </c>
      <c r="D75" s="50">
        <f>IF(hist!$D$2&gt;0,hist!B75/hist!$D$2,0)</f>
        <v>0.16539615616088407</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0.3552180470776039</v>
      </c>
      <c r="D76" s="50">
        <f>IF(hist!$D$2&gt;0,hist!B76/hist!$D$2,0)</f>
        <v>4.0906150093376926E-2</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0.49651050824156318</v>
      </c>
      <c r="D77" s="50">
        <f>IF(hist!$D$2&gt;0,hist!B77/hist!$D$2,0)</f>
        <v>0.11324574077502501</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0.41710007186336306</v>
      </c>
      <c r="D78" s="50">
        <f>IF(hist!$D$2&gt;0,hist!B78/hist!$D$2,0)</f>
        <v>7.6332446873211501E-2</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0.3439386235751597</v>
      </c>
      <c r="D79" s="50">
        <f>IF(hist!$D$2&gt;0,hist!B79/hist!$D$2,0)</f>
        <v>3.7046389658938125E-2</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0.48636726439184569</v>
      </c>
      <c r="D80" s="50">
        <f>IF(hist!$D$2&gt;0,hist!B80/hist!$D$2,0)</f>
        <v>0.14132884914896429</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0.418480530141426</v>
      </c>
      <c r="D81" s="50">
        <f>IF(hist!$D$2&gt;0,hist!B81/hist!$D$2,0)</f>
        <v>6.7635363986701461E-2</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0.50000142022456595</v>
      </c>
      <c r="D82" s="50">
        <f>IF(hist!$D$2&gt;0,hist!B82/hist!$D$2,0)</f>
        <v>9.7347744684774667E-2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0.33606489858176375</v>
      </c>
      <c r="D83" s="50">
        <f>IF(hist!$D$2&gt;0,hist!B83/hist!$D$2,0)</f>
        <v>6.5726126161805079E-2</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0.34600647054312228</v>
      </c>
      <c r="D84" s="50">
        <f>IF(hist!$D$2&gt;0,hist!B84/hist!$D$2,0)</f>
        <v>3.1084638199292431E-2</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0.4764256924304871</v>
      </c>
      <c r="D85" s="50">
        <f>IF(hist!$D$2&gt;0,hist!B85/hist!$D$2,0)</f>
        <v>8.9779660564059532E-2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0.32835591963801319</v>
      </c>
      <c r="D86" s="50">
        <f>IF(hist!$D$2&gt;0,hist!B86/hist!$D$2,0)</f>
        <v>6.0406912447870074E-2</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0.33152017997085698</v>
      </c>
      <c r="D87" s="50">
        <f>IF(hist!$D$2&gt;0,hist!B87/hist!$D$2,0)</f>
        <v>2.9368165966337789E-2</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0.77808139022942313</v>
      </c>
      <c r="D88" s="50">
        <f>IF(hist!$D$2&gt;0,hist!B88/hist!$D$2,0)</f>
        <v>0.14280666682591289</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0.31293512130138013</v>
      </c>
      <c r="D89" s="50">
        <f>IF(hist!$D$2&gt;0,hist!B89/hist!$D$2,0)</f>
        <v>2.7729715574021433E-2</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0.41543556867211845</v>
      </c>
      <c r="D90" s="50">
        <f>IF(hist!$D$2&gt;0,hist!B90/hist!$D$2,0)</f>
        <v>8.414376769978435E-2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0.26448643259472188</v>
      </c>
      <c r="D91" s="50">
        <f>IF(hist!$D$2&gt;0,hist!B91/hist!$D$2,0)</f>
        <v>5.5982636108358866E-2</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0.29451480868154872</v>
      </c>
      <c r="D92" s="50">
        <f>IF(hist!$D$2&gt;0,hist!B92/hist!$D$2,0)</f>
        <v>2.7803151134264313E-2</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0.35550209199078558</v>
      </c>
      <c r="D93" s="50">
        <f>IF(hist!$D$2&gt;0,hist!B93/hist!$D$2,0)</f>
        <v>8.0040760921552448E-2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0.23352553705791959</v>
      </c>
      <c r="D94" s="50">
        <f>IF(hist!$D$2&gt;0,hist!B94/hist!$D$2,0)</f>
        <v>5.3219759462163875E-2</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0.37538523591350265</v>
      </c>
      <c r="D95" s="50">
        <f>IF(hist!$D$2&gt;0,hist!B95/hist!$D$2,0)</f>
        <v>0.10217588218442389</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0.30680827252405146</v>
      </c>
      <c r="D96" s="50">
        <f>IF(hist!$D$2&gt;0,hist!B96/hist!$D$2,0)</f>
        <v>5.0383455516813482E-2</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0.233931153193943</v>
      </c>
      <c r="D97" s="50">
        <f>IF(hist!$D$2&gt;0,hist!B97/hist!$D$2,0)</f>
        <v>2.477408435066801E-2</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0.30672873994836064</v>
      </c>
      <c r="D98" s="50">
        <f>IF(hist!$D$2&gt;0,hist!B98/hist!$D$2,0)</f>
        <v>7.200914442903425E-2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0.22699250405474114</v>
      </c>
      <c r="D99" s="50">
        <f>IF(hist!$D$2&gt;0,hist!B99/hist!$D$2,0)</f>
        <v>4.6766934541928228E-2</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0.34876738709924815</v>
      </c>
      <c r="D100" s="50">
        <f>IF(hist!$D$2&gt;0,hist!B100/hist!$D$2,0)</f>
        <v>6.585463839223013E-2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0.33273873264840637</v>
      </c>
      <c r="D101" s="50">
        <f>IF(hist!$D$2&gt;0,hist!B101/hist!$D$2,0)</f>
        <v>4.351298305829536E-2</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0.33290063824891991</v>
      </c>
      <c r="D102" s="50">
        <f>IF(hist!$D$2&gt;0,hist!B102/hist!$D$2,0)</f>
        <v>4.2627209983574874E-2</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0.45402591057698038</v>
      </c>
      <c r="D103" s="50">
        <f>IF(hist!$D$2&gt;0,hist!B103/hist!$D$2,0)</f>
        <v>5.9181513675505393E-2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0.24699721920029996</v>
      </c>
      <c r="D104" s="50">
        <f>IF(hist!$D$2&gt;0,hist!B104/hist!$D$2,0)</f>
        <v>3.8813344020592042E-2</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0.42789377856426658</v>
      </c>
      <c r="D105" s="50">
        <f>IF(hist!$D$2&gt;0,hist!B105/hist!$D$2,0)</f>
        <v>1.8688416578928065E-2</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0.58732250743487557</v>
      </c>
      <c r="D106" s="50">
        <f>IF(hist!$D$2&gt;0,hist!B106/hist!$D$2,0)</f>
        <v>5.2673613461935491E-2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0.49273555134537877</v>
      </c>
      <c r="D107" s="50">
        <f>IF(hist!$D$2&gt;0,hist!B107/hist!$D$2,0)</f>
        <v>3.492604249736634E-2</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0.61499700332616591</v>
      </c>
      <c r="D108" s="50">
        <f>IF(hist!$D$2&gt;0,hist!B108/hist!$D$2,0)</f>
        <v>4.9158056744448807E-2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0.55295307293989326</v>
      </c>
      <c r="D109" s="50">
        <f>IF(hist!$D$2&gt;0,hist!B109/hist!$D$2,0)</f>
        <v>3.2833235047733549E-2</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0.45098094910767289</v>
      </c>
      <c r="D110" s="50">
        <f>IF(hist!$D$2&gt;0,hist!B110/hist!$D$2,0)</f>
        <v>3.1254448982842659E-2</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0.80762206120031699</v>
      </c>
      <c r="D111" s="50">
        <f>IF(hist!$D$2&gt;0,hist!B111/hist!$D$2,0)</f>
        <v>4.2016810621829798E-2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0.35290592148430511</v>
      </c>
      <c r="D112" s="50">
        <f>IF(hist!$D$2&gt;0,hist!B112/hist!$D$2,0)</f>
        <v>1.379142566888762E-2</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0.88780225929323942</v>
      </c>
      <c r="D113" s="50">
        <f>IF(hist!$D$2&gt;0,hist!B113/hist!$D$2,0)</f>
        <v>5.1351840843111389E-2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0.64421386309603268</v>
      </c>
      <c r="D114" s="50">
        <f>IF(hist!$D$2&gt;0,hist!B114/hist!$D$2,0)</f>
        <v>2.4819978822123986E-2</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0.35919467586214732</v>
      </c>
      <c r="D115" s="50">
        <f>IF(hist!$D$2&gt;0,hist!B115/hist!$D$2,0)</f>
        <v>1.1877608447835412E-2</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0.78510014003414219</v>
      </c>
      <c r="D116" s="50">
        <f>IF(hist!$D$2&gt;0,hist!B116/hist!$D$2,0)</f>
        <v>3.3686879376423819E-2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0.55834992629034497</v>
      </c>
      <c r="D117" s="50">
        <f>IF(hist!$D$2&gt;0,hist!B117/hist!$D$2,0)</f>
        <v>2.1988261157168992E-2</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0.6621484589143235</v>
      </c>
      <c r="D118" s="50">
        <f>IF(hist!$D$2&gt;0,hist!B118/hist!$D$2,0)</f>
        <v>4.038294926360466E-2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0.51667769707746192</v>
      </c>
      <c r="D119" s="50">
        <f>IF(hist!$D$2&gt;0,hist!B119/hist!$D$2,0)</f>
        <v>1.0156548557637465E-2</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0.6013230812056003</v>
      </c>
      <c r="D120" s="50">
        <f>IF(hist!$D$2&gt;0,hist!B120/hist!$D$2,0)</f>
        <v>9.6287559400781517E-3</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0.53193374936444948</v>
      </c>
      <c r="D121" s="50">
        <f>IF(hist!$D$2&gt;0,hist!B121/hist!$D$2,0)</f>
        <v>3.4017322875341822E-2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0.54905881718017246</v>
      </c>
      <c r="D122" s="50">
        <f>IF(hist!$D$2&gt;0,hist!B122/hist!$D$2,0)</f>
        <v>1.5934720754611345E-2</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0.70922038192679027</v>
      </c>
      <c r="D123" s="50">
        <f>IF(hist!$D$2&gt;0,hist!B123/hist!$D$2,0)</f>
        <v>1.4723094591911992E-2</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0.62262644969422565</v>
      </c>
      <c r="D124" s="50">
        <f>IF(hist!$D$2&gt;0,hist!B124/hist!$D$2,0)</f>
        <v>1.3052518207261242E-2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0.31269368312517576</v>
      </c>
      <c r="D125" s="50">
        <f>IF(hist!$D$2&gt;0,hist!B125/hist!$D$2,0)</f>
        <v>1.3378372672088022E-2</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0.93288586791343442</v>
      </c>
      <c r="D126" s="50">
        <f>IF(hist!$D$2&gt;0,hist!B126/hist!$D$2,0)</f>
        <v>2.3085149075956542E-2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0.64579599326245474</v>
      </c>
      <c r="D127" s="50">
        <f>IF(hist!$D$2&gt;0,hist!B127/hist!$D$2,0)</f>
        <v>1.0849561547807867E-2</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0.91499103838298901</v>
      </c>
      <c r="D129" s="50">
        <f>IF(hist!$D$2&gt;0,hist!B129/hist!$D$2,0)</f>
        <v>1.8316666265797397E-2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0.75860159008342398</v>
      </c>
      <c r="D130" s="50">
        <f>IF(hist!$D$2&gt;0,hist!B130/hist!$D$2,0)</f>
        <v>8.7751102345399682E-3</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1</v>
      </c>
      <c r="D131" s="50">
        <f>IF(hist!$D$2&gt;0,hist!B131/hist!$D$2,0)</f>
        <v>1.4034669258984901E-2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0.7976804892389584</v>
      </c>
      <c r="D133" s="50">
        <f>IF(hist!$D$2&gt;0,hist!B133/hist!$D$2,0)</f>
        <v>6.4528262970835661E-3</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0.99850024285840089</v>
      </c>
      <c r="D134" s="50">
        <f>IF(hist!$D$2&gt;0,hist!B134/hist!$D$2,0)</f>
        <v>1.0514529014798638E-2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0.32097075189528967</v>
      </c>
      <c r="D135" s="50">
        <f>IF(hist!$D$2&gt;0,hist!B135/hist!$D$2,0)</f>
        <v>4.6950513804600033E-3</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0.52552285567393919</v>
      </c>
      <c r="D136" s="50">
        <f>IF(hist!$D$2&gt;0,hist!B136/hist!$D$2,0)</f>
        <v>3.5889840166420926E-3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0.68840273023970555</v>
      </c>
      <c r="D137" s="50">
        <f>IF(hist!$D$2&gt;0,hist!B137/hist!$D$2,0)</f>
        <v>4.2315135012652976E-3</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0.35229806537009634</v>
      </c>
      <c r="D138" s="50">
        <f>IF(hist!$D$2&gt;0,hist!B138/hist!$D$2,0)</f>
        <v>3.7128989518884327E-3</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0.57669354678361751</v>
      </c>
      <c r="D139" s="50">
        <f>IF(hist!$D$2&gt;0,hist!B139/hist!$D$2,0)</f>
        <v>5.9846980069497248E-3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0.58070994185600622</v>
      </c>
      <c r="D140" s="50">
        <f>IF(hist!$D$2&gt;0,hist!B140/hist!$D$2,0)</f>
        <v>1.3768479121583589E-3</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0.36901410851083777</v>
      </c>
      <c r="D141" s="50">
        <f>IF(hist!$D$2&gt;0,hist!B141/hist!$D$2,0)</f>
        <v>1.3493109539151917E-3</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0.46441343305203425</v>
      </c>
      <c r="D142" s="50">
        <f>IF(hist!$D$2&gt;0,hist!B142/hist!$D$2,0)</f>
        <v>4.4793447486058896E-3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0.43872725155301556</v>
      </c>
      <c r="D143" s="50">
        <f>IF(hist!$D$2&gt;0,hist!B143/hist!$D$2,0)</f>
        <v>2.1019882715110653E-3</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0.37461547419878027</v>
      </c>
      <c r="D144" s="50">
        <f>IF(hist!$D$2&gt;0,hist!B144/hist!$D$2,0)</f>
        <v>2.4048948121859039E-3</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0.16442138630960326</v>
      </c>
      <c r="D145" s="50">
        <f>IF(hist!$D$2&gt;0,hist!B145/hist!$D$2,0)</f>
        <v>7.0678146929198686E-4</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0.21964795473460264</v>
      </c>
      <c r="D146" s="50">
        <f>IF(hist!$D$2&gt;0,hist!B146/hist!$D$2,0)</f>
        <v>1.298826071520081E-3</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0.27373805946196211</v>
      </c>
      <c r="D147" s="50">
        <f>IF(hist!$D$2&gt;0,hist!B147/hist!$D$2,0)</f>
        <v>2.3498208956995695E-3</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0.10822111192221714</v>
      </c>
      <c r="D148" s="50">
        <f>IF(hist!$D$2&gt;0,hist!B148/hist!$D$2,0)</f>
        <v>5.7368708901528692E-4</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0.28883391041791528</v>
      </c>
      <c r="D149" s="50">
        <f>IF(hist!$D$2&gt;0,hist!B149/hist!$D$2,0)</f>
        <v>1.4594587868878605E-3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0.14303678097580788</v>
      </c>
      <c r="D150" s="50">
        <f>IF(hist!$D$2&gt;0,hist!B150/hist!$D$2,0)</f>
        <v>8.3528819232537503E-4</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0.14583689572995281</v>
      </c>
      <c r="D151" s="50">
        <f>IF(hist!$D$2&gt;0,hist!B151/hist!$D$2,0)</f>
        <v>7.8939234402148825E-4</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0.1754585195011035</v>
      </c>
      <c r="D152" s="50">
        <f>IF(hist!$D$2&gt;0,hist!B152/hist!$D$2,0)</f>
        <v>8.9036210881170944E-4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0.13849206236490114</v>
      </c>
      <c r="D153" s="50">
        <f>IF(hist!$D$2&gt;0,hist!B153/hist!$D$2,0)</f>
        <v>5.6909667807615095E-4</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0.15001633258250796</v>
      </c>
      <c r="D154" s="50">
        <f>IF(hist!$D$2&gt;0,hist!B154/hist!$D$2,0)</f>
        <v>8.3528819232537503E-4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9.7021505040376974E-2</v>
      </c>
      <c r="D155" s="50">
        <f>IF(hist!$D$2&gt;0,hist!B155/hist!$D$2,0)</f>
        <v>2.7536958243167177E-4</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0.14705402818293628</v>
      </c>
      <c r="D156" s="50">
        <f>IF(hist!$D$2&gt;0,hist!B156/hist!$D$2,0)</f>
        <v>4.4059133189067482E-4</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0.14457886080947119</v>
      </c>
      <c r="D157" s="50">
        <f>IF(hist!$D$2&gt;0,hist!B157/hist!$D$2,0)</f>
        <v>4.5435981101225843E-4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0.14169779325506948</v>
      </c>
      <c r="D158" s="50">
        <f>IF(hist!$D$2&gt;0,hist!B158/hist!$D$2,0)</f>
        <v>2.4783262418850456E-4</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0.11288768580087884</v>
      </c>
      <c r="D159" s="50">
        <f>IF(hist!$D$2&gt;0,hist!B159/hist!$D$2,0)</f>
        <v>2.3406414506692101E-4</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9.3978247840548548E-2</v>
      </c>
      <c r="D160" s="50">
        <f>IF(hist!$D$2&gt;0,hist!B160/hist!$D$2,0)</f>
        <v>3.3044349891800612E-4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8.6187463961801644E-2</v>
      </c>
      <c r="D161" s="50">
        <f>IF(hist!$D$2&gt;0,hist!B161/hist!$D$2,0)</f>
        <v>1.7899022858058666E-4</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0.10083594417949365</v>
      </c>
      <c r="D162" s="50">
        <f>IF(hist!$D$2&gt;0,hist!B162/hist!$D$2,0)</f>
        <v>2.294751109756972E-4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8.3752630966008351E-2</v>
      </c>
      <c r="D163" s="50">
        <f>IF(hist!$D$2&gt;0,hist!B163/hist!$D$2,0)</f>
        <v>8.7199908820725344E-5</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8.7445214837370083E-2</v>
      </c>
      <c r="D164" s="50">
        <f>IF(hist!$D$2&gt;0,hist!B164/hist!$D$2,0)</f>
        <v>1.5604230442864327E-4</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8.3833867811178311E-2</v>
      </c>
      <c r="D165" s="50">
        <f>IF(hist!$D$2&gt;0,hist!B165/hist!$D$2,0)</f>
        <v>1.6522174945900306E-4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3.0433424133023915E-2</v>
      </c>
      <c r="D166" s="50">
        <f>IF(hist!$D$2&gt;0,hist!B166/hist!$D$2,0)</f>
        <v>4.5894471455974573E-5</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4.5812467867419195E-2</v>
      </c>
      <c r="D167" s="50">
        <f>IF(hist!$D$2&gt;0,hist!B167/hist!$D$2,0)</f>
        <v>5.5073916486334353E-5</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2.081643029395808E-2</v>
      </c>
      <c r="D168" s="50">
        <f>IF(hist!$D$2&gt;0,hist!B168/hist!$D$2,0)</f>
        <v>1.8357513212807396E-5</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1.5784773488383985E-2</v>
      </c>
      <c r="D169" s="50">
        <f>IF(hist!$D$2&gt;0,hist!B169/hist!$D$2,0)</f>
        <v>2.7536958243167177E-5</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3.1528985363165625E-2</v>
      </c>
      <c r="D170" s="50">
        <f>IF(hist!$D$2&gt;0,hist!B170/hist!$D$2,0)</f>
        <v>3.6716403273526957E-5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2.5198845641472831E-2</v>
      </c>
      <c r="D171" s="50">
        <f>IF(hist!$D$2&gt;0,hist!B171/hist!$D$2,0)</f>
        <v>9.1794450303597787E-6</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2.4955362341893501E-2</v>
      </c>
      <c r="D172" s="50">
        <f>IF(hist!$D$2&gt;0,hist!B172/hist!$D$2,0)</f>
        <v>5.0484882395110538E-5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5.3806343859090999E-2</v>
      </c>
      <c r="D173" s="50">
        <f>IF(hist!$D$2&gt;0,hist!B173/hist!$D$2,0)</f>
        <v>9.1794450303597787E-6</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1.2782021093175253E-2</v>
      </c>
      <c r="D174" s="50">
        <f>IF(hist!$D$2&gt;0,hist!B174/hist!$D$2,0)</f>
        <v>2.2947924151943369E-5</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9.5357853983871928E-3</v>
      </c>
      <c r="D175" s="50">
        <f>IF(hist!$D$2&gt;0,hist!B175/hist!$D$2,0)</f>
        <v>9.1794450303597787E-6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6.0866848266047831E-3</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6.0866848266047831E-3</v>
      </c>
      <c r="D177" s="50">
        <f>IF(hist!$D$2&gt;0,hist!B177/hist!$D$2,0)</f>
        <v>4.5890340912238095E-6</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1.5013790380534971E-2</v>
      </c>
      <c r="D178" s="50">
        <f>IF(hist!$D$2&gt;0,hist!B178/hist!$D$2,0)</f>
        <v>1.3768479121583588E-5</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9.0488472037198522E-3</v>
      </c>
      <c r="D179" s="50">
        <f>IF(hist!$D$2&gt;0,hist!B179/hist!$D$2,0)</f>
        <v>9.1794450303597787E-6</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3.0433424133023915E-3</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46.081800000000001</v>
      </c>
      <c r="C5" s="49">
        <v>3.5202900000000001</v>
      </c>
      <c r="D5" s="49">
        <v>7.6392100000000003</v>
      </c>
      <c r="E5" s="49">
        <v>20</v>
      </c>
      <c r="F5" s="49">
        <v>36.2239</v>
      </c>
      <c r="G5" s="49">
        <v>50</v>
      </c>
      <c r="H5" s="49">
        <v>50.4861</v>
      </c>
    </row>
    <row r="6" spans="1:10">
      <c r="A6" t="s">
        <v>1111</v>
      </c>
      <c r="B6" s="49">
        <v>27.0519</v>
      </c>
      <c r="C6" s="49">
        <v>5.3694499999999996</v>
      </c>
      <c r="D6" s="49">
        <v>19.848700000000001</v>
      </c>
      <c r="E6" s="49">
        <v>20</v>
      </c>
      <c r="F6" s="49">
        <v>22.0379</v>
      </c>
      <c r="G6" s="49">
        <v>40</v>
      </c>
      <c r="H6" s="49">
        <v>41.967100000000002</v>
      </c>
    </row>
    <row r="7" spans="1:10">
      <c r="A7" t="s">
        <v>1112</v>
      </c>
      <c r="B7" s="49">
        <v>23.3035</v>
      </c>
      <c r="C7" s="49">
        <v>3.6935899999999999</v>
      </c>
      <c r="D7" s="49">
        <v>15.85</v>
      </c>
      <c r="E7" s="49">
        <v>15</v>
      </c>
      <c r="F7" s="49">
        <v>15.4496</v>
      </c>
      <c r="G7" s="49">
        <v>40</v>
      </c>
      <c r="H7" s="49">
        <v>37.581299999999999</v>
      </c>
    </row>
    <row r="8" spans="1:10">
      <c r="A8" t="s">
        <v>1113</v>
      </c>
      <c r="B8" s="49">
        <v>33.887999999999998</v>
      </c>
      <c r="C8" s="49">
        <v>1.7743899999999999</v>
      </c>
      <c r="D8" s="49">
        <v>5.2360300000000004</v>
      </c>
      <c r="E8" s="49">
        <v>20</v>
      </c>
      <c r="F8" s="49">
        <v>31.438400000000001</v>
      </c>
      <c r="G8" s="49">
        <v>50</v>
      </c>
      <c r="H8" s="49">
        <v>36.844299999999997</v>
      </c>
    </row>
    <row r="9" spans="1:10">
      <c r="A9" t="s">
        <v>1114</v>
      </c>
      <c r="B9" s="49">
        <v>68.150999999999996</v>
      </c>
      <c r="C9" s="49">
        <v>6.1948800000000004</v>
      </c>
      <c r="D9" s="49">
        <v>9.0899300000000007</v>
      </c>
      <c r="E9" s="49">
        <v>50</v>
      </c>
      <c r="F9" s="49">
        <v>47.781799999999997</v>
      </c>
      <c r="G9" s="49">
        <v>100</v>
      </c>
      <c r="H9" s="49">
        <v>74.394300000000001</v>
      </c>
    </row>
    <row r="10" spans="1:10">
      <c r="A10" t="s">
        <v>1115</v>
      </c>
      <c r="B10" s="49">
        <v>83.216700000000003</v>
      </c>
      <c r="C10" s="49">
        <v>11.3545</v>
      </c>
      <c r="D10" s="49">
        <v>13.644500000000001</v>
      </c>
      <c r="E10" s="49">
        <v>40</v>
      </c>
      <c r="F10" s="49">
        <v>45.294800000000002</v>
      </c>
      <c r="G10" s="49">
        <v>100</v>
      </c>
      <c r="H10" s="49">
        <v>85.748500000000007</v>
      </c>
    </row>
    <row r="11" spans="1:10">
      <c r="A11" t="s">
        <v>1116</v>
      </c>
      <c r="B11" s="49">
        <v>31.745899999999999</v>
      </c>
      <c r="C11" s="49">
        <v>3.0986199999999999</v>
      </c>
      <c r="D11" s="49">
        <v>9.7606999999999999</v>
      </c>
      <c r="E11" s="49">
        <v>10</v>
      </c>
      <c r="F11" s="49">
        <v>21.466100000000001</v>
      </c>
      <c r="G11" s="49">
        <v>50</v>
      </c>
      <c r="H11" s="49">
        <v>35.3247</v>
      </c>
    </row>
    <row r="12" spans="1:10">
      <c r="A12" t="s">
        <v>1117</v>
      </c>
      <c r="B12" s="49">
        <v>75.096100000000007</v>
      </c>
      <c r="C12" s="49">
        <v>8.3119200000000006</v>
      </c>
      <c r="D12" s="49">
        <v>11.0684</v>
      </c>
      <c r="E12" s="49">
        <v>50</v>
      </c>
      <c r="F12" s="49">
        <v>46.666699999999999</v>
      </c>
      <c r="G12" s="49">
        <v>100</v>
      </c>
      <c r="H12" s="49">
        <v>79.449399999999997</v>
      </c>
    </row>
    <row r="13" spans="1:10">
      <c r="A13" t="s">
        <v>1118</v>
      </c>
      <c r="B13" s="49">
        <v>21.322399999999998</v>
      </c>
      <c r="C13" s="49">
        <v>2.64012</v>
      </c>
      <c r="D13" s="49">
        <v>12.3819</v>
      </c>
      <c r="E13" s="49">
        <v>10</v>
      </c>
      <c r="F13" s="49">
        <v>17.233000000000001</v>
      </c>
      <c r="G13" s="49">
        <v>25</v>
      </c>
      <c r="H13" s="49">
        <v>25.812200000000001</v>
      </c>
      <c r="J13" s="49"/>
    </row>
    <row r="14" spans="1:10">
      <c r="A14" t="s">
        <v>1119</v>
      </c>
      <c r="B14" s="49">
        <v>26.401199999999999</v>
      </c>
      <c r="C14" s="49">
        <v>8.0610199999999992</v>
      </c>
      <c r="D14" s="49">
        <v>30.532800000000002</v>
      </c>
      <c r="E14" s="49">
        <v>10</v>
      </c>
      <c r="F14" s="49">
        <v>1.3554900000000001</v>
      </c>
      <c r="G14" s="49">
        <v>50</v>
      </c>
      <c r="H14" s="49">
        <v>28.356999999999999</v>
      </c>
    </row>
    <row r="15" spans="1:10">
      <c r="A15" t="s">
        <v>1120</v>
      </c>
      <c r="B15" s="49">
        <v>-4.97207E-2</v>
      </c>
      <c r="C15" s="49">
        <v>0</v>
      </c>
      <c r="D15" s="49">
        <v>0</v>
      </c>
      <c r="E15" s="49">
        <v>0</v>
      </c>
      <c r="F15" s="49">
        <v>0</v>
      </c>
      <c r="G15" s="49">
        <v>0</v>
      </c>
      <c r="H15" s="49">
        <v>0</v>
      </c>
    </row>
    <row r="16" spans="1:10">
      <c r="A16" t="s">
        <v>1121</v>
      </c>
      <c r="B16" s="49">
        <v>-7.54085E-3</v>
      </c>
      <c r="C16" s="49">
        <v>0</v>
      </c>
      <c r="D16" s="49">
        <v>0</v>
      </c>
      <c r="E16" s="49">
        <v>0</v>
      </c>
      <c r="F16" s="49">
        <v>0</v>
      </c>
      <c r="G16" s="49">
        <v>0</v>
      </c>
      <c r="H16" s="49">
        <v>0</v>
      </c>
    </row>
    <row r="17" spans="1:8">
      <c r="A17" t="s">
        <v>1122</v>
      </c>
      <c r="B17" s="49">
        <v>13.5052</v>
      </c>
      <c r="C17" s="49">
        <v>0</v>
      </c>
      <c r="D17" s="49">
        <v>0</v>
      </c>
      <c r="E17" s="49">
        <v>0</v>
      </c>
      <c r="F17" s="49">
        <v>0</v>
      </c>
      <c r="G17" s="49">
        <v>0</v>
      </c>
      <c r="H17" s="49">
        <v>0</v>
      </c>
    </row>
    <row r="18" spans="1:8">
      <c r="A18" t="s">
        <v>1123</v>
      </c>
      <c r="B18" s="49">
        <v>0.56426100000000001</v>
      </c>
      <c r="C18" s="49">
        <v>0</v>
      </c>
      <c r="D18" s="49">
        <v>0</v>
      </c>
      <c r="E18" s="49">
        <v>0</v>
      </c>
      <c r="F18" s="49">
        <v>0</v>
      </c>
      <c r="G18" s="49">
        <v>0</v>
      </c>
      <c r="H18" s="49">
        <v>0</v>
      </c>
    </row>
    <row r="19" spans="1:8">
      <c r="A19" t="s">
        <v>1124</v>
      </c>
      <c r="B19" s="49">
        <v>0.46318100000000001</v>
      </c>
      <c r="C19" s="49">
        <v>0</v>
      </c>
      <c r="D19" s="49">
        <v>0</v>
      </c>
      <c r="E19" s="49">
        <v>0</v>
      </c>
      <c r="F19" s="49">
        <v>0</v>
      </c>
      <c r="G19" s="49">
        <v>0</v>
      </c>
      <c r="H19" s="49">
        <v>0</v>
      </c>
    </row>
    <row r="20" spans="1:8">
      <c r="A20" t="s">
        <v>1125</v>
      </c>
      <c r="B20" s="49">
        <v>0.18363399999999999</v>
      </c>
      <c r="C20" s="49">
        <v>2.6817700000000002</v>
      </c>
      <c r="D20" s="49">
        <v>14.603899999999999</v>
      </c>
      <c r="E20" s="49">
        <v>0</v>
      </c>
      <c r="F20" s="49">
        <v>5.2351400000000001E-3</v>
      </c>
      <c r="G20" s="49">
        <v>0</v>
      </c>
      <c r="H20" s="49">
        <v>15.045199999999999</v>
      </c>
    </row>
    <row r="21" spans="1:8">
      <c r="A21" t="s">
        <v>1126</v>
      </c>
      <c r="B21" s="49">
        <v>1.29887</v>
      </c>
      <c r="C21" s="49">
        <v>9.1270299999999995</v>
      </c>
      <c r="D21" s="49">
        <v>7.0269000000000004</v>
      </c>
      <c r="E21" s="49">
        <v>0</v>
      </c>
      <c r="F21" s="49">
        <v>3.4558499999999999E-2</v>
      </c>
      <c r="G21" s="49">
        <v>0</v>
      </c>
      <c r="H21" s="49">
        <v>35.743899999999996</v>
      </c>
    </row>
    <row r="22" spans="1:8">
      <c r="A22" t="s">
        <v>1127</v>
      </c>
      <c r="B22" s="49">
        <v>84.962699999999998</v>
      </c>
      <c r="C22" s="49">
        <v>101.721</v>
      </c>
      <c r="D22" s="49">
        <v>1.1972499999999999</v>
      </c>
      <c r="E22" s="49">
        <v>0</v>
      </c>
      <c r="F22" s="49">
        <v>47.603499999999997</v>
      </c>
      <c r="G22" s="49">
        <v>0</v>
      </c>
      <c r="H22" s="49">
        <v>358.846</v>
      </c>
    </row>
    <row r="23" spans="1:8">
      <c r="A23" t="s">
        <v>1128</v>
      </c>
      <c r="B23" s="49">
        <v>99.850300000000004</v>
      </c>
      <c r="C23" s="49">
        <v>17.401700000000002</v>
      </c>
      <c r="D23" s="49">
        <v>0.17427799999999999</v>
      </c>
      <c r="E23" s="49">
        <v>0</v>
      </c>
      <c r="F23" s="49">
        <v>64.222999999999999</v>
      </c>
      <c r="G23" s="49">
        <v>0</v>
      </c>
      <c r="H23" s="49">
        <v>115.81100000000001</v>
      </c>
    </row>
    <row r="24" spans="1:8">
      <c r="A24" t="s">
        <v>1129</v>
      </c>
      <c r="B24" s="49">
        <v>0.214869</v>
      </c>
      <c r="C24" s="49">
        <v>2.1816399999999998</v>
      </c>
      <c r="D24" s="49">
        <v>10.1533</v>
      </c>
      <c r="E24" s="49">
        <v>0</v>
      </c>
      <c r="F24" s="49">
        <v>1.14497E-2</v>
      </c>
      <c r="G24" s="49">
        <v>0</v>
      </c>
      <c r="H24" s="49">
        <v>8.7497000000000007</v>
      </c>
    </row>
    <row r="25" spans="1:8">
      <c r="A25" t="s">
        <v>1130</v>
      </c>
      <c r="B25" s="49">
        <v>4.6105</v>
      </c>
      <c r="C25" s="49">
        <v>5.80246</v>
      </c>
      <c r="D25" s="49">
        <v>1.2585299999999999</v>
      </c>
      <c r="E25" s="49">
        <v>0</v>
      </c>
      <c r="F25" s="49">
        <v>0.39263300000000001</v>
      </c>
      <c r="G25" s="49">
        <v>0</v>
      </c>
      <c r="H25" s="49">
        <v>18.389099999999999</v>
      </c>
    </row>
    <row r="26" spans="1:8">
      <c r="A26" t="s">
        <v>1131</v>
      </c>
      <c r="B26" s="49">
        <v>1.44002E-2</v>
      </c>
      <c r="C26" s="49">
        <v>9.8126400000000003E-2</v>
      </c>
      <c r="D26" s="49">
        <v>6.8142399999999999</v>
      </c>
      <c r="E26" s="49">
        <v>0</v>
      </c>
      <c r="F26" s="173">
        <v>9.940210000000001E-4</v>
      </c>
      <c r="G26" s="49">
        <v>0</v>
      </c>
      <c r="H26" s="49">
        <v>0.61044299999999996</v>
      </c>
    </row>
    <row r="27" spans="1:8">
      <c r="A27" t="s">
        <v>1132</v>
      </c>
      <c r="B27" s="173">
        <v>-7.4196999999999995E-5</v>
      </c>
      <c r="C27" s="49">
        <v>5.0733100000000003E-2</v>
      </c>
      <c r="D27" s="49">
        <v>-683.76300000000003</v>
      </c>
      <c r="E27" s="49">
        <v>0</v>
      </c>
      <c r="F27" s="49">
        <v>-0.50082300000000002</v>
      </c>
      <c r="G27" s="49">
        <v>0</v>
      </c>
      <c r="H27" s="49">
        <v>0.38622000000000001</v>
      </c>
    </row>
    <row r="28" spans="1:8">
      <c r="A28" t="s">
        <v>1133</v>
      </c>
      <c r="B28" s="49">
        <v>6.8817799999999998E-2</v>
      </c>
      <c r="C28" s="49">
        <v>0.23549500000000001</v>
      </c>
      <c r="D28" s="49">
        <v>3.4220100000000002</v>
      </c>
      <c r="E28" s="49">
        <v>0</v>
      </c>
      <c r="F28" s="49">
        <v>4.7667100000000004E-3</v>
      </c>
      <c r="G28" s="49">
        <v>0</v>
      </c>
      <c r="H28" s="49">
        <v>0.95912900000000001</v>
      </c>
    </row>
    <row r="29" spans="1:8">
      <c r="A29" t="s">
        <v>1134</v>
      </c>
      <c r="B29" s="49">
        <v>73.965800000000002</v>
      </c>
      <c r="C29" s="49">
        <v>29.317299999999999</v>
      </c>
      <c r="D29" s="49">
        <v>0.39636300000000002</v>
      </c>
      <c r="E29" s="49">
        <v>0</v>
      </c>
      <c r="F29" s="49">
        <v>44.005200000000002</v>
      </c>
      <c r="G29" s="49">
        <v>0</v>
      </c>
      <c r="H29" s="49">
        <v>150.66300000000001</v>
      </c>
    </row>
    <row r="30" spans="1:8">
      <c r="A30" t="s">
        <v>1135</v>
      </c>
      <c r="B30" s="49">
        <v>49.607999999999997</v>
      </c>
      <c r="C30" s="49">
        <v>6.7285899999999996</v>
      </c>
      <c r="D30" s="49">
        <v>0.13563500000000001</v>
      </c>
      <c r="E30" s="49">
        <v>0</v>
      </c>
      <c r="F30" s="49">
        <v>35.805599999999998</v>
      </c>
      <c r="G30" s="49">
        <v>0</v>
      </c>
      <c r="H30" s="49">
        <v>56.119599999999998</v>
      </c>
    </row>
    <row r="31" spans="1:8">
      <c r="A31" t="s">
        <v>1136</v>
      </c>
      <c r="B31" s="49">
        <v>328.20600000000002</v>
      </c>
      <c r="C31" s="49">
        <v>17.959599999999998</v>
      </c>
      <c r="D31" s="49">
        <v>5.4720499999999998E-2</v>
      </c>
      <c r="E31" s="49">
        <v>0</v>
      </c>
      <c r="F31" s="49">
        <v>296.38799999999998</v>
      </c>
      <c r="G31" s="49">
        <v>0</v>
      </c>
      <c r="H31" s="49">
        <v>361.46199999999999</v>
      </c>
    </row>
    <row r="32" spans="1:8">
      <c r="A32" t="s">
        <v>1137</v>
      </c>
      <c r="B32" s="49">
        <v>0.23303499999999999</v>
      </c>
      <c r="C32" s="49">
        <v>3.6935900000000001E-2</v>
      </c>
      <c r="D32" s="49">
        <v>0.1585</v>
      </c>
      <c r="E32" s="49">
        <v>0.15</v>
      </c>
      <c r="F32" s="49">
        <v>0.15449599999999999</v>
      </c>
      <c r="G32" s="49">
        <v>0.4</v>
      </c>
      <c r="H32" s="49">
        <v>0.37581300000000001</v>
      </c>
    </row>
    <row r="33" spans="1:8">
      <c r="A33" t="s">
        <v>1138</v>
      </c>
      <c r="B33" s="49">
        <v>0.22256899999999999</v>
      </c>
      <c r="C33" s="49">
        <v>1.34561E-2</v>
      </c>
      <c r="D33" s="49">
        <v>6.0458100000000001E-2</v>
      </c>
      <c r="E33" s="49">
        <v>0</v>
      </c>
      <c r="F33" s="49">
        <v>0.19942299999999999</v>
      </c>
      <c r="G33" s="49">
        <v>0</v>
      </c>
      <c r="H33" s="49">
        <v>0.25290000000000001</v>
      </c>
    </row>
    <row r="34" spans="1:8">
      <c r="A34" t="s">
        <v>1139</v>
      </c>
      <c r="B34" s="49">
        <v>0.213224</v>
      </c>
      <c r="C34" s="49">
        <v>2.64012E-2</v>
      </c>
      <c r="D34" s="49">
        <v>0.123819</v>
      </c>
      <c r="E34" s="49">
        <v>0.1</v>
      </c>
      <c r="F34" s="49">
        <v>0.17233000000000001</v>
      </c>
      <c r="G34" s="49">
        <v>0.25</v>
      </c>
      <c r="H34" s="49">
        <v>0.25812200000000002</v>
      </c>
    </row>
    <row r="35" spans="1:8">
      <c r="A35" t="s">
        <v>1140</v>
      </c>
      <c r="B35" s="49">
        <v>9.6548700000000001E-2</v>
      </c>
      <c r="C35" s="49">
        <v>1.9228499999999999E-2</v>
      </c>
      <c r="D35" s="49">
        <v>0.199158</v>
      </c>
      <c r="E35" s="49">
        <v>0</v>
      </c>
      <c r="F35" s="49">
        <v>5.3646199999999998E-2</v>
      </c>
      <c r="G35" s="49">
        <v>0</v>
      </c>
      <c r="H35" s="49">
        <v>0.12632399999999999</v>
      </c>
    </row>
    <row r="36" spans="1:8">
      <c r="A36" t="s">
        <v>1141</v>
      </c>
      <c r="B36" s="49">
        <v>0.203041</v>
      </c>
      <c r="C36" s="49">
        <v>0.100271</v>
      </c>
      <c r="D36" s="49">
        <v>0.49384800000000001</v>
      </c>
      <c r="E36" s="49">
        <v>0</v>
      </c>
      <c r="F36" s="49">
        <v>2.5173500000000001E-2</v>
      </c>
      <c r="G36" s="49">
        <v>0</v>
      </c>
      <c r="H36" s="49">
        <v>0.40215499999999998</v>
      </c>
    </row>
    <row r="37" spans="1:8">
      <c r="A37" t="s">
        <v>1142</v>
      </c>
      <c r="B37" s="49">
        <v>0.26401200000000002</v>
      </c>
      <c r="C37" s="49">
        <v>8.0610200000000007E-2</v>
      </c>
      <c r="D37" s="49">
        <v>0.30532799999999999</v>
      </c>
      <c r="E37" s="49">
        <v>0.1</v>
      </c>
      <c r="F37" s="49">
        <v>1.35549E-2</v>
      </c>
      <c r="G37" s="49">
        <v>0.5</v>
      </c>
      <c r="H37" s="49">
        <v>0.28356999999999999</v>
      </c>
    </row>
    <row r="38" spans="1:8">
      <c r="A38" t="s">
        <v>1143</v>
      </c>
      <c r="B38" s="49">
        <v>-27.3596</v>
      </c>
      <c r="C38" s="49">
        <v>96.324100000000001</v>
      </c>
      <c r="D38" s="49">
        <v>-3.52067</v>
      </c>
      <c r="E38" s="49">
        <v>0</v>
      </c>
      <c r="F38" s="49">
        <v>-206.64400000000001</v>
      </c>
      <c r="G38" s="49">
        <v>0</v>
      </c>
      <c r="H38" s="49">
        <v>245.816</v>
      </c>
    </row>
    <row r="39" spans="1:8">
      <c r="A39" t="s">
        <v>1144</v>
      </c>
      <c r="B39" s="49">
        <v>0.77632400000000001</v>
      </c>
      <c r="C39" s="49">
        <v>26.994599999999998</v>
      </c>
      <c r="D39" s="49">
        <v>34.772300000000001</v>
      </c>
      <c r="E39" s="49">
        <v>0</v>
      </c>
      <c r="F39" s="49">
        <v>-135.69800000000001</v>
      </c>
      <c r="G39" s="49">
        <v>0</v>
      </c>
      <c r="H39" s="49">
        <v>21.458600000000001</v>
      </c>
    </row>
    <row r="40" spans="1:8">
      <c r="A40" t="s">
        <v>1145</v>
      </c>
      <c r="B40" s="49">
        <v>-9.8808699999999998</v>
      </c>
      <c r="C40" s="49">
        <v>5.7907000000000002</v>
      </c>
      <c r="D40" s="49">
        <v>-0.58605099999999999</v>
      </c>
      <c r="E40" s="49">
        <v>0</v>
      </c>
      <c r="F40" s="49">
        <v>-19.3886</v>
      </c>
      <c r="G40" s="49">
        <v>0</v>
      </c>
      <c r="H40" s="49">
        <v>6.0727000000000002</v>
      </c>
    </row>
    <row r="41" spans="1:8">
      <c r="A41" t="s">
        <v>1146</v>
      </c>
      <c r="B41" s="49">
        <v>-4.25274E-2</v>
      </c>
      <c r="C41" s="49">
        <v>0.20974999999999999</v>
      </c>
      <c r="D41" s="49">
        <v>-4.9321200000000003</v>
      </c>
      <c r="E41" s="49">
        <v>0</v>
      </c>
      <c r="F41" s="49">
        <v>-0.60141999999999995</v>
      </c>
      <c r="G41" s="49">
        <v>0</v>
      </c>
      <c r="H41" s="49">
        <v>0.31720599999999999</v>
      </c>
    </row>
    <row r="42" spans="1:8">
      <c r="A42" t="s">
        <v>1147</v>
      </c>
      <c r="B42" s="49">
        <v>7.4556600000000002E-3</v>
      </c>
      <c r="C42" s="49">
        <v>0.13148399999999999</v>
      </c>
      <c r="D42" s="49">
        <v>17.6355</v>
      </c>
      <c r="E42" s="49">
        <v>0</v>
      </c>
      <c r="F42" s="49">
        <v>-0.429867</v>
      </c>
      <c r="G42" s="49">
        <v>0</v>
      </c>
      <c r="H42" s="49">
        <v>0.118717</v>
      </c>
    </row>
    <row r="43" spans="1:8">
      <c r="A43" t="s">
        <v>1148</v>
      </c>
      <c r="B43" s="49">
        <v>8.5451599999999996E-3</v>
      </c>
      <c r="C43" s="49">
        <v>9.1385599999999997E-2</v>
      </c>
      <c r="D43" s="49">
        <v>10.6944</v>
      </c>
      <c r="E43" s="49">
        <v>0</v>
      </c>
      <c r="F43" s="49">
        <v>-9.2041600000000001E-2</v>
      </c>
      <c r="G43" s="49">
        <v>0</v>
      </c>
      <c r="H43" s="49">
        <v>0.29273199999999999</v>
      </c>
    </row>
    <row r="44" spans="1:8">
      <c r="A44" t="s">
        <v>1149</v>
      </c>
      <c r="B44" s="49">
        <v>-67.831100000000006</v>
      </c>
      <c r="C44" s="49">
        <v>35.558</v>
      </c>
      <c r="D44" s="49">
        <v>-0.52421300000000004</v>
      </c>
      <c r="E44" s="49">
        <v>0</v>
      </c>
      <c r="F44" s="49">
        <v>-159.589</v>
      </c>
      <c r="G44" s="49">
        <v>0</v>
      </c>
      <c r="H44" s="49">
        <v>-40.979700000000001</v>
      </c>
    </row>
    <row r="45" spans="1:8">
      <c r="A45" t="s">
        <v>1150</v>
      </c>
      <c r="B45" s="49">
        <v>48.270600000000002</v>
      </c>
      <c r="C45" s="49">
        <v>8.1879399999999993</v>
      </c>
      <c r="D45" s="49">
        <v>0.169626</v>
      </c>
      <c r="E45" s="49">
        <v>0</v>
      </c>
      <c r="F45" s="49">
        <v>29.078800000000001</v>
      </c>
      <c r="G45" s="49">
        <v>0</v>
      </c>
      <c r="H45" s="49">
        <v>59.5595</v>
      </c>
    </row>
    <row r="46" spans="1:8">
      <c r="A46" t="s">
        <v>1151</v>
      </c>
      <c r="B46" s="49">
        <v>29.1523</v>
      </c>
      <c r="C46" s="49">
        <v>2.0040100000000001</v>
      </c>
      <c r="D46" s="49">
        <v>6.8742600000000001E-2</v>
      </c>
      <c r="E46" s="49">
        <v>0</v>
      </c>
      <c r="F46" s="49">
        <v>26.183700000000002</v>
      </c>
      <c r="G46" s="49">
        <v>0</v>
      </c>
      <c r="H46" s="49">
        <v>33.118299999999998</v>
      </c>
    </row>
    <row r="47" spans="1:8">
      <c r="A47" t="s">
        <v>1152</v>
      </c>
      <c r="B47" s="49">
        <v>1.8859699999999999</v>
      </c>
      <c r="C47" s="49">
        <v>3.54637</v>
      </c>
      <c r="D47" s="49">
        <v>1.8804000000000001</v>
      </c>
      <c r="E47" s="49">
        <v>0</v>
      </c>
      <c r="F47" s="49">
        <v>1.05826</v>
      </c>
      <c r="G47" s="49">
        <v>0</v>
      </c>
      <c r="H47" s="49">
        <v>17.9831</v>
      </c>
    </row>
    <row r="48" spans="1:8">
      <c r="A48" t="s">
        <v>1153</v>
      </c>
      <c r="B48" s="49">
        <v>1.52305</v>
      </c>
      <c r="C48" s="49">
        <v>0.20893600000000001</v>
      </c>
      <c r="D48" s="49">
        <v>0.137183</v>
      </c>
      <c r="E48" s="49">
        <v>0</v>
      </c>
      <c r="F48" s="49">
        <v>0.87306799999999996</v>
      </c>
      <c r="G48" s="49">
        <v>0</v>
      </c>
      <c r="H48" s="49">
        <v>1.8976299999999999</v>
      </c>
    </row>
    <row r="50" spans="1:4">
      <c r="A50" t="str">
        <f>lang!B7</f>
        <v>긍정감정</v>
      </c>
      <c r="B50" s="134">
        <f>SUM(B9:B12)</f>
        <v>258.2097</v>
      </c>
      <c r="C50" s="134"/>
      <c r="D50" s="134">
        <f t="shared" ref="D50" si="0">SUM(D9:D12)</f>
        <v>43.56353</v>
      </c>
    </row>
    <row r="51" spans="1:4">
      <c r="A51" t="str">
        <f>lang!B8</f>
        <v>부정감정</v>
      </c>
      <c r="B51" s="134">
        <f>SUM(B5:B8)</f>
        <v>130.3252</v>
      </c>
      <c r="C51" s="134"/>
      <c r="D51" s="134">
        <f t="shared" ref="D51" si="1">SUM(D5:D8)</f>
        <v>48.57394</v>
      </c>
    </row>
    <row r="52" spans="1:4">
      <c r="A52" t="str">
        <f>lang!B9</f>
        <v>생리감정</v>
      </c>
      <c r="B52" s="134">
        <f>SUM(B13:B14)</f>
        <v>47.723599999999998</v>
      </c>
      <c r="C52" s="134"/>
      <c r="D52" s="134">
        <f t="shared" ref="D52" si="2">SUM(D13:D14)</f>
        <v>42.914700000000003</v>
      </c>
    </row>
    <row r="53" spans="1:4">
      <c r="B53" s="50">
        <f>SUM(B50:B52)</f>
        <v>436.25849999999997</v>
      </c>
      <c r="D53" s="50">
        <f>SUM(D50:D52)</f>
        <v>135.05217000000002</v>
      </c>
    </row>
    <row r="54" spans="1:4">
      <c r="A54" t="str">
        <f>lang!B7</f>
        <v>긍정감정</v>
      </c>
      <c r="B54" s="135">
        <f>IF(B$53&lt;&gt;0,B50/B$53,0)</f>
        <v>0.59187316694115988</v>
      </c>
      <c r="C54" s="135"/>
      <c r="D54" s="135">
        <f>IF(D$53&lt;&gt;0,D50/D$53,0)</f>
        <v>0.32256816014137346</v>
      </c>
    </row>
    <row r="55" spans="1:4">
      <c r="A55" t="str">
        <f>lang!B8</f>
        <v>부정감정</v>
      </c>
      <c r="B55" s="135">
        <f>IF(B$53&lt;&gt;0,B51/B$53,0)</f>
        <v>0.29873389286397861</v>
      </c>
      <c r="C55" s="135"/>
      <c r="D55" s="135">
        <f>IF(D$53&lt;&gt;0,D51/D$53,0)</f>
        <v>0.3596679712736196</v>
      </c>
    </row>
    <row r="56" spans="1:4">
      <c r="A56" t="str">
        <f>lang!B9</f>
        <v>생리감정</v>
      </c>
      <c r="B56" s="135">
        <f>IF(B$53&lt;&gt;0,B52/B$53,0)</f>
        <v>0.10939294019486154</v>
      </c>
      <c r="C56" s="135"/>
      <c r="D56" s="135">
        <f>IF(D$53&lt;&gt;0,D52/D$53,0)</f>
        <v>0.31776386858500683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35.2057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0.25</v>
      </c>
      <c r="B31" s="49">
        <v>0.25</v>
      </c>
    </row>
    <row r="32" spans="1:2">
      <c r="A32" s="49">
        <v>0.222857</v>
      </c>
      <c r="B32" s="49">
        <v>0.222857</v>
      </c>
    </row>
    <row r="33" spans="1:2">
      <c r="A33" s="49">
        <v>0.76428600000000002</v>
      </c>
      <c r="B33" s="49">
        <v>0.76428600000000002</v>
      </c>
    </row>
    <row r="34" spans="1:2">
      <c r="A34" s="49">
        <v>1.0428599999999999</v>
      </c>
      <c r="B34" s="49">
        <v>1.0428599999999999</v>
      </c>
    </row>
    <row r="35" spans="1:2">
      <c r="A35" s="49">
        <v>0.91142900000000004</v>
      </c>
      <c r="B35" s="49">
        <v>0.91142900000000004</v>
      </c>
    </row>
    <row r="36" spans="1:2">
      <c r="A36" s="49">
        <v>1.30857</v>
      </c>
      <c r="B36" s="49">
        <v>1.30857</v>
      </c>
    </row>
    <row r="37" spans="1:2">
      <c r="A37" s="49">
        <v>2.0828600000000002</v>
      </c>
      <c r="B37" s="49">
        <v>2.0828600000000002</v>
      </c>
    </row>
    <row r="38" spans="1:2">
      <c r="A38" s="49">
        <v>0.94142899999999996</v>
      </c>
      <c r="B38" s="49">
        <v>0.94142899999999996</v>
      </c>
    </row>
    <row r="39" spans="1:2">
      <c r="A39" s="49">
        <v>1.50143</v>
      </c>
      <c r="B39" s="49">
        <v>1.50143</v>
      </c>
    </row>
    <row r="40" spans="1:2">
      <c r="A40" s="49">
        <v>1.21286</v>
      </c>
      <c r="B40" s="49">
        <v>1.21286</v>
      </c>
    </row>
    <row r="41" spans="1:2">
      <c r="A41" s="49">
        <v>1.1499999999999999</v>
      </c>
      <c r="B41" s="49">
        <v>1.1499999999999999</v>
      </c>
    </row>
    <row r="42" spans="1:2">
      <c r="A42" s="49">
        <v>0.92571400000000004</v>
      </c>
      <c r="B42" s="49">
        <v>0.92571400000000004</v>
      </c>
    </row>
    <row r="43" spans="1:2">
      <c r="A43" s="49">
        <v>0.68</v>
      </c>
      <c r="B43" s="49">
        <v>0.68</v>
      </c>
    </row>
    <row r="44" spans="1:2">
      <c r="A44" s="49">
        <v>1.34429</v>
      </c>
      <c r="B44" s="49">
        <v>1.34429</v>
      </c>
    </row>
    <row r="45" spans="1:2">
      <c r="A45" s="49">
        <v>1.45286</v>
      </c>
      <c r="B45" s="49">
        <v>1.45286</v>
      </c>
    </row>
    <row r="46" spans="1:2">
      <c r="A46" s="49">
        <v>1.80857</v>
      </c>
      <c r="B46" s="49">
        <v>1.80857</v>
      </c>
    </row>
    <row r="47" spans="1:2">
      <c r="A47" s="49">
        <v>0.87428600000000001</v>
      </c>
      <c r="B47" s="49">
        <v>0.87428600000000001</v>
      </c>
    </row>
    <row r="48" spans="1:2">
      <c r="A48" s="49">
        <v>0.80857100000000004</v>
      </c>
      <c r="B48" s="49">
        <v>0.80857100000000004</v>
      </c>
    </row>
    <row r="49" spans="1:2">
      <c r="A49" s="49">
        <v>1.15143</v>
      </c>
      <c r="B49" s="49">
        <v>1.15143</v>
      </c>
    </row>
    <row r="50" spans="1:2">
      <c r="A50" s="49">
        <v>0.74571399999999999</v>
      </c>
      <c r="B50" s="49">
        <v>0.74571399999999999</v>
      </c>
    </row>
    <row r="51" spans="1:2">
      <c r="A51" s="49">
        <v>1.1785699999999999</v>
      </c>
      <c r="B51" s="49">
        <v>1.1785699999999999</v>
      </c>
    </row>
    <row r="52" spans="1:2">
      <c r="A52" s="49">
        <v>1.1599999999999999</v>
      </c>
      <c r="B52" s="49">
        <v>1.1599999999999999</v>
      </c>
    </row>
    <row r="53" spans="1:2">
      <c r="A53" s="49">
        <v>0.28999999999999998</v>
      </c>
      <c r="B53" s="49">
        <v>0.28999999999999998</v>
      </c>
    </row>
    <row r="54" spans="1:2">
      <c r="A54" s="49">
        <v>0.864286</v>
      </c>
      <c r="B54" s="49">
        <v>0.864286</v>
      </c>
    </row>
    <row r="55" spans="1:2">
      <c r="A55" s="49">
        <v>1.0428599999999999</v>
      </c>
      <c r="B55" s="49">
        <v>1.0428599999999999</v>
      </c>
    </row>
    <row r="56" spans="1:2">
      <c r="A56" s="49">
        <v>1.17</v>
      </c>
      <c r="B56" s="49">
        <v>1.17</v>
      </c>
    </row>
    <row r="57" spans="1:2">
      <c r="A57" s="49">
        <v>2.1442899999999998</v>
      </c>
      <c r="B57" s="49">
        <v>2.1442899999999998</v>
      </c>
    </row>
    <row r="58" spans="1:2">
      <c r="A58" s="49">
        <v>1.2628600000000001</v>
      </c>
      <c r="B58" s="49">
        <v>1.2628600000000001</v>
      </c>
    </row>
    <row r="59" spans="1:2">
      <c r="A59" s="49">
        <v>1.2728600000000001</v>
      </c>
      <c r="B59" s="49">
        <v>1.2728600000000001</v>
      </c>
    </row>
    <row r="60" spans="1:2">
      <c r="A60" s="49">
        <v>1.2085699999999999</v>
      </c>
      <c r="B60" s="49">
        <v>1.2085699999999999</v>
      </c>
    </row>
    <row r="61" spans="1:2">
      <c r="A61" s="49">
        <v>1.16143</v>
      </c>
      <c r="B61" s="49">
        <v>1.16143</v>
      </c>
    </row>
    <row r="62" spans="1:2">
      <c r="A62" s="49">
        <v>2.9371399999999999</v>
      </c>
      <c r="B62" s="49">
        <v>2.9371399999999999</v>
      </c>
    </row>
    <row r="63" spans="1:2">
      <c r="A63" s="49">
        <v>1.9957100000000001</v>
      </c>
      <c r="B63" s="49">
        <v>1.9957100000000001</v>
      </c>
    </row>
    <row r="64" spans="1:2">
      <c r="A64" s="49">
        <v>4.2285700000000004</v>
      </c>
      <c r="B64" s="49">
        <v>4.2285700000000004</v>
      </c>
    </row>
    <row r="65" spans="1:2">
      <c r="A65" s="49">
        <v>1.8814299999999999</v>
      </c>
      <c r="B65" s="49">
        <v>1.8814299999999999</v>
      </c>
    </row>
    <row r="66" spans="1:2">
      <c r="A66" s="49">
        <v>3.9728599999999998</v>
      </c>
      <c r="B66" s="49">
        <v>3.9728599999999998</v>
      </c>
    </row>
    <row r="67" spans="1:2">
      <c r="A67" s="49">
        <v>5.3742900000000002</v>
      </c>
      <c r="B67" s="49">
        <v>5.3742900000000002</v>
      </c>
    </row>
    <row r="68" spans="1:2">
      <c r="A68" s="49">
        <v>8.7357099999999992</v>
      </c>
      <c r="B68" s="49">
        <v>8.7357099999999992</v>
      </c>
    </row>
    <row r="69" spans="1:2">
      <c r="A69" s="49">
        <v>10.8386</v>
      </c>
      <c r="B69" s="49">
        <v>10.8386</v>
      </c>
    </row>
    <row r="70" spans="1:2">
      <c r="A70" s="49">
        <v>10.0486</v>
      </c>
      <c r="B70" s="49">
        <v>10.0486</v>
      </c>
    </row>
    <row r="71" spans="1:2">
      <c r="A71" s="49">
        <v>7.9928600000000003</v>
      </c>
      <c r="B71" s="49">
        <v>7.9928600000000003</v>
      </c>
    </row>
    <row r="72" spans="1:2">
      <c r="A72" s="49">
        <v>16.261399999999998</v>
      </c>
      <c r="B72" s="49">
        <v>16.261399999999998</v>
      </c>
    </row>
    <row r="73" spans="1:2">
      <c r="A73" s="49">
        <v>15.4971</v>
      </c>
      <c r="B73" s="49">
        <v>15.4971</v>
      </c>
    </row>
    <row r="74" spans="1:2">
      <c r="A74" s="49">
        <v>9.32714</v>
      </c>
      <c r="B74" s="49">
        <v>9.32714</v>
      </c>
    </row>
    <row r="75" spans="1:2">
      <c r="A75" s="49">
        <v>20.064299999999999</v>
      </c>
      <c r="B75" s="49">
        <v>20.064299999999999</v>
      </c>
    </row>
    <row r="76" spans="1:2">
      <c r="A76" s="49">
        <v>12.505699999999999</v>
      </c>
      <c r="B76" s="49">
        <v>12.505699999999999</v>
      </c>
    </row>
    <row r="77" spans="1:2">
      <c r="A77" s="49">
        <v>17.48</v>
      </c>
      <c r="B77" s="49">
        <v>17.48</v>
      </c>
    </row>
    <row r="78" spans="1:2">
      <c r="A78" s="49">
        <v>14.6843</v>
      </c>
      <c r="B78" s="49">
        <v>14.6843</v>
      </c>
    </row>
    <row r="79" spans="1:2">
      <c r="A79" s="49">
        <v>12.108599999999999</v>
      </c>
      <c r="B79" s="49">
        <v>12.108599999999999</v>
      </c>
    </row>
    <row r="80" spans="1:2">
      <c r="A80" s="49">
        <v>17.122900000000001</v>
      </c>
      <c r="B80" s="49">
        <v>17.122900000000001</v>
      </c>
    </row>
    <row r="81" spans="1:2">
      <c r="A81" s="49">
        <v>14.732900000000001</v>
      </c>
      <c r="B81" s="49">
        <v>14.732900000000001</v>
      </c>
    </row>
    <row r="82" spans="1:2">
      <c r="A82" s="49">
        <v>17.602900000000002</v>
      </c>
      <c r="B82" s="49">
        <v>17.602900000000002</v>
      </c>
    </row>
    <row r="83" spans="1:2">
      <c r="A83" s="49">
        <v>11.8314</v>
      </c>
      <c r="B83" s="49">
        <v>11.8314</v>
      </c>
    </row>
    <row r="84" spans="1:2">
      <c r="A84" s="49">
        <v>12.1814</v>
      </c>
      <c r="B84" s="49">
        <v>12.1814</v>
      </c>
    </row>
    <row r="85" spans="1:2">
      <c r="A85" s="49">
        <v>16.7729</v>
      </c>
      <c r="B85" s="49">
        <v>16.7729</v>
      </c>
    </row>
    <row r="86" spans="1:2">
      <c r="A86" s="49">
        <v>11.56</v>
      </c>
      <c r="B86" s="49">
        <v>11.56</v>
      </c>
    </row>
    <row r="87" spans="1:2">
      <c r="A87" s="49">
        <v>11.6714</v>
      </c>
      <c r="B87" s="49">
        <v>11.6714</v>
      </c>
    </row>
    <row r="88" spans="1:2">
      <c r="A88" s="49">
        <v>27.392900000000001</v>
      </c>
      <c r="B88" s="49">
        <v>27.392900000000001</v>
      </c>
    </row>
    <row r="89" spans="1:2">
      <c r="A89" s="49">
        <v>11.017099999999999</v>
      </c>
      <c r="B89" s="49">
        <v>11.017099999999999</v>
      </c>
    </row>
    <row r="90" spans="1:2">
      <c r="A90" s="49">
        <v>14.6257</v>
      </c>
      <c r="B90" s="49">
        <v>14.6257</v>
      </c>
    </row>
    <row r="91" spans="1:2">
      <c r="A91" s="49">
        <v>9.3114299999999997</v>
      </c>
      <c r="B91" s="49">
        <v>9.3114299999999997</v>
      </c>
    </row>
    <row r="92" spans="1:2">
      <c r="A92" s="49">
        <v>10.368600000000001</v>
      </c>
      <c r="B92" s="49">
        <v>10.368600000000001</v>
      </c>
    </row>
    <row r="93" spans="1:2">
      <c r="A93" s="49">
        <v>12.515700000000001</v>
      </c>
      <c r="B93" s="49">
        <v>12.515700000000001</v>
      </c>
    </row>
    <row r="94" spans="1:2">
      <c r="A94" s="49">
        <v>8.2214299999999998</v>
      </c>
      <c r="B94" s="49">
        <v>8.2214299999999998</v>
      </c>
    </row>
    <row r="95" spans="1:2">
      <c r="A95" s="49">
        <v>13.2157</v>
      </c>
      <c r="B95" s="49">
        <v>13.2157</v>
      </c>
    </row>
    <row r="96" spans="1:2">
      <c r="A96" s="49">
        <v>10.801399999999999</v>
      </c>
      <c r="B96" s="49">
        <v>10.801399999999999</v>
      </c>
    </row>
    <row r="97" spans="1:2">
      <c r="A97" s="49">
        <v>8.2357099999999992</v>
      </c>
      <c r="B97" s="49">
        <v>8.2357099999999992</v>
      </c>
    </row>
    <row r="98" spans="1:2">
      <c r="A98" s="49">
        <v>10.7986</v>
      </c>
      <c r="B98" s="49">
        <v>10.7986</v>
      </c>
    </row>
    <row r="99" spans="1:2">
      <c r="A99" s="49">
        <v>7.9914300000000003</v>
      </c>
      <c r="B99" s="49">
        <v>7.9914300000000003</v>
      </c>
    </row>
    <row r="100" spans="1:2">
      <c r="A100" s="49">
        <v>12.278600000000001</v>
      </c>
      <c r="B100" s="49">
        <v>12.278600000000001</v>
      </c>
    </row>
    <row r="101" spans="1:2">
      <c r="A101" s="49">
        <v>11.7143</v>
      </c>
      <c r="B101" s="49">
        <v>11.7143</v>
      </c>
    </row>
    <row r="102" spans="1:2">
      <c r="A102" s="49">
        <v>11.72</v>
      </c>
      <c r="B102" s="49">
        <v>11.72</v>
      </c>
    </row>
    <row r="103" spans="1:2">
      <c r="A103" s="49">
        <v>15.984299999999999</v>
      </c>
      <c r="B103" s="49">
        <v>15.984299999999999</v>
      </c>
    </row>
    <row r="104" spans="1:2">
      <c r="A104" s="49">
        <v>8.6957100000000001</v>
      </c>
      <c r="B104" s="49">
        <v>8.6957100000000001</v>
      </c>
    </row>
    <row r="105" spans="1:2">
      <c r="A105" s="49">
        <v>15.064299999999999</v>
      </c>
      <c r="B105" s="49">
        <v>15.064299999999999</v>
      </c>
    </row>
    <row r="106" spans="1:2">
      <c r="A106" s="49">
        <v>20.677099999999999</v>
      </c>
      <c r="B106" s="49">
        <v>20.677099999999999</v>
      </c>
    </row>
    <row r="107" spans="1:2">
      <c r="A107" s="49">
        <v>17.347100000000001</v>
      </c>
      <c r="B107" s="49">
        <v>17.347100000000001</v>
      </c>
    </row>
    <row r="108" spans="1:2">
      <c r="A108" s="49">
        <v>21.651399999999999</v>
      </c>
      <c r="B108" s="49">
        <v>21.651399999999999</v>
      </c>
    </row>
    <row r="109" spans="1:2">
      <c r="A109" s="49">
        <v>19.467099999999999</v>
      </c>
      <c r="B109" s="49">
        <v>19.467099999999999</v>
      </c>
    </row>
    <row r="110" spans="1:2">
      <c r="A110" s="49">
        <v>15.8771</v>
      </c>
      <c r="B110" s="49">
        <v>15.8771</v>
      </c>
    </row>
    <row r="111" spans="1:2">
      <c r="A111" s="49">
        <v>28.4329</v>
      </c>
      <c r="B111" s="49">
        <v>28.4329</v>
      </c>
    </row>
    <row r="112" spans="1:2">
      <c r="A112" s="49">
        <v>12.424300000000001</v>
      </c>
      <c r="B112" s="49">
        <v>12.424300000000001</v>
      </c>
    </row>
    <row r="113" spans="1:2">
      <c r="A113" s="49">
        <v>31.255700000000001</v>
      </c>
      <c r="B113" s="49">
        <v>31.255700000000001</v>
      </c>
    </row>
    <row r="114" spans="1:2">
      <c r="A114" s="49">
        <v>22.68</v>
      </c>
      <c r="B114" s="49">
        <v>22.68</v>
      </c>
    </row>
    <row r="115" spans="1:2">
      <c r="A115" s="49">
        <v>12.6457</v>
      </c>
      <c r="B115" s="49">
        <v>12.6457</v>
      </c>
    </row>
    <row r="116" spans="1:2">
      <c r="A116" s="49">
        <v>27.64</v>
      </c>
      <c r="B116" s="49">
        <v>27.64</v>
      </c>
    </row>
    <row r="117" spans="1:2">
      <c r="A117" s="49">
        <v>19.6571</v>
      </c>
      <c r="B117" s="49">
        <v>19.6571</v>
      </c>
    </row>
    <row r="118" spans="1:2">
      <c r="A118" s="49">
        <v>23.311399999999999</v>
      </c>
      <c r="B118" s="49">
        <v>23.311399999999999</v>
      </c>
    </row>
    <row r="119" spans="1:2">
      <c r="A119" s="49">
        <v>18.190000000000001</v>
      </c>
      <c r="B119" s="49">
        <v>18.190000000000001</v>
      </c>
    </row>
    <row r="120" spans="1:2">
      <c r="A120" s="49">
        <v>21.17</v>
      </c>
      <c r="B120" s="49">
        <v>21.17</v>
      </c>
    </row>
    <row r="121" spans="1:2">
      <c r="A121" s="49">
        <v>18.7271</v>
      </c>
      <c r="B121" s="49">
        <v>18.7271</v>
      </c>
    </row>
    <row r="122" spans="1:2">
      <c r="A122" s="49">
        <v>19.329999999999998</v>
      </c>
      <c r="B122" s="49">
        <v>19.329999999999998</v>
      </c>
    </row>
    <row r="123" spans="1:2">
      <c r="A123" s="49">
        <v>24.968599999999999</v>
      </c>
      <c r="B123" s="49">
        <v>24.968599999999999</v>
      </c>
    </row>
    <row r="124" spans="1:2">
      <c r="A124" s="49">
        <v>21.92</v>
      </c>
      <c r="B124" s="49">
        <v>21.92</v>
      </c>
    </row>
    <row r="125" spans="1:2">
      <c r="A125" s="49">
        <v>11.008599999999999</v>
      </c>
      <c r="B125" s="49">
        <v>11.008599999999999</v>
      </c>
    </row>
    <row r="126" spans="1:2">
      <c r="A126" s="49">
        <v>32.8429</v>
      </c>
      <c r="B126" s="49">
        <v>32.8429</v>
      </c>
    </row>
    <row r="127" spans="1:2">
      <c r="A127" s="49">
        <v>22.735700000000001</v>
      </c>
      <c r="B127" s="49">
        <v>22.735700000000001</v>
      </c>
    </row>
    <row r="128" spans="1:2">
      <c r="A128" s="49">
        <v>0</v>
      </c>
      <c r="B128" s="49">
        <v>0</v>
      </c>
    </row>
    <row r="129" spans="1:2">
      <c r="A129" s="49">
        <v>32.212899999999998</v>
      </c>
      <c r="B129" s="49">
        <v>32.212899999999998</v>
      </c>
    </row>
    <row r="130" spans="1:2">
      <c r="A130" s="49">
        <v>26.707100000000001</v>
      </c>
      <c r="B130" s="49">
        <v>26.707100000000001</v>
      </c>
    </row>
    <row r="131" spans="1:2">
      <c r="A131" s="49">
        <v>35.2057</v>
      </c>
      <c r="B131" s="49">
        <v>35.2057</v>
      </c>
    </row>
    <row r="132" spans="1:2">
      <c r="A132" s="49">
        <v>0</v>
      </c>
      <c r="B132" s="49">
        <v>0</v>
      </c>
    </row>
    <row r="133" spans="1:2">
      <c r="A133" s="49">
        <v>28.082899999999999</v>
      </c>
      <c r="B133" s="49">
        <v>28.082899999999999</v>
      </c>
    </row>
    <row r="134" spans="1:2">
      <c r="A134" s="49">
        <v>35.152900000000002</v>
      </c>
      <c r="B134" s="49">
        <v>35.152900000000002</v>
      </c>
    </row>
    <row r="135" spans="1:2">
      <c r="A135" s="49">
        <v>11.3</v>
      </c>
      <c r="B135" s="49">
        <v>11.3</v>
      </c>
    </row>
    <row r="136" spans="1:2">
      <c r="A136" s="49">
        <v>18.5014</v>
      </c>
      <c r="B136" s="49">
        <v>18.5014</v>
      </c>
    </row>
    <row r="137" spans="1:2">
      <c r="A137" s="49">
        <v>24.235700000000001</v>
      </c>
      <c r="B137" s="49">
        <v>24.235700000000001</v>
      </c>
    </row>
    <row r="138" spans="1:2">
      <c r="A138" s="49">
        <v>12.402900000000001</v>
      </c>
      <c r="B138" s="49">
        <v>12.402900000000001</v>
      </c>
    </row>
    <row r="139" spans="1:2">
      <c r="A139" s="49">
        <v>20.302900000000001</v>
      </c>
      <c r="B139" s="49">
        <v>20.302900000000001</v>
      </c>
    </row>
    <row r="140" spans="1:2">
      <c r="A140" s="49">
        <v>20.444299999999998</v>
      </c>
      <c r="B140" s="49">
        <v>20.444299999999998</v>
      </c>
    </row>
    <row r="141" spans="1:2">
      <c r="A141" s="49">
        <v>12.991400000000001</v>
      </c>
      <c r="B141" s="49">
        <v>12.991400000000001</v>
      </c>
    </row>
    <row r="142" spans="1:2">
      <c r="A142" s="49">
        <v>16.350000000000001</v>
      </c>
      <c r="B142" s="49">
        <v>16.350000000000001</v>
      </c>
    </row>
    <row r="143" spans="1:2">
      <c r="A143" s="49">
        <v>15.4457</v>
      </c>
      <c r="B143" s="49">
        <v>15.4457</v>
      </c>
    </row>
    <row r="144" spans="1:2">
      <c r="A144" s="49">
        <v>13.188599999999999</v>
      </c>
      <c r="B144" s="49">
        <v>13.188599999999999</v>
      </c>
    </row>
    <row r="145" spans="1:2">
      <c r="A145" s="49">
        <v>5.78857</v>
      </c>
      <c r="B145" s="49">
        <v>5.78857</v>
      </c>
    </row>
    <row r="146" spans="1:2">
      <c r="A146" s="49">
        <v>7.7328599999999996</v>
      </c>
      <c r="B146" s="49">
        <v>7.7328599999999996</v>
      </c>
    </row>
    <row r="147" spans="1:2">
      <c r="A147" s="49">
        <v>9.6371400000000005</v>
      </c>
      <c r="B147" s="49">
        <v>9.6371400000000005</v>
      </c>
    </row>
    <row r="148" spans="1:2">
      <c r="A148" s="49">
        <v>3.81</v>
      </c>
      <c r="B148" s="49">
        <v>3.81</v>
      </c>
    </row>
    <row r="149" spans="1:2">
      <c r="A149" s="49">
        <v>10.1686</v>
      </c>
      <c r="B149" s="49">
        <v>10.1686</v>
      </c>
    </row>
    <row r="150" spans="1:2">
      <c r="A150" s="49">
        <v>5.0357099999999999</v>
      </c>
      <c r="B150" s="49">
        <v>5.0357099999999999</v>
      </c>
    </row>
    <row r="151" spans="1:2">
      <c r="A151" s="49">
        <v>5.13429</v>
      </c>
      <c r="B151" s="49">
        <v>5.13429</v>
      </c>
    </row>
    <row r="152" spans="1:2">
      <c r="A152" s="49">
        <v>6.1771399999999996</v>
      </c>
      <c r="B152" s="49">
        <v>6.1771399999999996</v>
      </c>
    </row>
    <row r="153" spans="1:2">
      <c r="A153" s="49">
        <v>4.8757099999999998</v>
      </c>
      <c r="B153" s="49">
        <v>4.8757099999999998</v>
      </c>
    </row>
    <row r="154" spans="1:2">
      <c r="A154" s="49">
        <v>5.2814300000000003</v>
      </c>
      <c r="B154" s="49">
        <v>5.2814300000000003</v>
      </c>
    </row>
    <row r="155" spans="1:2">
      <c r="A155" s="49">
        <v>3.4157099999999998</v>
      </c>
      <c r="B155" s="49">
        <v>3.4157099999999998</v>
      </c>
    </row>
    <row r="156" spans="1:2">
      <c r="A156" s="49">
        <v>5.1771399999999996</v>
      </c>
      <c r="B156" s="49">
        <v>5.1771399999999996</v>
      </c>
    </row>
    <row r="157" spans="1:2">
      <c r="A157" s="49">
        <v>5.09</v>
      </c>
      <c r="B157" s="49">
        <v>5.09</v>
      </c>
    </row>
    <row r="158" spans="1:2">
      <c r="A158" s="49">
        <v>4.9885700000000002</v>
      </c>
      <c r="B158" s="49">
        <v>4.9885700000000002</v>
      </c>
    </row>
    <row r="159" spans="1:2">
      <c r="A159" s="49">
        <v>3.9742899999999999</v>
      </c>
      <c r="B159" s="49">
        <v>3.9742899999999999</v>
      </c>
    </row>
    <row r="160" spans="1:2">
      <c r="A160" s="49">
        <v>3.30857</v>
      </c>
      <c r="B160" s="49">
        <v>3.30857</v>
      </c>
    </row>
    <row r="161" spans="1:2">
      <c r="A161" s="49">
        <v>3.0342899999999999</v>
      </c>
      <c r="B161" s="49">
        <v>3.0342899999999999</v>
      </c>
    </row>
    <row r="162" spans="1:2">
      <c r="A162" s="49">
        <v>3.55</v>
      </c>
      <c r="B162" s="49">
        <v>3.55</v>
      </c>
    </row>
    <row r="163" spans="1:2">
      <c r="A163" s="49">
        <v>2.9485700000000001</v>
      </c>
      <c r="B163" s="49">
        <v>2.9485700000000001</v>
      </c>
    </row>
    <row r="164" spans="1:2">
      <c r="A164" s="49">
        <v>3.07857</v>
      </c>
      <c r="B164" s="49">
        <v>3.07857</v>
      </c>
    </row>
    <row r="165" spans="1:2">
      <c r="A165" s="49">
        <v>2.9514300000000002</v>
      </c>
      <c r="B165" s="49">
        <v>2.9514300000000002</v>
      </c>
    </row>
    <row r="166" spans="1:2">
      <c r="A166" s="49">
        <v>1.0714300000000001</v>
      </c>
      <c r="B166" s="49">
        <v>1.0714300000000001</v>
      </c>
    </row>
    <row r="167" spans="1:2">
      <c r="A167" s="49">
        <v>1.61286</v>
      </c>
      <c r="B167" s="49">
        <v>1.61286</v>
      </c>
    </row>
    <row r="168" spans="1:2">
      <c r="A168" s="49">
        <v>0.73285699999999998</v>
      </c>
      <c r="B168" s="49">
        <v>0.73285699999999998</v>
      </c>
    </row>
    <row r="169" spans="1:2">
      <c r="A169" s="49">
        <v>0.55571400000000004</v>
      </c>
      <c r="B169" s="49">
        <v>0.55571400000000004</v>
      </c>
    </row>
    <row r="170" spans="1:2">
      <c r="A170" s="49">
        <v>1.1100000000000001</v>
      </c>
      <c r="B170" s="49">
        <v>1.1100000000000001</v>
      </c>
    </row>
    <row r="171" spans="1:2">
      <c r="A171" s="49">
        <v>0.88714300000000001</v>
      </c>
      <c r="B171" s="49">
        <v>0.88714300000000001</v>
      </c>
    </row>
    <row r="172" spans="1:2">
      <c r="A172" s="49">
        <v>0.87857099999999999</v>
      </c>
      <c r="B172" s="49">
        <v>0.87857099999999999</v>
      </c>
    </row>
    <row r="173" spans="1:2">
      <c r="A173" s="49">
        <v>1.89429</v>
      </c>
      <c r="B173" s="49">
        <v>1.89429</v>
      </c>
    </row>
    <row r="174" spans="1:2">
      <c r="A174" s="49">
        <v>0.45</v>
      </c>
      <c r="B174" s="49">
        <v>0.45</v>
      </c>
    </row>
    <row r="175" spans="1:2">
      <c r="A175" s="49">
        <v>0.33571400000000001</v>
      </c>
      <c r="B175" s="49">
        <v>0.33571400000000001</v>
      </c>
    </row>
    <row r="176" spans="1:2">
      <c r="A176" s="49">
        <v>0.214286</v>
      </c>
      <c r="B176" s="49">
        <v>0.214286</v>
      </c>
    </row>
    <row r="177" spans="1:2">
      <c r="A177" s="49">
        <v>0.214286</v>
      </c>
      <c r="B177" s="49">
        <v>0.214286</v>
      </c>
    </row>
    <row r="178" spans="1:2">
      <c r="A178" s="49">
        <v>0.52857100000000001</v>
      </c>
      <c r="B178" s="49">
        <v>0.52857100000000001</v>
      </c>
    </row>
    <row r="179" spans="1:2">
      <c r="A179" s="49">
        <v>0.31857099999999999</v>
      </c>
      <c r="B179" s="49">
        <v>0.31857099999999999</v>
      </c>
    </row>
    <row r="180" spans="1:2">
      <c r="A180" s="49">
        <v>0.107143</v>
      </c>
      <c r="B180" s="49">
        <v>0.107143</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0.40938600000000003</v>
      </c>
      <c r="B2" s="49">
        <v>0.36888900000000002</v>
      </c>
      <c r="C2">
        <v>0</v>
      </c>
      <c r="D2">
        <v>0</v>
      </c>
      <c r="E2" t="s">
        <v>1161</v>
      </c>
      <c r="F2" s="49">
        <f>IF(A2&lt;&gt;"",1,"")</f>
        <v>1</v>
      </c>
      <c r="G2">
        <f>IF($H8&gt;0,LOOKUP(COUNT(A2:A1000)*$H8,F2:F1000,A2:A1000),LOOKUP(1,F2:F1000,A2:A1000))</f>
        <v>0.41611700000000001</v>
      </c>
      <c r="H2">
        <f>IF($H8&gt;0,LOOKUP(COUNT(B2:B1000)*$H8,F2:F1000,B2:B1000),LOOKUP(1,F2:F1000,B2:B1000))</f>
        <v>0.38227499999999998</v>
      </c>
      <c r="J2" s="49">
        <f>IF(A2&lt;&gt;"",A2*10,"")</f>
        <v>4.0938600000000003</v>
      </c>
      <c r="K2" s="49">
        <f>IF(B2&lt;&gt;"",B2*100,"")</f>
        <v>36.8889</v>
      </c>
      <c r="L2" s="49">
        <f>IF(F2&lt;&gt;"",IF(K2&lt;&gt;0,K2/J2,0),"")</f>
        <v>9.0107868857264286</v>
      </c>
    </row>
    <row r="3" spans="1:12">
      <c r="A3" s="49">
        <v>0.41611700000000001</v>
      </c>
      <c r="B3" s="49">
        <v>0.38227499999999998</v>
      </c>
      <c r="C3">
        <v>0.34353899999999998</v>
      </c>
      <c r="D3">
        <v>0</v>
      </c>
      <c r="E3" t="s">
        <v>2560</v>
      </c>
      <c r="F3" s="49">
        <f>IF(A3&lt;&gt;"",F2+1,"")</f>
        <v>2</v>
      </c>
      <c r="G3">
        <f>IF($H9&gt;0,LOOKUP(COUNT(A2:A1000)*$H9,F2:F1000,A2:A1000),LOOKUP(1,F2:F1000,A2:A1000))</f>
        <v>0.42110700000000001</v>
      </c>
      <c r="H3">
        <f>IF($H9&gt;0,LOOKUP(COUNT(B2:B1000)*$H9,F2:F1000,B2:B1000),LOOKUP(1,F2:F1000,B2:B1000))</f>
        <v>0.47795900000000002</v>
      </c>
      <c r="J3" s="49">
        <f t="shared" ref="J3:J66" si="0">IF(A3&lt;&gt;"",A3*10,"")</f>
        <v>4.1611700000000003</v>
      </c>
      <c r="K3" s="49">
        <f t="shared" ref="K3:K66" si="1">IF(B3&lt;&gt;"",B3*100,"")</f>
        <v>38.227499999999999</v>
      </c>
      <c r="L3" s="49">
        <f t="shared" ref="L3:L66" si="2">IF(F3&lt;&gt;"",IF(K3&lt;&gt;0,K3/J3,0),"")</f>
        <v>9.1867191198629232</v>
      </c>
    </row>
    <row r="4" spans="1:12">
      <c r="A4" s="49">
        <v>0.42306500000000002</v>
      </c>
      <c r="B4" s="49">
        <v>0.40007399999999999</v>
      </c>
      <c r="C4">
        <v>0.76494300000000004</v>
      </c>
      <c r="D4">
        <v>0</v>
      </c>
      <c r="E4" t="s">
        <v>2561</v>
      </c>
      <c r="F4" s="49">
        <f t="shared" ref="F4:F67" si="3">IF(A4&lt;&gt;"",F3+1,"")</f>
        <v>3</v>
      </c>
      <c r="G4" s="71" t="s">
        <v>209</v>
      </c>
      <c r="H4" s="23">
        <f>IF(ISERROR(G3-G2)=FALSE,(G3-G2)*10,0)</f>
        <v>4.9899999999999944E-2</v>
      </c>
      <c r="J4" s="49">
        <f t="shared" si="0"/>
        <v>4.2306500000000007</v>
      </c>
      <c r="K4" s="49">
        <f t="shared" si="1"/>
        <v>40.007399999999997</v>
      </c>
      <c r="L4" s="49">
        <f t="shared" si="2"/>
        <v>9.4565610485386387</v>
      </c>
    </row>
    <row r="5" spans="1:12">
      <c r="A5" s="49">
        <v>0.423877</v>
      </c>
      <c r="B5" s="49">
        <v>0.40433599999999997</v>
      </c>
      <c r="C5">
        <v>1.1724300000000001</v>
      </c>
      <c r="D5">
        <v>0</v>
      </c>
      <c r="E5" t="s">
        <v>2562</v>
      </c>
      <c r="F5" s="49">
        <f t="shared" si="3"/>
        <v>4</v>
      </c>
      <c r="G5" s="71" t="s">
        <v>210</v>
      </c>
      <c r="H5" s="23">
        <f>IF(ISERROR(H3-H2)=FALSE,H3-H2,0)</f>
        <v>9.5684000000000047E-2</v>
      </c>
      <c r="J5" s="49">
        <f t="shared" si="0"/>
        <v>4.2387699999999997</v>
      </c>
      <c r="K5" s="49">
        <f t="shared" si="1"/>
        <v>40.433599999999998</v>
      </c>
      <c r="L5" s="49">
        <f t="shared" si="2"/>
        <v>9.5389936231501125</v>
      </c>
    </row>
    <row r="6" spans="1:12">
      <c r="A6" s="49">
        <v>0.42558099999999999</v>
      </c>
      <c r="B6" s="49">
        <v>0.40590500000000002</v>
      </c>
      <c r="C6">
        <v>1.57494</v>
      </c>
      <c r="D6">
        <v>0</v>
      </c>
      <c r="E6" t="s">
        <v>2563</v>
      </c>
      <c r="F6" s="49">
        <f t="shared" si="3"/>
        <v>5</v>
      </c>
      <c r="G6" s="71" t="s">
        <v>211</v>
      </c>
      <c r="H6" s="23">
        <f>IF(H4&lt;&gt;0,H5/H4,0)</f>
        <v>1.9175150300601234</v>
      </c>
      <c r="J6" s="49">
        <f t="shared" si="0"/>
        <v>4.2558100000000003</v>
      </c>
      <c r="K6" s="49">
        <f t="shared" si="1"/>
        <v>40.590499999999999</v>
      </c>
      <c r="L6" s="49">
        <f t="shared" si="2"/>
        <v>9.5376673300734751</v>
      </c>
    </row>
    <row r="7" spans="1:12">
      <c r="A7" s="49">
        <v>0.42792200000000002</v>
      </c>
      <c r="B7" s="49">
        <v>0.40819899999999998</v>
      </c>
      <c r="C7">
        <v>1.9799899999999999</v>
      </c>
      <c r="D7">
        <v>0</v>
      </c>
      <c r="E7" t="s">
        <v>2564</v>
      </c>
      <c r="F7" s="49">
        <f t="shared" si="3"/>
        <v>6</v>
      </c>
      <c r="G7" s="71" t="s">
        <v>212</v>
      </c>
      <c r="H7" s="23">
        <f>DEGREES(ATAN(H6))</f>
        <v>62.457585252349801</v>
      </c>
      <c r="J7" s="49">
        <f t="shared" si="0"/>
        <v>4.2792200000000005</v>
      </c>
      <c r="K7" s="49">
        <f t="shared" si="1"/>
        <v>40.819899999999997</v>
      </c>
      <c r="L7" s="49">
        <f t="shared" si="2"/>
        <v>9.5390982468767653</v>
      </c>
    </row>
    <row r="8" spans="1:12">
      <c r="A8" s="49">
        <v>0.43070000000000003</v>
      </c>
      <c r="B8" s="49">
        <v>0.41645399999999999</v>
      </c>
      <c r="C8">
        <v>2.4012099999999998</v>
      </c>
      <c r="D8">
        <v>0</v>
      </c>
      <c r="E8" t="s">
        <v>2565</v>
      </c>
      <c r="F8" s="49">
        <f t="shared" si="3"/>
        <v>7</v>
      </c>
      <c r="G8" s="71" t="s">
        <v>213</v>
      </c>
      <c r="H8" s="72">
        <v>0.1</v>
      </c>
      <c r="J8" s="49">
        <f t="shared" si="0"/>
        <v>4.3070000000000004</v>
      </c>
      <c r="K8" s="49">
        <f t="shared" si="1"/>
        <v>41.645400000000002</v>
      </c>
      <c r="L8" s="49">
        <f t="shared" si="2"/>
        <v>9.6692361272347345</v>
      </c>
    </row>
    <row r="9" spans="1:12">
      <c r="A9" s="49">
        <v>0.43376399999999998</v>
      </c>
      <c r="B9" s="49">
        <v>0.426255</v>
      </c>
      <c r="C9">
        <v>2.798</v>
      </c>
      <c r="D9">
        <v>0</v>
      </c>
      <c r="E9" t="s">
        <v>2566</v>
      </c>
      <c r="F9" s="49">
        <f t="shared" si="3"/>
        <v>8</v>
      </c>
      <c r="G9" s="71" t="s">
        <v>214</v>
      </c>
      <c r="H9" s="72">
        <v>0.9</v>
      </c>
      <c r="J9" s="49">
        <f t="shared" si="0"/>
        <v>4.3376399999999995</v>
      </c>
      <c r="K9" s="49">
        <f t="shared" si="1"/>
        <v>42.625500000000002</v>
      </c>
      <c r="L9" s="49">
        <f t="shared" si="2"/>
        <v>9.8268874318753987</v>
      </c>
    </row>
    <row r="10" spans="1:12">
      <c r="A10" s="49">
        <v>0.43634800000000001</v>
      </c>
      <c r="B10" s="49">
        <v>0.43772299999999997</v>
      </c>
      <c r="C10">
        <v>3.1953900000000002</v>
      </c>
      <c r="D10">
        <v>0</v>
      </c>
      <c r="E10" t="s">
        <v>2567</v>
      </c>
      <c r="F10" s="49">
        <f t="shared" si="3"/>
        <v>9</v>
      </c>
      <c r="G10" t="s">
        <v>215</v>
      </c>
      <c r="J10" s="49">
        <f t="shared" si="0"/>
        <v>4.36348</v>
      </c>
      <c r="K10" s="49">
        <f t="shared" si="1"/>
        <v>43.772299999999994</v>
      </c>
      <c r="L10" s="49">
        <f t="shared" si="2"/>
        <v>10.031511545830391</v>
      </c>
    </row>
    <row r="11" spans="1:12">
      <c r="A11" s="49">
        <v>0.43918299999999999</v>
      </c>
      <c r="B11" s="49">
        <v>0.44984600000000002</v>
      </c>
      <c r="C11">
        <v>3.6287600000000002</v>
      </c>
      <c r="D11">
        <v>0</v>
      </c>
      <c r="E11" t="s">
        <v>2568</v>
      </c>
      <c r="F11" s="49">
        <f t="shared" si="3"/>
        <v>10</v>
      </c>
      <c r="G11" s="71" t="s">
        <v>216</v>
      </c>
      <c r="H11" s="73">
        <f>MIN(B2:B1000)</f>
        <v>0.36888900000000002</v>
      </c>
      <c r="J11" s="49">
        <f t="shared" si="0"/>
        <v>4.3918299999999997</v>
      </c>
      <c r="K11" s="49">
        <f t="shared" si="1"/>
        <v>44.9846</v>
      </c>
      <c r="L11" s="49">
        <f t="shared" si="2"/>
        <v>10.242791729188061</v>
      </c>
    </row>
    <row r="12" spans="1:12">
      <c r="A12" s="49">
        <v>0.44163400000000003</v>
      </c>
      <c r="B12" s="49">
        <v>0.45984599999999998</v>
      </c>
      <c r="C12">
        <v>4.0228400000000004</v>
      </c>
      <c r="D12">
        <v>0</v>
      </c>
      <c r="E12" t="s">
        <v>2569</v>
      </c>
      <c r="F12" s="49">
        <f t="shared" si="3"/>
        <v>11</v>
      </c>
      <c r="G12" s="71" t="s">
        <v>218</v>
      </c>
      <c r="H12" s="73">
        <f>MAX(B2:B1000)</f>
        <v>0.48902400000000001</v>
      </c>
      <c r="J12" s="49">
        <f t="shared" si="0"/>
        <v>4.4163399999999999</v>
      </c>
      <c r="K12" s="49">
        <f t="shared" si="1"/>
        <v>45.9846</v>
      </c>
      <c r="L12" s="49">
        <f t="shared" si="2"/>
        <v>10.412377670197493</v>
      </c>
    </row>
    <row r="13" spans="1:12">
      <c r="A13" s="49">
        <v>0.442743</v>
      </c>
      <c r="B13" s="49">
        <v>0.46912500000000001</v>
      </c>
      <c r="C13">
        <v>4.42882</v>
      </c>
      <c r="D13">
        <v>0</v>
      </c>
      <c r="E13" t="s">
        <v>2570</v>
      </c>
      <c r="F13" s="49">
        <f t="shared" si="3"/>
        <v>12</v>
      </c>
      <c r="G13" s="71" t="s">
        <v>220</v>
      </c>
      <c r="H13">
        <f>MATCH($H$11,B2:B1000,0)</f>
        <v>1</v>
      </c>
      <c r="J13" s="49">
        <f t="shared" si="0"/>
        <v>4.4274300000000002</v>
      </c>
      <c r="K13" s="49">
        <f t="shared" si="1"/>
        <v>46.912500000000001</v>
      </c>
      <c r="L13" s="49">
        <f t="shared" si="2"/>
        <v>10.595876162920701</v>
      </c>
    </row>
    <row r="14" spans="1:12">
      <c r="A14" s="49">
        <v>0.44254500000000002</v>
      </c>
      <c r="B14" s="49">
        <v>0.47805700000000001</v>
      </c>
      <c r="C14">
        <v>4.8328800000000003</v>
      </c>
      <c r="D14">
        <v>0</v>
      </c>
      <c r="E14" t="s">
        <v>2571</v>
      </c>
      <c r="F14" s="49">
        <f t="shared" si="3"/>
        <v>13</v>
      </c>
      <c r="G14" s="71" t="s">
        <v>221</v>
      </c>
      <c r="H14">
        <f>MATCH($H$12,B2:B1000,0)</f>
        <v>16</v>
      </c>
      <c r="J14" s="49">
        <f t="shared" si="0"/>
        <v>4.4254500000000005</v>
      </c>
      <c r="K14" s="49">
        <f t="shared" si="1"/>
        <v>47.805700000000002</v>
      </c>
      <c r="L14" s="49">
        <f t="shared" si="2"/>
        <v>10.80244946841564</v>
      </c>
    </row>
    <row r="15" spans="1:12">
      <c r="A15" s="49">
        <v>0.44228200000000001</v>
      </c>
      <c r="B15" s="49">
        <v>0.485323</v>
      </c>
      <c r="C15">
        <v>5.2393900000000002</v>
      </c>
      <c r="D15">
        <v>0</v>
      </c>
      <c r="E15" t="s">
        <v>2572</v>
      </c>
      <c r="F15" s="49">
        <f t="shared" si="3"/>
        <v>14</v>
      </c>
      <c r="G15">
        <f>LOOKUP($H13,F2:F1000,A2:A1000)</f>
        <v>0.40938600000000003</v>
      </c>
      <c r="H15">
        <f>LOOKUP($H13,F2:F1000,B2:B1000)</f>
        <v>0.36888900000000002</v>
      </c>
      <c r="J15" s="49">
        <f t="shared" si="0"/>
        <v>4.4228199999999998</v>
      </c>
      <c r="K15" s="49">
        <f t="shared" si="1"/>
        <v>48.532299999999999</v>
      </c>
      <c r="L15" s="49">
        <f t="shared" si="2"/>
        <v>10.973157397316644</v>
      </c>
    </row>
    <row r="16" spans="1:12">
      <c r="A16" s="49">
        <v>0.44060700000000003</v>
      </c>
      <c r="B16" s="49">
        <v>0.48838900000000002</v>
      </c>
      <c r="C16">
        <v>5.6501599999999996</v>
      </c>
      <c r="D16">
        <v>0</v>
      </c>
      <c r="E16" t="s">
        <v>2573</v>
      </c>
      <c r="F16" s="49">
        <f t="shared" si="3"/>
        <v>15</v>
      </c>
      <c r="G16">
        <f>LOOKUP($H14,F2:F1000,A2:A1000)</f>
        <v>0.43857800000000002</v>
      </c>
      <c r="H16">
        <f>LOOKUP($H14,F2:F1000,B2:B1000)</f>
        <v>0.48902400000000001</v>
      </c>
      <c r="J16" s="49">
        <f t="shared" si="0"/>
        <v>4.4060700000000006</v>
      </c>
      <c r="K16" s="49">
        <f t="shared" si="1"/>
        <v>48.838900000000002</v>
      </c>
      <c r="L16" s="49">
        <f t="shared" si="2"/>
        <v>11.084458485679981</v>
      </c>
    </row>
    <row r="17" spans="1:12">
      <c r="A17" s="49">
        <v>0.43857800000000002</v>
      </c>
      <c r="B17" s="49">
        <v>0.48902400000000001</v>
      </c>
      <c r="C17">
        <v>6.07348</v>
      </c>
      <c r="D17">
        <v>0</v>
      </c>
      <c r="E17" t="s">
        <v>2574</v>
      </c>
      <c r="F17" s="49">
        <f t="shared" si="3"/>
        <v>16</v>
      </c>
      <c r="J17" s="49">
        <f t="shared" si="0"/>
        <v>4.3857800000000005</v>
      </c>
      <c r="K17" s="49">
        <f t="shared" si="1"/>
        <v>48.9024</v>
      </c>
      <c r="L17" s="49">
        <f t="shared" si="2"/>
        <v>11.150217293161079</v>
      </c>
    </row>
    <row r="18" spans="1:12">
      <c r="A18" s="49">
        <v>0.43611699999999998</v>
      </c>
      <c r="B18" s="49">
        <v>0.48719200000000001</v>
      </c>
      <c r="C18">
        <v>6.4428599999999996</v>
      </c>
      <c r="D18">
        <v>0</v>
      </c>
      <c r="E18" t="s">
        <v>2575</v>
      </c>
      <c r="F18" s="49">
        <f t="shared" si="3"/>
        <v>17</v>
      </c>
      <c r="J18" s="49">
        <f t="shared" si="0"/>
        <v>4.3611699999999995</v>
      </c>
      <c r="K18" s="49">
        <f t="shared" si="1"/>
        <v>48.719200000000001</v>
      </c>
      <c r="L18" s="49">
        <f t="shared" si="2"/>
        <v>11.171130682821355</v>
      </c>
    </row>
    <row r="19" spans="1:12">
      <c r="A19" s="49">
        <v>0.43181000000000003</v>
      </c>
      <c r="B19" s="49">
        <v>0.48325200000000001</v>
      </c>
      <c r="C19">
        <v>6.86069</v>
      </c>
      <c r="D19">
        <v>0</v>
      </c>
      <c r="E19" t="s">
        <v>2576</v>
      </c>
      <c r="F19" s="49">
        <f t="shared" si="3"/>
        <v>18</v>
      </c>
      <c r="J19" s="49">
        <f t="shared" si="0"/>
        <v>4.3181000000000003</v>
      </c>
      <c r="K19" s="49">
        <f t="shared" si="1"/>
        <v>48.325200000000002</v>
      </c>
      <c r="L19" s="49">
        <f t="shared" si="2"/>
        <v>11.191310993260926</v>
      </c>
    </row>
    <row r="20" spans="1:12">
      <c r="A20" s="49">
        <v>0.42837399999999998</v>
      </c>
      <c r="B20" s="49">
        <v>0.48188300000000001</v>
      </c>
      <c r="C20">
        <v>7.2618400000000003</v>
      </c>
      <c r="D20">
        <v>0</v>
      </c>
      <c r="E20" t="s">
        <v>2577</v>
      </c>
      <c r="F20" s="49">
        <f t="shared" si="3"/>
        <v>19</v>
      </c>
      <c r="J20" s="49">
        <f t="shared" si="0"/>
        <v>4.2837399999999999</v>
      </c>
      <c r="K20" s="49">
        <f t="shared" si="1"/>
        <v>48.188299999999998</v>
      </c>
      <c r="L20" s="49">
        <f t="shared" si="2"/>
        <v>11.2491187607091</v>
      </c>
    </row>
    <row r="21" spans="1:12">
      <c r="A21" s="49">
        <v>0.42589199999999999</v>
      </c>
      <c r="B21" s="49">
        <v>0.48078300000000002</v>
      </c>
      <c r="C21">
        <v>7.6679000000000004</v>
      </c>
      <c r="D21">
        <v>0</v>
      </c>
      <c r="E21" t="s">
        <v>2578</v>
      </c>
      <c r="F21" s="49">
        <f t="shared" si="3"/>
        <v>20</v>
      </c>
      <c r="J21" s="49">
        <f t="shared" si="0"/>
        <v>4.2589199999999998</v>
      </c>
      <c r="K21" s="49">
        <f t="shared" si="1"/>
        <v>48.078299999999999</v>
      </c>
      <c r="L21" s="49">
        <f t="shared" si="2"/>
        <v>11.288847876926544</v>
      </c>
    </row>
    <row r="22" spans="1:12">
      <c r="A22" s="49">
        <v>0.42346400000000001</v>
      </c>
      <c r="B22" s="49">
        <v>0.47964699999999999</v>
      </c>
      <c r="C22">
        <v>8.0766100000000005</v>
      </c>
      <c r="D22">
        <v>0</v>
      </c>
      <c r="E22" t="s">
        <v>2579</v>
      </c>
      <c r="F22" s="49">
        <f t="shared" si="3"/>
        <v>21</v>
      </c>
      <c r="J22" s="49">
        <f t="shared" si="0"/>
        <v>4.2346399999999997</v>
      </c>
      <c r="K22" s="49">
        <f t="shared" si="1"/>
        <v>47.964700000000001</v>
      </c>
      <c r="L22" s="49">
        <f t="shared" si="2"/>
        <v>11.326747964407836</v>
      </c>
    </row>
    <row r="23" spans="1:12">
      <c r="A23" s="49">
        <v>0.42110700000000001</v>
      </c>
      <c r="B23" s="49">
        <v>0.47795900000000002</v>
      </c>
      <c r="C23">
        <v>8.4776500000000006</v>
      </c>
      <c r="D23">
        <v>0</v>
      </c>
      <c r="E23" t="s">
        <v>2580</v>
      </c>
      <c r="F23" s="49">
        <f t="shared" si="3"/>
        <v>22</v>
      </c>
      <c r="J23" s="49">
        <f t="shared" si="0"/>
        <v>4.2110700000000003</v>
      </c>
      <c r="K23" s="49">
        <f t="shared" si="1"/>
        <v>47.795900000000003</v>
      </c>
      <c r="L23" s="49">
        <f t="shared" si="2"/>
        <v>11.350060673415545</v>
      </c>
    </row>
    <row r="24" spans="1:12">
      <c r="A24" s="49">
        <v>0.41964699999999999</v>
      </c>
      <c r="B24" s="49">
        <v>0.47555700000000001</v>
      </c>
      <c r="C24">
        <v>8.8988200000000006</v>
      </c>
      <c r="D24">
        <v>0</v>
      </c>
      <c r="E24" t="s">
        <v>2581</v>
      </c>
      <c r="F24" s="49">
        <f t="shared" si="3"/>
        <v>23</v>
      </c>
      <c r="G24" t="s">
        <v>245</v>
      </c>
      <c r="H24">
        <f>COUNT(A2:A2000)</f>
        <v>25</v>
      </c>
      <c r="J24" s="49">
        <f t="shared" si="0"/>
        <v>4.1964699999999997</v>
      </c>
      <c r="K24" s="49">
        <f t="shared" si="1"/>
        <v>47.555700000000002</v>
      </c>
      <c r="L24" s="49">
        <f t="shared" si="2"/>
        <v>11.332310251234968</v>
      </c>
    </row>
    <row r="25" spans="1:12">
      <c r="A25" s="49">
        <v>0.41848099999999999</v>
      </c>
      <c r="B25" s="49">
        <v>0.473051</v>
      </c>
      <c r="C25">
        <v>9.2935099999999995</v>
      </c>
      <c r="D25">
        <v>0</v>
      </c>
      <c r="E25" t="s">
        <v>2582</v>
      </c>
      <c r="F25" s="49">
        <f t="shared" si="3"/>
        <v>24</v>
      </c>
      <c r="J25" s="49">
        <f t="shared" si="0"/>
        <v>4.1848099999999997</v>
      </c>
      <c r="K25" s="49">
        <f t="shared" si="1"/>
        <v>47.305100000000003</v>
      </c>
      <c r="L25" s="49">
        <f t="shared" si="2"/>
        <v>11.304001854325527</v>
      </c>
    </row>
    <row r="26" spans="1:12">
      <c r="A26" s="49">
        <v>0.41714499999999999</v>
      </c>
      <c r="B26" s="49">
        <v>0.47616900000000001</v>
      </c>
      <c r="C26">
        <v>9.7190999999999992</v>
      </c>
      <c r="D26">
        <v>0</v>
      </c>
      <c r="E26" t="s">
        <v>2583</v>
      </c>
      <c r="F26" s="49">
        <f t="shared" si="3"/>
        <v>25</v>
      </c>
      <c r="J26" s="49">
        <f t="shared" si="0"/>
        <v>4.1714500000000001</v>
      </c>
      <c r="K26" s="49">
        <f t="shared" si="1"/>
        <v>47.616900000000001</v>
      </c>
      <c r="L26" s="49">
        <f t="shared" si="2"/>
        <v>11.414951635522421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45779.650729166664</v>
      </c>
      <c r="B2" t="s">
        <v>2584</v>
      </c>
      <c r="C2" s="49"/>
      <c r="D2" s="49"/>
      <c r="E2" s="49">
        <v>4.9234099999999996</v>
      </c>
      <c r="F2" s="49">
        <v>2.1090599999999999</v>
      </c>
      <c r="G2" s="49">
        <v>0.510181</v>
      </c>
      <c r="H2" s="49">
        <v>0</v>
      </c>
      <c r="I2" s="49">
        <v>35.2057</v>
      </c>
      <c r="J2" s="49">
        <v>129</v>
      </c>
      <c r="K2" s="49">
        <v>129</v>
      </c>
      <c r="L2" s="49">
        <v>100</v>
      </c>
      <c r="M2" s="521" t="s">
        <v>1549</v>
      </c>
      <c r="O2" s="565" t="str">
        <f>IF(FH_info!B2="","",TRIM(MID(SUBSTITUTE(FH_info!B2,"^",REPT(" ",LEN(FH_info!B2))),LEN(FH_info!B2)*2-LEN(FH_info!B2)+1,LEN(FH_info!B2))))</f>
        <v>arTn</v>
      </c>
      <c r="P2" s="565" t="str">
        <f>IF(FH_info!O2="","",TRIM(MID(SUBSTITUTE(FH_info!O2," ",REPT(" ",LEN(FH_info!O2))),LEN(FH_info!O2)*1-LEN(FH_info!O2)+1,LEN(FH_info!O2))))</f>
        <v>arTn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35.205714999999998</v>
      </c>
      <c r="D2">
        <f>MAX(B2:B257)</f>
        <v>726.29663100000005</v>
      </c>
      <c r="G2" t="s">
        <v>1590</v>
      </c>
      <c r="H2">
        <v>4.9234140000000002</v>
      </c>
      <c r="I2">
        <v>35.205714999999998</v>
      </c>
      <c r="J2">
        <v>0</v>
      </c>
      <c r="K2">
        <v>129</v>
      </c>
      <c r="L2">
        <v>129</v>
      </c>
      <c r="M2">
        <v>2.1090650000000002</v>
      </c>
      <c r="N2">
        <v>0.510181</v>
      </c>
      <c r="O2">
        <v>0.26028499999999999</v>
      </c>
    </row>
    <row r="3" spans="1:15">
      <c r="A3">
        <v>0</v>
      </c>
      <c r="B3">
        <v>0</v>
      </c>
      <c r="G3" t="s">
        <v>1591</v>
      </c>
      <c r="H3">
        <v>4.9234140000000002</v>
      </c>
      <c r="I3">
        <v>726.29663100000005</v>
      </c>
      <c r="J3">
        <v>0</v>
      </c>
      <c r="K3">
        <v>37</v>
      </c>
      <c r="L3">
        <v>37</v>
      </c>
      <c r="M3">
        <v>0.97834600000000005</v>
      </c>
      <c r="N3">
        <v>0.41023700000000002</v>
      </c>
      <c r="O3">
        <v>0.168294</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0.02</v>
      </c>
    </row>
    <row r="14" spans="1:15">
      <c r="A14">
        <v>0</v>
      </c>
      <c r="B14">
        <v>0</v>
      </c>
    </row>
    <row r="15" spans="1:15">
      <c r="A15">
        <v>0</v>
      </c>
      <c r="B15">
        <v>0.126667</v>
      </c>
    </row>
    <row r="16" spans="1:15">
      <c r="A16">
        <v>0</v>
      </c>
      <c r="B16">
        <v>0.283333</v>
      </c>
    </row>
    <row r="17" spans="1:2">
      <c r="A17">
        <v>0</v>
      </c>
      <c r="B17">
        <v>0</v>
      </c>
    </row>
    <row r="18" spans="1:2">
      <c r="A18">
        <v>0</v>
      </c>
      <c r="B18">
        <v>3.19</v>
      </c>
    </row>
    <row r="19" spans="1:2">
      <c r="A19">
        <v>0</v>
      </c>
      <c r="B19">
        <v>0.71</v>
      </c>
    </row>
    <row r="20" spans="1:2">
      <c r="A20">
        <v>0</v>
      </c>
      <c r="B20">
        <v>0</v>
      </c>
    </row>
    <row r="21" spans="1:2">
      <c r="A21">
        <v>0</v>
      </c>
      <c r="B21">
        <v>24.086668</v>
      </c>
    </row>
    <row r="22" spans="1:2">
      <c r="A22">
        <v>0</v>
      </c>
      <c r="B22">
        <v>0</v>
      </c>
    </row>
    <row r="23" spans="1:2">
      <c r="A23">
        <v>0</v>
      </c>
      <c r="B23">
        <v>44.626663000000001</v>
      </c>
    </row>
    <row r="24" spans="1:2">
      <c r="A24">
        <v>0</v>
      </c>
      <c r="B24">
        <v>46.093333999999999</v>
      </c>
    </row>
    <row r="25" spans="1:2">
      <c r="A25">
        <v>0</v>
      </c>
      <c r="B25">
        <v>0</v>
      </c>
    </row>
    <row r="26" spans="1:2">
      <c r="A26">
        <v>0</v>
      </c>
      <c r="B26">
        <v>186.28334000000001</v>
      </c>
    </row>
    <row r="27" spans="1:2">
      <c r="A27">
        <v>0</v>
      </c>
      <c r="B27">
        <v>38.783332999999999</v>
      </c>
    </row>
    <row r="28" spans="1:2">
      <c r="A28">
        <v>0</v>
      </c>
      <c r="B28">
        <v>142.66999799999999</v>
      </c>
    </row>
    <row r="29" spans="1:2">
      <c r="A29">
        <v>0</v>
      </c>
      <c r="B29">
        <v>291.41665599999999</v>
      </c>
    </row>
    <row r="30" spans="1:2">
      <c r="A30">
        <v>0</v>
      </c>
      <c r="B30">
        <v>0</v>
      </c>
    </row>
    <row r="31" spans="1:2">
      <c r="A31">
        <v>0.25</v>
      </c>
      <c r="B31">
        <v>444.10333300000002</v>
      </c>
    </row>
    <row r="32" spans="1:2">
      <c r="A32">
        <v>0.222857</v>
      </c>
      <c r="B32">
        <v>226.943344</v>
      </c>
    </row>
    <row r="33" spans="1:2">
      <c r="A33">
        <v>0.76428600000000002</v>
      </c>
      <c r="B33">
        <v>305.14001500000001</v>
      </c>
    </row>
    <row r="34" spans="1:2">
      <c r="A34">
        <v>1.0428569999999999</v>
      </c>
      <c r="B34">
        <v>460.24667399999998</v>
      </c>
    </row>
    <row r="35" spans="1:2">
      <c r="A35">
        <v>0.91142900000000004</v>
      </c>
      <c r="B35">
        <v>156.19332900000001</v>
      </c>
    </row>
    <row r="36" spans="1:2">
      <c r="A36">
        <v>1.3085709999999999</v>
      </c>
      <c r="B36">
        <v>525.64001499999995</v>
      </c>
    </row>
    <row r="37" spans="1:2">
      <c r="A37">
        <v>2.0828570000000002</v>
      </c>
      <c r="B37">
        <v>530.31664999999998</v>
      </c>
    </row>
    <row r="38" spans="1:2">
      <c r="A38">
        <v>0.94142899999999996</v>
      </c>
      <c r="B38">
        <v>0</v>
      </c>
    </row>
    <row r="39" spans="1:2">
      <c r="A39">
        <v>1.501428</v>
      </c>
      <c r="B39">
        <v>726.29663100000005</v>
      </c>
    </row>
    <row r="40" spans="1:2">
      <c r="A40">
        <v>1.2128570000000001</v>
      </c>
      <c r="B40">
        <v>366.06668100000002</v>
      </c>
    </row>
    <row r="41" spans="1:2">
      <c r="A41">
        <v>1.1499999999999999</v>
      </c>
      <c r="B41">
        <v>354.63668799999999</v>
      </c>
    </row>
    <row r="42" spans="1:2">
      <c r="A42">
        <v>0.92571400000000004</v>
      </c>
      <c r="B42">
        <v>533.11999500000002</v>
      </c>
    </row>
    <row r="43" spans="1:2">
      <c r="A43">
        <v>0.68</v>
      </c>
      <c r="B43">
        <v>179.13000500000001</v>
      </c>
    </row>
    <row r="44" spans="1:2">
      <c r="A44">
        <v>1.3442860000000001</v>
      </c>
      <c r="B44">
        <v>491.08999599999999</v>
      </c>
    </row>
    <row r="45" spans="1:2">
      <c r="A45">
        <v>1.4528570000000001</v>
      </c>
      <c r="B45">
        <v>494.30999800000001</v>
      </c>
    </row>
    <row r="46" spans="1:2">
      <c r="A46">
        <v>1.8085709999999999</v>
      </c>
      <c r="B46">
        <v>294.65664700000002</v>
      </c>
    </row>
    <row r="47" spans="1:2">
      <c r="A47">
        <v>0.87428600000000001</v>
      </c>
      <c r="B47">
        <v>295.22000100000002</v>
      </c>
    </row>
    <row r="48" spans="1:2">
      <c r="A48">
        <v>0.80857100000000004</v>
      </c>
      <c r="B48">
        <v>297.60998499999999</v>
      </c>
    </row>
    <row r="49" spans="1:2">
      <c r="A49">
        <v>1.151429</v>
      </c>
      <c r="B49">
        <v>402.56668100000002</v>
      </c>
    </row>
    <row r="50" spans="1:2">
      <c r="A50">
        <v>0.74571399999999999</v>
      </c>
      <c r="B50">
        <v>270.40335099999999</v>
      </c>
    </row>
    <row r="51" spans="1:2">
      <c r="A51">
        <v>1.178571</v>
      </c>
      <c r="B51">
        <v>380.86999500000002</v>
      </c>
    </row>
    <row r="52" spans="1:2">
      <c r="A52">
        <v>1.1599999999999999</v>
      </c>
      <c r="B52">
        <v>245.490005</v>
      </c>
    </row>
    <row r="53" spans="1:2">
      <c r="A53">
        <v>0.28999999999999998</v>
      </c>
      <c r="B53">
        <v>123.720001</v>
      </c>
    </row>
    <row r="54" spans="1:2">
      <c r="A54">
        <v>0.864286</v>
      </c>
      <c r="B54">
        <v>341.07000699999998</v>
      </c>
    </row>
    <row r="55" spans="1:2">
      <c r="A55">
        <v>1.0428569999999999</v>
      </c>
      <c r="B55">
        <v>217.753342</v>
      </c>
    </row>
    <row r="56" spans="1:2">
      <c r="A56">
        <v>1.17</v>
      </c>
      <c r="B56">
        <v>220.773346</v>
      </c>
    </row>
    <row r="57" spans="1:2">
      <c r="A57">
        <v>2.1442860000000001</v>
      </c>
      <c r="B57">
        <v>274.04998799999998</v>
      </c>
    </row>
    <row r="58" spans="1:2">
      <c r="A58">
        <v>1.2628569999999999</v>
      </c>
      <c r="B58">
        <v>185.009995</v>
      </c>
    </row>
    <row r="59" spans="1:2">
      <c r="A59">
        <v>1.2728569999999999</v>
      </c>
      <c r="B59">
        <v>242.433334</v>
      </c>
    </row>
    <row r="60" spans="1:2">
      <c r="A60">
        <v>1.2085710000000001</v>
      </c>
      <c r="B60">
        <v>149.11999499999999</v>
      </c>
    </row>
    <row r="61" spans="1:2">
      <c r="A61">
        <v>1.161429</v>
      </c>
      <c r="B61">
        <v>75.946663000000001</v>
      </c>
    </row>
    <row r="62" spans="1:2">
      <c r="A62">
        <v>2.9371429999999998</v>
      </c>
      <c r="B62">
        <v>254.78666699999999</v>
      </c>
    </row>
    <row r="63" spans="1:2">
      <c r="A63">
        <v>1.995714</v>
      </c>
      <c r="B63">
        <v>59.916663999999997</v>
      </c>
    </row>
    <row r="64" spans="1:2">
      <c r="A64">
        <v>4.2285709999999996</v>
      </c>
      <c r="B64">
        <v>218.693344</v>
      </c>
    </row>
    <row r="65" spans="1:2">
      <c r="A65">
        <v>1.8814280000000001</v>
      </c>
      <c r="B65">
        <v>48.803333000000002</v>
      </c>
    </row>
    <row r="66" spans="1:2">
      <c r="A66">
        <v>3.9728569999999999</v>
      </c>
      <c r="B66">
        <v>98.656670000000005</v>
      </c>
    </row>
    <row r="67" spans="1:2">
      <c r="A67">
        <v>5.3742859999999997</v>
      </c>
      <c r="B67">
        <v>130.21667500000001</v>
      </c>
    </row>
    <row r="68" spans="1:2">
      <c r="A68">
        <v>8.7357139999999998</v>
      </c>
      <c r="B68">
        <v>80.646666999999994</v>
      </c>
    </row>
    <row r="69" spans="1:2">
      <c r="A69">
        <v>10.838571999999999</v>
      </c>
      <c r="B69">
        <v>110.55999799999999</v>
      </c>
    </row>
    <row r="70" spans="1:2">
      <c r="A70">
        <v>10.048572</v>
      </c>
      <c r="B70">
        <v>75.339995999999999</v>
      </c>
    </row>
    <row r="71" spans="1:2">
      <c r="A71">
        <v>7.9928569999999999</v>
      </c>
      <c r="B71">
        <v>35.073334000000003</v>
      </c>
    </row>
    <row r="72" spans="1:2">
      <c r="A72">
        <v>16.261429</v>
      </c>
      <c r="B72">
        <v>134.356674</v>
      </c>
    </row>
    <row r="73" spans="1:2">
      <c r="A73">
        <v>15.497142999999999</v>
      </c>
      <c r="B73">
        <v>64.816665999999998</v>
      </c>
    </row>
    <row r="74" spans="1:2">
      <c r="A74">
        <v>9.3271429999999995</v>
      </c>
      <c r="B74">
        <v>32.433334000000002</v>
      </c>
    </row>
    <row r="75" spans="1:2">
      <c r="A75">
        <v>20.064285000000002</v>
      </c>
      <c r="B75">
        <v>120.126671</v>
      </c>
    </row>
    <row r="76" spans="1:2">
      <c r="A76">
        <v>12.505713999999999</v>
      </c>
      <c r="B76">
        <v>29.709999</v>
      </c>
    </row>
    <row r="77" spans="1:2">
      <c r="A77">
        <v>17.48</v>
      </c>
      <c r="B77">
        <v>82.25</v>
      </c>
    </row>
    <row r="78" spans="1:2">
      <c r="A78">
        <v>14.684286</v>
      </c>
      <c r="B78">
        <v>55.439999</v>
      </c>
    </row>
    <row r="79" spans="1:2">
      <c r="A79">
        <v>12.108572000000001</v>
      </c>
      <c r="B79">
        <v>26.906668</v>
      </c>
    </row>
    <row r="80" spans="1:2">
      <c r="A80">
        <v>17.122858000000001</v>
      </c>
      <c r="B80">
        <v>102.64666699999999</v>
      </c>
    </row>
    <row r="81" spans="1:2">
      <c r="A81">
        <v>14.732858</v>
      </c>
      <c r="B81">
        <v>49.123336999999999</v>
      </c>
    </row>
    <row r="82" spans="1:2">
      <c r="A82">
        <v>17.602858000000001</v>
      </c>
      <c r="B82">
        <v>70.703339</v>
      </c>
    </row>
    <row r="83" spans="1:2">
      <c r="A83">
        <v>11.831429</v>
      </c>
      <c r="B83">
        <v>47.736663999999998</v>
      </c>
    </row>
    <row r="84" spans="1:2">
      <c r="A84">
        <v>12.181428</v>
      </c>
      <c r="B84">
        <v>22.576668000000002</v>
      </c>
    </row>
    <row r="85" spans="1:2">
      <c r="A85">
        <v>16.772857999999999</v>
      </c>
      <c r="B85">
        <v>65.206665000000001</v>
      </c>
    </row>
    <row r="86" spans="1:2">
      <c r="A86">
        <v>11.56</v>
      </c>
      <c r="B86">
        <v>43.873336999999999</v>
      </c>
    </row>
    <row r="87" spans="1:2">
      <c r="A87">
        <v>11.671429</v>
      </c>
      <c r="B87">
        <v>21.33</v>
      </c>
    </row>
    <row r="88" spans="1:2">
      <c r="A88">
        <v>27.392856999999999</v>
      </c>
      <c r="B88">
        <v>103.720001</v>
      </c>
    </row>
    <row r="89" spans="1:2">
      <c r="A89">
        <v>11.017142</v>
      </c>
      <c r="B89">
        <v>20.139999</v>
      </c>
    </row>
    <row r="90" spans="1:2">
      <c r="A90">
        <v>14.625714</v>
      </c>
      <c r="B90">
        <v>61.113334999999999</v>
      </c>
    </row>
    <row r="91" spans="1:2">
      <c r="A91">
        <v>9.3114290000000004</v>
      </c>
      <c r="B91">
        <v>40.659999999999997</v>
      </c>
    </row>
    <row r="92" spans="1:2">
      <c r="A92">
        <v>10.368572</v>
      </c>
      <c r="B92">
        <v>20.193335000000001</v>
      </c>
    </row>
    <row r="93" spans="1:2">
      <c r="A93">
        <v>12.515713999999999</v>
      </c>
      <c r="B93">
        <v>58.133335000000002</v>
      </c>
    </row>
    <row r="94" spans="1:2">
      <c r="A94">
        <v>8.2214290000000005</v>
      </c>
      <c r="B94">
        <v>38.653331999999999</v>
      </c>
    </row>
    <row r="95" spans="1:2">
      <c r="A95">
        <v>13.215714</v>
      </c>
      <c r="B95">
        <v>74.209998999999996</v>
      </c>
    </row>
    <row r="96" spans="1:2">
      <c r="A96">
        <v>10.801428</v>
      </c>
      <c r="B96">
        <v>36.593333999999999</v>
      </c>
    </row>
    <row r="97" spans="1:2">
      <c r="A97">
        <v>8.2357139999999998</v>
      </c>
      <c r="B97">
        <v>17.993334000000001</v>
      </c>
    </row>
    <row r="98" spans="1:2">
      <c r="A98">
        <v>10.798572</v>
      </c>
      <c r="B98">
        <v>52.299999</v>
      </c>
    </row>
    <row r="99" spans="1:2">
      <c r="A99">
        <v>7.9914290000000001</v>
      </c>
      <c r="B99">
        <v>33.966667000000001</v>
      </c>
    </row>
    <row r="100" spans="1:2">
      <c r="A100">
        <v>12.278572</v>
      </c>
      <c r="B100">
        <v>47.830002</v>
      </c>
    </row>
    <row r="101" spans="1:2">
      <c r="A101">
        <v>11.714286</v>
      </c>
      <c r="B101">
        <v>31.603332999999999</v>
      </c>
    </row>
    <row r="102" spans="1:2">
      <c r="A102">
        <v>11.72</v>
      </c>
      <c r="B102">
        <v>30.959999</v>
      </c>
    </row>
    <row r="103" spans="1:2">
      <c r="A103">
        <v>15.984286000000001</v>
      </c>
      <c r="B103">
        <v>42.983333999999999</v>
      </c>
    </row>
    <row r="104" spans="1:2">
      <c r="A104">
        <v>8.6957140000000006</v>
      </c>
      <c r="B104">
        <v>28.190000999999999</v>
      </c>
    </row>
    <row r="105" spans="1:2">
      <c r="A105">
        <v>15.064285999999999</v>
      </c>
      <c r="B105">
        <v>13.573333999999999</v>
      </c>
    </row>
    <row r="106" spans="1:2">
      <c r="A106">
        <v>20.677143000000001</v>
      </c>
      <c r="B106">
        <v>38.256667999999998</v>
      </c>
    </row>
    <row r="107" spans="1:2">
      <c r="A107">
        <v>17.347142999999999</v>
      </c>
      <c r="B107">
        <v>25.366667</v>
      </c>
    </row>
    <row r="108" spans="1:2">
      <c r="A108">
        <v>21.651427999999999</v>
      </c>
      <c r="B108">
        <v>35.703330999999999</v>
      </c>
    </row>
    <row r="109" spans="1:2">
      <c r="A109">
        <v>19.467141999999999</v>
      </c>
      <c r="B109">
        <v>23.846668000000001</v>
      </c>
    </row>
    <row r="110" spans="1:2">
      <c r="A110">
        <v>15.877141999999999</v>
      </c>
      <c r="B110">
        <v>22.700001</v>
      </c>
    </row>
    <row r="111" spans="1:2">
      <c r="A111">
        <v>28.432856000000001</v>
      </c>
      <c r="B111">
        <v>30.516667999999999</v>
      </c>
    </row>
    <row r="112" spans="1:2">
      <c r="A112">
        <v>12.424286</v>
      </c>
      <c r="B112">
        <v>10.016666000000001</v>
      </c>
    </row>
    <row r="113" spans="1:2">
      <c r="A113">
        <v>31.255714000000001</v>
      </c>
      <c r="B113">
        <v>37.296669000000001</v>
      </c>
    </row>
    <row r="114" spans="1:2">
      <c r="A114">
        <v>22.68</v>
      </c>
      <c r="B114">
        <v>18.026667</v>
      </c>
    </row>
    <row r="115" spans="1:2">
      <c r="A115">
        <v>12.645714</v>
      </c>
      <c r="B115">
        <v>8.6266669999999994</v>
      </c>
    </row>
    <row r="116" spans="1:2">
      <c r="A116">
        <v>27.639999</v>
      </c>
      <c r="B116">
        <v>24.466667000000001</v>
      </c>
    </row>
    <row r="117" spans="1:2">
      <c r="A117">
        <v>19.657143000000001</v>
      </c>
      <c r="B117">
        <v>15.97</v>
      </c>
    </row>
    <row r="118" spans="1:2">
      <c r="A118">
        <v>23.311427999999999</v>
      </c>
      <c r="B118">
        <v>29.33</v>
      </c>
    </row>
    <row r="119" spans="1:2">
      <c r="A119">
        <v>18.190000999999999</v>
      </c>
      <c r="B119">
        <v>7.3766670000000003</v>
      </c>
    </row>
    <row r="120" spans="1:2">
      <c r="A120">
        <v>21.17</v>
      </c>
      <c r="B120">
        <v>6.9933329999999998</v>
      </c>
    </row>
    <row r="121" spans="1:2">
      <c r="A121">
        <v>18.727142000000001</v>
      </c>
      <c r="B121">
        <v>24.706666999999999</v>
      </c>
    </row>
    <row r="122" spans="1:2">
      <c r="A122">
        <v>19.329999999999998</v>
      </c>
      <c r="B122">
        <v>11.573333999999999</v>
      </c>
    </row>
    <row r="123" spans="1:2">
      <c r="A123">
        <v>24.968572999999999</v>
      </c>
      <c r="B123">
        <v>10.693334</v>
      </c>
    </row>
    <row r="124" spans="1:2">
      <c r="A124">
        <v>21.92</v>
      </c>
      <c r="B124">
        <v>9.48</v>
      </c>
    </row>
    <row r="125" spans="1:2">
      <c r="A125">
        <v>11.008571999999999</v>
      </c>
      <c r="B125">
        <v>9.7166669999999993</v>
      </c>
    </row>
    <row r="126" spans="1:2">
      <c r="A126">
        <v>32.842857000000002</v>
      </c>
      <c r="B126">
        <v>16.766666000000001</v>
      </c>
    </row>
    <row r="127" spans="1:2">
      <c r="A127">
        <v>22.735716</v>
      </c>
      <c r="B127">
        <v>7.88</v>
      </c>
    </row>
    <row r="128" spans="1:2">
      <c r="A128">
        <v>0</v>
      </c>
      <c r="B128">
        <v>0</v>
      </c>
    </row>
    <row r="129" spans="1:2">
      <c r="A129">
        <v>32.212856000000002</v>
      </c>
      <c r="B129">
        <v>13.303333</v>
      </c>
    </row>
    <row r="130" spans="1:2">
      <c r="A130">
        <v>26.707144</v>
      </c>
      <c r="B130">
        <v>6.3733329999999997</v>
      </c>
    </row>
    <row r="131" spans="1:2">
      <c r="A131">
        <v>35.205714999999998</v>
      </c>
      <c r="B131">
        <v>10.193333000000001</v>
      </c>
    </row>
    <row r="132" spans="1:2">
      <c r="A132">
        <v>0</v>
      </c>
      <c r="B132">
        <v>0</v>
      </c>
    </row>
    <row r="133" spans="1:2">
      <c r="A133">
        <v>28.082857000000001</v>
      </c>
      <c r="B133">
        <v>4.6866659999999998</v>
      </c>
    </row>
    <row r="134" spans="1:2">
      <c r="A134">
        <v>35.152855000000002</v>
      </c>
      <c r="B134">
        <v>7.6366670000000001</v>
      </c>
    </row>
    <row r="135" spans="1:2">
      <c r="A135">
        <v>11.3</v>
      </c>
      <c r="B135">
        <v>3.41</v>
      </c>
    </row>
    <row r="136" spans="1:2">
      <c r="A136">
        <v>18.501429000000002</v>
      </c>
      <c r="B136">
        <v>2.6066669999999998</v>
      </c>
    </row>
    <row r="137" spans="1:2">
      <c r="A137">
        <v>24.235716</v>
      </c>
      <c r="B137">
        <v>3.073334</v>
      </c>
    </row>
    <row r="138" spans="1:2">
      <c r="A138">
        <v>12.402858</v>
      </c>
      <c r="B138">
        <v>2.696666</v>
      </c>
    </row>
    <row r="139" spans="1:2">
      <c r="A139">
        <v>20.302858000000001</v>
      </c>
      <c r="B139">
        <v>4.3466659999999999</v>
      </c>
    </row>
    <row r="140" spans="1:2">
      <c r="A140">
        <v>20.444286000000002</v>
      </c>
      <c r="B140">
        <v>1</v>
      </c>
    </row>
    <row r="141" spans="1:2">
      <c r="A141">
        <v>12.991428000000001</v>
      </c>
      <c r="B141">
        <v>0.98</v>
      </c>
    </row>
    <row r="142" spans="1:2">
      <c r="A142">
        <v>16.350000000000001</v>
      </c>
      <c r="B142">
        <v>3.253333</v>
      </c>
    </row>
    <row r="143" spans="1:2">
      <c r="A143">
        <v>15.445714000000001</v>
      </c>
      <c r="B143">
        <v>1.526667</v>
      </c>
    </row>
    <row r="144" spans="1:2">
      <c r="A144">
        <v>13.188572000000001</v>
      </c>
      <c r="B144">
        <v>1.746667</v>
      </c>
    </row>
    <row r="145" spans="1:2">
      <c r="A145">
        <v>5.7885710000000001</v>
      </c>
      <c r="B145">
        <v>0.51333300000000004</v>
      </c>
    </row>
    <row r="146" spans="1:2">
      <c r="A146">
        <v>7.7328570000000001</v>
      </c>
      <c r="B146">
        <v>0.94333299999999998</v>
      </c>
    </row>
    <row r="147" spans="1:2">
      <c r="A147">
        <v>9.637143</v>
      </c>
      <c r="B147">
        <v>1.7066669999999999</v>
      </c>
    </row>
    <row r="148" spans="1:2">
      <c r="A148">
        <v>3.81</v>
      </c>
      <c r="B148">
        <v>0.41666700000000001</v>
      </c>
    </row>
    <row r="149" spans="1:2">
      <c r="A149">
        <v>10.168571</v>
      </c>
      <c r="B149">
        <v>1.06</v>
      </c>
    </row>
    <row r="150" spans="1:2">
      <c r="A150">
        <v>5.0357149999999997</v>
      </c>
      <c r="B150">
        <v>0.60666699999999996</v>
      </c>
    </row>
    <row r="151" spans="1:2">
      <c r="A151">
        <v>5.1342860000000003</v>
      </c>
      <c r="B151">
        <v>0.57333299999999998</v>
      </c>
    </row>
    <row r="152" spans="1:2">
      <c r="A152">
        <v>6.1771430000000001</v>
      </c>
      <c r="B152">
        <v>0.64666699999999999</v>
      </c>
    </row>
    <row r="153" spans="1:2">
      <c r="A153">
        <v>4.8757140000000003</v>
      </c>
      <c r="B153">
        <v>0.41333300000000001</v>
      </c>
    </row>
    <row r="154" spans="1:2">
      <c r="A154">
        <v>5.2814290000000002</v>
      </c>
      <c r="B154">
        <v>0.60666699999999996</v>
      </c>
    </row>
    <row r="155" spans="1:2">
      <c r="A155">
        <v>3.4157150000000001</v>
      </c>
      <c r="B155">
        <v>0.2</v>
      </c>
    </row>
    <row r="156" spans="1:2">
      <c r="A156">
        <v>5.1771430000000001</v>
      </c>
      <c r="B156">
        <v>0.32</v>
      </c>
    </row>
    <row r="157" spans="1:2">
      <c r="A157">
        <v>5.09</v>
      </c>
      <c r="B157">
        <v>0.33</v>
      </c>
    </row>
    <row r="158" spans="1:2">
      <c r="A158">
        <v>4.9885719999999996</v>
      </c>
      <c r="B158">
        <v>0.18</v>
      </c>
    </row>
    <row r="159" spans="1:2">
      <c r="A159">
        <v>3.9742860000000002</v>
      </c>
      <c r="B159">
        <v>0.17</v>
      </c>
    </row>
    <row r="160" spans="1:2">
      <c r="A160">
        <v>3.3085719999999998</v>
      </c>
      <c r="B160">
        <v>0.24</v>
      </c>
    </row>
    <row r="161" spans="1:2">
      <c r="A161">
        <v>3.0342859999999998</v>
      </c>
      <c r="B161">
        <v>0.13</v>
      </c>
    </row>
    <row r="162" spans="1:2">
      <c r="A162">
        <v>3.55</v>
      </c>
      <c r="B162">
        <v>0.16666700000000001</v>
      </c>
    </row>
    <row r="163" spans="1:2">
      <c r="A163">
        <v>2.9485709999999998</v>
      </c>
      <c r="B163">
        <v>6.3333E-2</v>
      </c>
    </row>
    <row r="164" spans="1:2">
      <c r="A164">
        <v>3.0785719999999999</v>
      </c>
      <c r="B164">
        <v>0.113333</v>
      </c>
    </row>
    <row r="165" spans="1:2">
      <c r="A165">
        <v>2.9514279999999999</v>
      </c>
      <c r="B165">
        <v>0.12</v>
      </c>
    </row>
    <row r="166" spans="1:2">
      <c r="A166">
        <v>1.071429</v>
      </c>
      <c r="B166">
        <v>3.3333000000000002E-2</v>
      </c>
    </row>
    <row r="167" spans="1:2">
      <c r="A167">
        <v>1.612857</v>
      </c>
      <c r="B167">
        <v>0.04</v>
      </c>
    </row>
    <row r="168" spans="1:2">
      <c r="A168">
        <v>0.73285699999999998</v>
      </c>
      <c r="B168">
        <v>1.3332999999999999E-2</v>
      </c>
    </row>
    <row r="169" spans="1:2">
      <c r="A169">
        <v>0.55571400000000004</v>
      </c>
      <c r="B169">
        <v>0.02</v>
      </c>
    </row>
    <row r="170" spans="1:2">
      <c r="A170">
        <v>1.1100000000000001</v>
      </c>
      <c r="B170">
        <v>2.6667E-2</v>
      </c>
    </row>
    <row r="171" spans="1:2">
      <c r="A171">
        <v>0.88714300000000001</v>
      </c>
      <c r="B171">
        <v>6.6670000000000002E-3</v>
      </c>
    </row>
    <row r="172" spans="1:2">
      <c r="A172">
        <v>0.87857099999999999</v>
      </c>
      <c r="B172">
        <v>3.6666999999999998E-2</v>
      </c>
    </row>
    <row r="173" spans="1:2">
      <c r="A173">
        <v>1.8942859999999999</v>
      </c>
      <c r="B173">
        <v>6.6670000000000002E-3</v>
      </c>
    </row>
    <row r="174" spans="1:2">
      <c r="A174">
        <v>0.45</v>
      </c>
      <c r="B174">
        <v>1.6667000000000001E-2</v>
      </c>
    </row>
    <row r="175" spans="1:2">
      <c r="A175">
        <v>0.33571400000000001</v>
      </c>
      <c r="B175">
        <v>6.6670000000000002E-3</v>
      </c>
    </row>
    <row r="176" spans="1:2">
      <c r="A176">
        <v>0.214286</v>
      </c>
      <c r="B176">
        <v>0</v>
      </c>
    </row>
    <row r="177" spans="1:2">
      <c r="A177">
        <v>0.214286</v>
      </c>
      <c r="B177">
        <v>3.333E-3</v>
      </c>
    </row>
    <row r="178" spans="1:2">
      <c r="A178">
        <v>0.52857100000000001</v>
      </c>
      <c r="B178">
        <v>0.01</v>
      </c>
    </row>
    <row r="179" spans="1:2">
      <c r="A179">
        <v>0.31857099999999999</v>
      </c>
      <c r="B179">
        <v>6.6670000000000002E-3</v>
      </c>
    </row>
    <row r="180" spans="1:2">
      <c r="A180">
        <v>0.107143</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1.17705437712762
1.18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1.1770543771276178</v>
      </c>
      <c r="I4" s="322">
        <f>IF(Measurement!AQ7&lt;&gt;"",NORMSDIST((H6-$B$2)/$B$3)*100,"")</f>
        <v>81.545665653174055</v>
      </c>
      <c r="J4" t="str">
        <f>Measurement!AR7</f>
        <v>건강</v>
      </c>
    </row>
    <row r="5" spans="1:11">
      <c r="B5" s="171">
        <v>-10</v>
      </c>
      <c r="C5" s="171">
        <f>NORMSDIST(($B5-$B$2)/$B$3)*100</f>
        <v>7.1097265868555281E-5</v>
      </c>
      <c r="G5" t="s">
        <v>1539</v>
      </c>
      <c r="H5" s="320">
        <f>IF(Measurement!AQ7&lt;-7,-7,Measurement!AQ7)</f>
        <v>1.1770543771276178</v>
      </c>
      <c r="I5" s="321">
        <f>IF(Measurement!AQ7&lt;&gt;"",0,"")</f>
        <v>0</v>
      </c>
    </row>
    <row r="6" spans="1:11">
      <c r="B6" s="171">
        <f>B5+0.1</f>
        <v>-9.9</v>
      </c>
      <c r="C6" s="171">
        <f t="shared" ref="C6:C57" si="0">NORMSDIST(($B6-$B$2)/$B$3)*100</f>
        <v>9.1781224195367343E-5</v>
      </c>
      <c r="H6" s="320">
        <f>IF(Measurement!AQ7&lt;-7,-7,Measurement!AQ7)</f>
        <v>1.1770543771276178</v>
      </c>
      <c r="I6" s="321">
        <f>IF(Measurement!AQ7&lt;&gt;"",NORMSDIST((H6-$B$2)/$B$3)*100,"")</f>
        <v>81.545665653174055</v>
      </c>
    </row>
    <row r="7" spans="1:11">
      <c r="B7" s="171">
        <f t="shared" ref="B7:B70" si="1">B6+0.1</f>
        <v>-9.8000000000000007</v>
      </c>
      <c r="C7" s="171">
        <f t="shared" si="0"/>
        <v>1.1818368021892541E-4</v>
      </c>
      <c r="D7" s="171"/>
      <c r="H7" s="320">
        <f>IF(Measurement!AQ7&lt;&gt;"",-7,"")</f>
        <v>-7</v>
      </c>
      <c r="I7" s="321">
        <f>IF(Measurement!AQ7&lt;&gt;"",NORMSDIST((H6-$B$2)/$B$3)*100,"")</f>
        <v>81.545665653174055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54.57</v>
      </c>
      <c r="V4" t="s">
        <v>1218</v>
      </c>
    </row>
    <row r="5" spans="1:29">
      <c r="B5" s="171">
        <v>0</v>
      </c>
      <c r="C5" s="171">
        <f>NORMSDIST(($B5-$B$2)/$B$3)*100</f>
        <v>1.2153167836658598</v>
      </c>
      <c r="H5">
        <f>info!W36</f>
        <v>54.574660000000002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54.574660000000002</v>
      </c>
      <c r="I6" s="171">
        <f>NORMSDIST((H6-$B$2)/$B$3)*100</f>
        <v>58.163023009108997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58.163023009108997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2.1090599999999999</v>
      </c>
    </row>
    <row r="3" spans="1:11" ht="18">
      <c r="A3" s="71" t="s">
        <v>1065</v>
      </c>
      <c r="B3" s="557">
        <v>0.71290976993199895</v>
      </c>
      <c r="C3" s="523"/>
      <c r="H3" s="561" t="s">
        <v>2223</v>
      </c>
      <c r="I3" s="562">
        <f>IF(I2=0,0,NORMSDIST((I2-$B$2)/$B$3)*100)</f>
        <v>61.533404221200904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2.11</v>
      </c>
    </row>
    <row r="6" spans="1:11">
      <c r="B6" s="23">
        <v>0</v>
      </c>
      <c r="C6" s="23">
        <f>NORMSDIST(($B6-$B$2)/$B$3)*100</f>
        <v>0.38478836223957635</v>
      </c>
      <c r="H6" s="205">
        <f>IF(info!V36&gt;I1,I1,info!V36)</f>
        <v>2.1090599999999999</v>
      </c>
      <c r="I6" s="560">
        <v>0</v>
      </c>
    </row>
    <row r="7" spans="1:11">
      <c r="B7" s="23">
        <f>B5+0.05</f>
        <v>0</v>
      </c>
      <c r="C7" s="23">
        <f t="shared" ref="C7:E58" si="0">NORMSDIST(($B7-$B$2)/$B$3)*100</f>
        <v>0.38478836223957635</v>
      </c>
      <c r="H7" s="205">
        <f>IF(info!V36&gt;I1,I1,info!V36)</f>
        <v>2.1090599999999999</v>
      </c>
      <c r="I7" s="560">
        <f>NORMSDIST((H7-$B$2)/$B$3)*100</f>
        <v>61.533404221200904</v>
      </c>
    </row>
    <row r="8" spans="1:11">
      <c r="B8" s="23">
        <f t="shared" ref="B8:B71" si="1">B7+0.05</f>
        <v>0.05</v>
      </c>
      <c r="C8" s="23">
        <f t="shared" si="0"/>
        <v>0.47295624138584591</v>
      </c>
      <c r="D8" s="171"/>
      <c r="H8" s="205">
        <v>0</v>
      </c>
      <c r="I8" s="560">
        <f>NORMSDIST((H7-$B$2)/$B$3)*100</f>
        <v>61.533404221200904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2.1090599999999999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2.1090599999999999</v>
      </c>
      <c r="I6" s="171">
        <f>NORMSDIST((H6-$B$2)/$B$3)*100</f>
        <v>7.4099311450940897E-2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7.4099311450940897E-2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45779.650729166664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arTn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45779.650729166664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arTn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2025-05-02T06:37:27Z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