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46Yz^1^6^\"/>
    </mc:Choice>
  </mc:AlternateContent>
  <xr:revisionPtr revIDLastSave="0" documentId="13_ncr:1_{9D74104D-6405-48A4-A268-E145A64C184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L8" i="38"/>
  <c r="H7" i="38"/>
  <c r="H7" i="37"/>
  <c r="H7" i="36"/>
  <c r="H7" i="33"/>
  <c r="L8" i="30"/>
  <c r="V2" i="14"/>
  <c r="L8" i="49" s="1"/>
  <c r="U2" i="14"/>
  <c r="R8" i="49" s="1"/>
  <c r="T2" i="14"/>
  <c r="L7" i="49" s="1"/>
  <c r="R2" i="14"/>
  <c r="P2" i="14"/>
  <c r="O2" i="14"/>
  <c r="H8" i="43" s="1"/>
  <c r="L7" i="33" l="1"/>
  <c r="H8" i="36"/>
  <c r="Q8" i="37"/>
  <c r="L7" i="39"/>
  <c r="H8" i="40"/>
  <c r="Q8" i="41"/>
  <c r="L7" i="43"/>
  <c r="H8" i="44"/>
  <c r="Q8" i="45"/>
  <c r="L8" i="37"/>
  <c r="L8" i="44"/>
  <c r="L8" i="36"/>
  <c r="L8" i="40"/>
  <c r="L7" i="30"/>
  <c r="H8" i="33"/>
  <c r="Q8" i="36"/>
  <c r="L7" i="38"/>
  <c r="H8" i="39"/>
  <c r="Q8" i="40"/>
  <c r="L7" i="42"/>
  <c r="Q8" i="44"/>
  <c r="L7" i="46"/>
  <c r="L8" i="41"/>
  <c r="L8" i="45"/>
  <c r="L8" i="33"/>
  <c r="L8" i="39"/>
  <c r="L8" i="43"/>
  <c r="Q2" i="14"/>
  <c r="H8" i="49"/>
  <c r="H8" i="30"/>
  <c r="Q8" i="33"/>
  <c r="L7" i="37"/>
  <c r="H8" i="38"/>
  <c r="Q8" i="39"/>
  <c r="L7" i="41"/>
  <c r="H8" i="42"/>
  <c r="Q8" i="43"/>
  <c r="L7" i="45"/>
  <c r="H8" i="46"/>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B6" i="1" s="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37"/>
  <c r="O7" i="46"/>
  <c r="O7" i="42"/>
  <c r="O7" i="38"/>
  <c r="O7" i="30"/>
  <c r="O7" i="44"/>
  <c r="O7" i="36"/>
  <c r="O7" i="43"/>
  <c r="O7" i="39"/>
  <c r="O7" i="33"/>
  <c r="O7" i="40"/>
  <c r="O7" i="41"/>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8" i="1" s="1"/>
  <c r="F209" i="11"/>
  <c r="B209" i="11"/>
  <c r="E209" i="11" s="1"/>
  <c r="A210" i="11"/>
  <c r="L33" i="48" l="1"/>
  <c r="L33" i="18"/>
  <c r="C212" i="17"/>
  <c r="B212" i="17" s="1"/>
  <c r="A213" i="17"/>
  <c r="F210" i="11"/>
  <c r="B210" i="11"/>
  <c r="E210" i="11" s="1"/>
  <c r="A211" i="11"/>
  <c r="Y10" i="1" l="1"/>
  <c r="Y12" i="1"/>
  <c r="C213" i="17"/>
  <c r="B213" i="17" s="1"/>
  <c r="A214" i="17"/>
  <c r="F211" i="11"/>
  <c r="A212" i="11"/>
  <c r="B211" i="11"/>
  <c r="E211" i="11" s="1"/>
  <c r="Y11" i="1" l="1"/>
  <c r="Y7" i="1"/>
  <c r="Y14" i="1"/>
  <c r="Y16" i="1"/>
  <c r="L37" i="48"/>
  <c r="L37" i="18"/>
  <c r="L35" i="48"/>
  <c r="L35" i="18"/>
  <c r="C214" i="17"/>
  <c r="B214" i="17" s="1"/>
  <c r="Y13" i="1" s="1"/>
  <c r="A215" i="17"/>
  <c r="F212" i="11"/>
  <c r="A213" i="11"/>
  <c r="B212" i="11"/>
  <c r="E212" i="11" s="1"/>
  <c r="L41" i="48" l="1"/>
  <c r="L41" i="18"/>
  <c r="L39" i="48"/>
  <c r="L39" i="18"/>
  <c r="L32" i="48"/>
  <c r="L32" i="18"/>
  <c r="L38" i="48"/>
  <c r="L38"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AZ17" i="11" s="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<sst xmlns="http://schemas.openxmlformats.org/spreadsheetml/2006/main" count="7385" uniqueCount="2659">
  <si>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</si>
  <si>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</si>
  <si>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</si>
  <si>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</si>
  <si>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</si>
  <si>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</si>
  <si>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</si>
  <si>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</si>
  <si>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</si>
  <si>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</si>
  <si>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</si>
  <si>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</si>
  <si>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</si>
  <si>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</si>
  <si>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</si>
  <si>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</si>
  <si>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</si>
  <si>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</si>
  <si>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</si>
  <si>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</si>
  <si>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</si>
  <si>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</si>
  <si>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</si>
  <si>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</si>
  <si>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</si>
  <si>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</si>
  <si>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</si>
  <si>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</si>
  <si>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</si>
  <si>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</si>
  <si>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</si>
  <si>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</si>
  <si>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</si>
  <si>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</si>
  <si>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</si>
  <si>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</si>
  <si>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</si>
  <si>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</si>
  <si>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</si>
  <si>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</si>
  <si>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</si>
  <si>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</si>
  <si>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</si>
  <si>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</si>
  <si>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</si>
  <si>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</si>
  <si>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</si>
  <si>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</si>
  <si>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</si>
  <si>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</si>
  <si>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</si>
  <si>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</si>
  <si>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</si>
  <si>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</si>
  <si>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</si>
  <si>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</si>
  <si>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</si>
  <si>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</si>
  <si>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</si>
  <si>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</si>
  <si>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</si>
  <si>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</si>
  <si>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</si>
  <si>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</si>
  <si>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</si>
  <si>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</si>
  <si>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</si>
  <si>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</si>
  <si>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</si>
  <si>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</si>
  <si>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</si>
  <si>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</si>
  <si>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</si>
  <si>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</si>
  <si>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</si>
  <si>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</si>
  <si>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</si>
  <si>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</si>
  <si>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</si>
  <si>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</si>
  <si>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</si>
  <si>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</si>
  <si>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</si>
  <si>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</si>
  <si>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</si>
  <si>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</si>
  <si>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</si>
  <si>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</si>
  <si>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</si>
  <si>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</si>
  <si>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</si>
  <si>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</si>
  <si>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</si>
  <si>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</si>
  <si>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</si>
  <si>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</si>
  <si>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</si>
  <si>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</si>
  <si>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</si>
  <si>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</si>
  <si>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</si>
  <si>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</si>
  <si>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</si>
  <si>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</si>
  <si>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</si>
  <si>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</si>
  <si>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</si>
  <si>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</si>
  <si>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</si>
  <si>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</si>
  <si>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</si>
  <si>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</si>
  <si>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</si>
  <si>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</si>
  <si>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</si>
  <si>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</si>
  <si>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</si>
  <si>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</si>
  <si>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</si>
  <si>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</si>
  <si>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</si>
  <si>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</si>
  <si>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</si>
  <si>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</si>
  <si>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</si>
  <si>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</si>
  <si>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</si>
  <si>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</si>
  <si>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</si>
  <si>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</si>
  <si>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</si>
  <si>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</si>
  <si>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</si>
  <si>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</si>
  <si>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</si>
  <si>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</si>
  <si>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</si>
  <si>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</si>
  <si>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</si>
  <si>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</si>
  <si>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</si>
  <si>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</si>
  <si>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</si>
  <si>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</si>
  <si>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</si>
  <si>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</si>
  <si>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</si>
  <si>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</si>
  <si>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</si>
  <si>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</si>
  <si>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</si>
  <si>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</si>
  <si>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</si>
  <si>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</si>
  <si>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</si>
  <si>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</si>
  <si>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</si>
  <si>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</si>
  <si>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</si>
  <si>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</si>
  <si>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</si>
  <si>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</si>
  <si>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</si>
  <si>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</si>
  <si>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</si>
  <si>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</si>
  <si>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</si>
  <si>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</si>
  <si>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</si>
  <si>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</si>
  <si>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</si>
  <si>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</si>
  <si>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</si>
  <si>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</si>
  <si>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</si>
  <si>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</si>
  <si>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</si>
  <si>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</si>
  <si>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</si>
  <si>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</si>
  <si>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</si>
  <si>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</si>
  <si>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</si>
  <si>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</si>
  <si>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</si>
  <si>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</si>
  <si>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</si>
  <si>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</si>
  <si>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</si>
  <si>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</si>
  <si>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</si>
  <si>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</si>
  <si>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</si>
  <si>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</si>
  <si>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</si>
  <si>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</si>
  <si>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</si>
  <si>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</si>
  <si>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</si>
  <si>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</si>
  <si>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</si>
  <si>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</si>
  <si>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</si>
  <si>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</si>
  <si>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</si>
  <si>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</si>
  <si>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</si>
  <si>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</si>
  <si>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</si>
  <si>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</si>
  <si>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</si>
  <si>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</si>
  <si>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</si>
  <si>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</si>
  <si>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</si>
  <si>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</si>
  <si>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</si>
  <si>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</si>
  <si>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</si>
  <si>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</si>
  <si>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</si>
  <si>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</si>
  <si>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</si>
  <si>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</si>
  <si>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</si>
  <si>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</si>
  <si>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</si>
  <si>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</si>
  <si>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</si>
  <si>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</si>
  <si>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</si>
  <si>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</si>
  <si>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</si>
  <si>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</si>
  <si>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</si>
  <si>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</si>
  <si>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</si>
  <si>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</si>
  <si>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</si>
  <si>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</si>
  <si>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</si>
  <si>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</si>
  <si>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</si>
  <si>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</si>
  <si>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</si>
  <si>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</si>
  <si>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</si>
  <si>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</si>
  <si>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</si>
  <si>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</si>
  <si>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</si>
  <si>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</si>
  <si>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</si>
  <si>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</si>
  <si>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</si>
  <si>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</si>
  <si>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</si>
  <si>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</si>
  <si>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</si>
  <si>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</si>
  <si>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</si>
  <si>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</si>
  <si>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</si>
  <si>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</si>
  <si>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</si>
  <si>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</si>
  <si>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</si>
  <si>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</si>
  <si>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</si>
  <si>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</si>
  <si>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</si>
  <si>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</si>
  <si>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</si>
  <si>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</si>
  <si>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</si>
  <si>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</si>
  <si>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</si>
  <si>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</si>
  <si>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</si>
  <si>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</si>
  <si>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</si>
  <si>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</si>
  <si>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</si>
  <si>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</si>
  <si>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</si>
  <si>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</si>
  <si>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</si>
  <si>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</si>
  <si>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</si>
  <si>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</si>
  <si>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</si>
  <si>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</si>
  <si>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</si>
  <si>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</si>
  <si>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</si>
  <si>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</si>
  <si>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</si>
  <si>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</si>
  <si>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</si>
  <si>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</si>
  <si>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</si>
  <si>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</si>
  <si>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</si>
  <si>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</si>
  <si>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</si>
  <si>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</si>
  <si>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</si>
  <si>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</si>
  <si>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</si>
  <si>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</si>
  <si>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</si>
  <si>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</si>
  <si>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</si>
  <si>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</si>
  <si>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</si>
  <si>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</si>
  <si>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</si>
  <si>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</si>
  <si>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</si>
  <si>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</si>
  <si>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</si>
  <si>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</si>
  <si>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</si>
  <si>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</si>
  <si>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</si>
  <si>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</si>
  <si>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</si>
  <si>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</si>
  <si>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</si>
  <si>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</si>
  <si>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</si>
  <si>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</si>
  <si>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</si>
  <si>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</si>
  <si>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</si>
  <si>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</si>
  <si>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</si>
  <si>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</si>
  <si>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</si>
  <si>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</si>
  <si>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</si>
  <si>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</si>
  <si>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</si>
  <si>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</si>
  <si>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</si>
  <si>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</si>
  <si>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</si>
  <si>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</si>
  <si>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</si>
  <si>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</si>
  <si>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</si>
  <si>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</si>
  <si>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</si>
  <si>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</si>
  <si>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</si>
  <si>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</si>
  <si>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</si>
  <si>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</si>
  <si>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</si>
  <si>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</si>
  <si>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</si>
  <si>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</si>
  <si>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</si>
  <si>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</si>
  <si>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</si>
  <si>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</si>
  <si>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</si>
  <si>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</si>
  <si>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</si>
  <si>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</si>
  <si>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</si>
  <si>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</si>
  <si>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</si>
  <si>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</si>
  <si>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</si>
  <si>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</si>
  <si>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</si>
  <si>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</si>
  <si>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</si>
  <si>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</si>
  <si>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</si>
  <si>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</si>
  <si>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</si>
  <si>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</si>
  <si>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</si>
  <si>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</si>
  <si>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</si>
  <si>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</si>
  <si>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</si>
  <si>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</si>
  <si>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</si>
  <si>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</si>
  <si>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</si>
  <si>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</si>
  <si>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</si>
  <si>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</si>
  <si>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</si>
  <si>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</si>
  <si>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</si>
  <si>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</si>
  <si>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</si>
  <si>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</si>
  <si>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</si>
  <si>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</si>
  <si>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</si>
  <si>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</si>
  <si>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</si>
  <si>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</si>
  <si>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</si>
  <si>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</si>
  <si>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</si>
  <si>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</si>
  <si>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</si>
  <si>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</si>
  <si>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</si>
  <si>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</si>
  <si>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</si>
  <si>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</si>
  <si>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</si>
  <si>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</si>
  <si>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</si>
  <si>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</si>
  <si>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</si>
  <si>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</si>
  <si>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</si>
  <si>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</si>
  <si>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</si>
  <si>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</si>
  <si>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</si>
  <si>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</si>
  <si>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</si>
  <si>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</si>
  <si>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</si>
  <si>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</si>
  <si>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</si>
  <si>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</si>
  <si>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</si>
  <si>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</si>
  <si>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</si>
  <si>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</si>
  <si>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</si>
  <si>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</si>
  <si>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</si>
  <si>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</si>
  <si>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</si>
  <si>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</si>
  <si>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</si>
  <si>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</si>
  <si>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</si>
  <si>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</si>
  <si>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</si>
  <si>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</si>
  <si>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</si>
  <si>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</si>
  <si>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</si>
  <si>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</si>
  <si>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</si>
  <si>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</si>
  <si>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</si>
  <si>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</si>
  <si>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</si>
  <si>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</si>
  <si>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</si>
  <si>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</si>
  <si>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</si>
  <si>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</si>
  <si>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</si>
  <si>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</si>
  <si>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</si>
  <si>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</si>
  <si>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</si>
  <si>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</si>
  <si>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</si>
  <si>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</si>
  <si>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</si>
  <si>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</si>
  <si>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</si>
  <si>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</si>
  <si>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</si>
  <si>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</si>
  <si>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</si>
  <si>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</si>
  <si>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</si>
  <si>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</si>
  <si>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</si>
  <si>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</si>
  <si>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</si>
  <si>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</si>
  <si>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</si>
  <si>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</si>
  <si>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</si>
  <si>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</si>
  <si>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</si>
  <si>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</si>
  <si>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</si>
  <si>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</si>
  <si>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</si>
  <si>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</si>
  <si>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</si>
  <si>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</si>
  <si>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</si>
  <si>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</si>
  <si>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</si>
  <si>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</si>
  <si>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</si>
  <si>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</si>
  <si>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</si>
  <si>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</si>
  <si>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</si>
  <si>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</si>
  <si>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</si>
  <si>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</si>
  <si>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</si>
  <si>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</si>
  <si>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</si>
  <si>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</si>
  <si>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</si>
  <si>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</si>
  <si>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</si>
  <si>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</si>
  <si>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</si>
  <si>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</si>
  <si>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</si>
  <si>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</si>
  <si>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</si>
  <si>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</si>
  <si>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</si>
  <si>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</si>
  <si>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</si>
  <si>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</si>
  <si>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</si>
  <si>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</si>
  <si>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</si>
  <si>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</si>
  <si>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</si>
  <si>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</si>
  <si>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</si>
  <si>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</si>
  <si>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</si>
  <si>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</si>
  <si>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</si>
  <si>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</si>
  <si>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</si>
  <si>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</si>
  <si>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</si>
  <si>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</si>
  <si>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</si>
  <si>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</si>
  <si>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</si>
  <si>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</si>
  <si>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</si>
  <si>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</si>
  <si>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</si>
  <si>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</si>
  <si>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</si>
  <si>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</si>
  <si>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</si>
  <si>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</si>
  <si>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</si>
  <si>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</si>
  <si>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</si>
  <si>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</si>
  <si>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</si>
  <si>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</si>
  <si>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</si>
  <si>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</si>
  <si>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</si>
  <si>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</si>
  <si>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</si>
  <si>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</si>
  <si>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</si>
  <si>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</si>
  <si>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</si>
  <si>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</si>
  <si>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</si>
  <si>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</si>
  <si>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</si>
  <si>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</si>
  <si>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</si>
  <si>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</si>
  <si>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</si>
  <si>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</si>
  <si>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</si>
  <si>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</si>
  <si>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</si>
  <si>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</si>
  <si>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</si>
  <si>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</si>
  <si>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</si>
  <si>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</si>
  <si>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</si>
  <si>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</si>
  <si>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</si>
  <si>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</si>
  <si>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</si>
  <si>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</si>
  <si>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</si>
  <si>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</si>
  <si>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</si>
  <si>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</si>
  <si>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</si>
  <si>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</si>
  <si>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</si>
  <si>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</si>
  <si>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</si>
  <si>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</si>
  <si>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</si>
  <si>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</si>
  <si>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</si>
  <si>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</si>
  <si>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</si>
  <si>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</si>
  <si>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</si>
  <si>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</si>
  <si>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</si>
  <si>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</si>
  <si>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</si>
  <si>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</si>
  <si>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</si>
  <si>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</si>
  <si>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</si>
  <si>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</si>
  <si>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</si>
  <si>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</si>
  <si>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</si>
  <si>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</si>
  <si>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</si>
  <si>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</si>
  <si>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</si>
  <si>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</si>
  <si>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</si>
  <si>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</si>
  <si>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</si>
  <si>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</si>
  <si>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</si>
  <si>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</si>
  <si>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</si>
  <si>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</si>
  <si>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</si>
  <si>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</si>
  <si>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</si>
  <si>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</si>
  <si>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</si>
  <si>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</si>
  <si>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</si>
  <si>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</si>
  <si>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</si>
  <si>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</si>
  <si>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</si>
  <si>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</si>
  <si>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</si>
  <si>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</si>
  <si>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</si>
  <si>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</si>
  <si>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</si>
  <si>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</si>
  <si>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</si>
  <si>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</si>
  <si>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</si>
  <si>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</si>
  <si>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</si>
  <si>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</si>
  <si>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</si>
  <si>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</si>
  <si>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</si>
  <si>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</si>
  <si>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</si>
  <si>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</si>
  <si>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</si>
  <si>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</si>
  <si>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</si>
  <si>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</si>
  <si>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</si>
  <si>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</si>
  <si>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</si>
  <si>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</si>
  <si>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</si>
  <si>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</si>
  <si>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</si>
  <si>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</si>
  <si>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</si>
  <si>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</si>
  <si>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</si>
  <si>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</si>
  <si>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</si>
  <si>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</si>
  <si>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</si>
  <si>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</si>
  <si>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</si>
  <si>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</si>
  <si>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</si>
  <si>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</si>
  <si>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</si>
  <si>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</si>
  <si>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</si>
  <si>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</si>
  <si>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</si>
  <si>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</si>
  <si>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</si>
  <si>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</si>
  <si>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</si>
  <si>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</si>
  <si>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</si>
  <si>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</si>
  <si>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</si>
  <si>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</si>
  <si>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</si>
  <si>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</si>
  <si>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</si>
  <si>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</si>
  <si>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</si>
  <si>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</si>
  <si>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</si>
  <si>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</si>
  <si>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</si>
  <si>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</si>
  <si>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</si>
  <si>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</si>
  <si>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</si>
  <si>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</si>
  <si>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</si>
  <si>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</si>
  <si>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</si>
  <si>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</si>
  <si>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</si>
  <si>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</si>
  <si>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</si>
  <si>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</si>
  <si>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</si>
  <si>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</si>
  <si>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</si>
  <si>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</si>
  <si>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</si>
  <si>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</si>
  <si>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</si>
  <si>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</si>
  <si>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</si>
  <si>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</si>
  <si>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</si>
  <si>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</si>
  <si>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</si>
  <si>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</si>
  <si>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</si>
  <si>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</si>
  <si>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</si>
  <si>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</si>
  <si>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</si>
  <si>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</si>
  <si>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</si>
  <si>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</si>
  <si>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</si>
  <si>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</si>
  <si>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</si>
  <si>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</si>
  <si>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</si>
  <si>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</si>
  <si>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</si>
  <si>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</si>
  <si>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</si>
  <si>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</si>
  <si>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</si>
  <si>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</si>
  <si>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</si>
  <si>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</si>
  <si>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</si>
  <si>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</si>
  <si>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</si>
  <si>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</si>
  <si>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</si>
  <si>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</si>
  <si>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</si>
  <si>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</si>
  <si>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</si>
  <si>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</si>
  <si>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</si>
  <si>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</si>
  <si>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</si>
  <si>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</si>
  <si>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</si>
  <si>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</si>
  <si>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</si>
  <si>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</si>
  <si>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</si>
  <si>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</si>
  <si>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</si>
  <si>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</si>
  <si>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</si>
  <si>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</si>
  <si>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</si>
  <si>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</si>
  <si>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</si>
  <si>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</si>
  <si>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</si>
  <si>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</si>
  <si>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</si>
  <si>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</si>
  <si>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</si>
  <si>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</si>
  <si>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</si>
  <si>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</si>
  <si>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</si>
  <si>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</si>
  <si>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</si>
  <si>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</si>
  <si>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</si>
  <si>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</si>
  <si>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</si>
  <si>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</si>
  <si>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</si>
  <si>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</si>
  <si>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</si>
  <si>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</si>
  <si>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</si>
  <si>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</si>
  <si>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</si>
  <si>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</si>
  <si>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</si>
  <si>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</si>
  <si>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</si>
  <si>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</si>
  <si>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</si>
  <si>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</si>
  <si>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</si>
  <si>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</si>
  <si>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</si>
  <si>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</si>
  <si>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</si>
  <si>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</si>
  <si>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</si>
  <si>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</si>
  <si>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</si>
  <si>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</si>
  <si>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</si>
  <si>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</si>
  <si>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</si>
  <si>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</si>
  <si>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</si>
  <si>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</si>
  <si>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</si>
  <si>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</si>
  <si>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</si>
  <si>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</si>
  <si>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</si>
  <si>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</si>
  <si>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</si>
  <si>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</si>
  <si>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</si>
  <si>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</si>
  <si>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</si>
  <si>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</si>
  <si>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</si>
  <si>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</si>
  <si>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</si>
  <si>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</si>
  <si>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</si>
  <si>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</si>
  <si>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</si>
  <si>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</si>
  <si>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</si>
  <si>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</si>
  <si>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</si>
  <si>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</si>
  <si>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</si>
  <si>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</si>
  <si>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</si>
  <si>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</si>
  <si>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</si>
  <si>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</si>
  <si>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</si>
  <si>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</si>
  <si>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</si>
  <si>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</si>
  <si>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</si>
  <si>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</si>
  <si>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</si>
  <si>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</si>
  <si>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</si>
  <si>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</si>
  <si>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</si>
  <si>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</si>
  <si>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</si>
  <si>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</si>
  <si>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</si>
  <si>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</si>
  <si>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</si>
  <si>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</si>
  <si>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</si>
  <si>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</si>
  <si>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</si>
  <si>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</si>
  <si>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</si>
  <si>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</si>
  <si>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</si>
  <si>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</si>
  <si>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</si>
  <si>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</si>
  <si>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</si>
  <si>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</si>
  <si>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</si>
  <si>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</si>
  <si>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</si>
  <si>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</si>
  <si>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</si>
  <si>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</si>
  <si>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</si>
  <si>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</si>
  <si>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</si>
  <si>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</si>
  <si>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</si>
  <si>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</si>
  <si>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</si>
  <si>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</si>
  <si>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</si>
  <si>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</si>
  <si>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</si>
  <si>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</si>
  <si>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</si>
  <si>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</si>
  <si>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</si>
  <si>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</si>
  <si>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</si>
  <si>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</si>
  <si>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</si>
  <si>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</si>
  <si>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</si>
  <si>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</si>
  <si>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</si>
  <si>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</si>
  <si>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</si>
  <si>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</si>
  <si>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</si>
  <si>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</si>
  <si>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</si>
  <si>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</si>
  <si>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</si>
  <si>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</si>
  <si>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</si>
  <si>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</si>
  <si>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</si>
  <si>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</si>
  <si>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</si>
  <si>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</si>
  <si>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</si>
  <si>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</si>
  <si>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</si>
  <si>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</si>
  <si>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</si>
  <si>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</si>
  <si>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</si>
  <si>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</si>
  <si>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</si>
  <si>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</si>
  <si>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</si>
  <si>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</si>
  <si>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</si>
  <si>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</si>
  <si>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</si>
  <si>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</si>
  <si>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</si>
  <si>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</si>
  <si>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</si>
  <si>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</si>
  <si>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</si>
  <si>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</si>
  <si>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</si>
  <si>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</si>
  <si>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</si>
  <si>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</si>
  <si>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</si>
  <si>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</si>
  <si>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</si>
  <si>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</si>
  <si>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</si>
  <si>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</si>
  <si>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</si>
  <si>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</si>
  <si>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</si>
  <si>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</si>
  <si>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</si>
  <si>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</si>
  <si>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</si>
  <si>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</si>
  <si>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</si>
  <si>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</si>
  <si>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</si>
  <si>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</si>
  <si>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</si>
  <si>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</si>
  <si>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</si>
  <si>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</si>
  <si>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</si>
  <si>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</si>
  <si>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</si>
  <si>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</si>
  <si>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</si>
  <si>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</si>
  <si>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</si>
  <si>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</si>
  <si>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</si>
  <si>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</si>
  <si>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</si>
  <si>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</si>
  <si>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</si>
  <si>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</si>
  <si>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</si>
  <si>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</si>
  <si>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</si>
  <si>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</si>
  <si>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</si>
  <si>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</si>
  <si>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</si>
  <si>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</si>
  <si>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</si>
  <si>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</si>
  <si>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</si>
  <si>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</si>
  <si>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</si>
  <si>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</si>
  <si>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</si>
  <si>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</si>
  <si>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</si>
  <si>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</si>
  <si>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</si>
  <si>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</si>
  <si>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</si>
  <si>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</si>
  <si>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</si>
  <si>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</si>
  <si>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</si>
  <si>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</si>
  <si>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</si>
  <si>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</si>
  <si>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</si>
  <si>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</si>
  <si>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</si>
  <si>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</si>
  <si>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</si>
  <si>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</si>
  <si>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</si>
  <si>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</si>
  <si>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</si>
  <si>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</si>
  <si>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</si>
  <si>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</si>
  <si>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</si>
  <si>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</si>
  <si>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</si>
  <si>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</si>
  <si>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</si>
  <si>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</si>
  <si>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</si>
  <si>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</si>
  <si>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</si>
  <si>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</si>
  <si>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</si>
  <si>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</si>
  <si>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</si>
  <si>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</si>
  <si>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</si>
  <si>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</si>
  <si>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</si>
  <si>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</si>
  <si>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</si>
  <si>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</si>
  <si>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</si>
  <si>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</si>
  <si>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</si>
  <si>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</si>
  <si>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</si>
  <si>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</si>
  <si>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</si>
  <si>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</si>
  <si>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</si>
  <si>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</si>
  <si>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</si>
  <si>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</si>
  <si>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</si>
  <si>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</si>
  <si>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</si>
  <si>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</si>
  <si>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</si>
  <si>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</si>
  <si>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</si>
  <si>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</si>
  <si>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</si>
  <si>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</si>
  <si>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</si>
  <si>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</si>
  <si>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</si>
  <si>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</si>
  <si>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</si>
  <si>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</si>
  <si>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</si>
  <si>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</si>
  <si>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</si>
  <si>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</si>
  <si>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</si>
  <si>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</si>
  <si>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</si>
  <si>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</si>
  <si>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</si>
  <si>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</si>
  <si>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</si>
  <si>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</si>
  <si>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</si>
  <si>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</si>
  <si>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</si>
  <si>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</si>
  <si>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</si>
  <si>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</si>
  <si>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</si>
  <si>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</si>
  <si>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</si>
  <si>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</si>
  <si>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</si>
  <si>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</si>
  <si>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</si>
  <si>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</si>
  <si>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</si>
  <si>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</si>
  <si>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</si>
  <si>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</si>
  <si>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</si>
  <si>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</si>
  <si>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</si>
  <si>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</si>
  <si>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</si>
  <si>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</si>
  <si>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</si>
  <si>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</si>
  <si>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</si>
  <si>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</si>
  <si>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</si>
  <si>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</si>
  <si>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</si>
  <si>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</si>
  <si>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</si>
  <si>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</si>
  <si>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</si>
  <si>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</si>
  <si>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</si>
  <si>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</si>
  <si>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</si>
  <si>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</si>
  <si>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</si>
  <si>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</si>
  <si>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</si>
  <si>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</si>
  <si>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</si>
  <si>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</si>
  <si>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</si>
  <si>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</si>
  <si>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</si>
  <si>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</si>
  <si>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</si>
  <si>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</si>
  <si>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</si>
  <si>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</si>
  <si>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</si>
  <si>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</si>
  <si>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</si>
  <si>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</si>
  <si>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</si>
  <si>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</si>
  <si>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</si>
  <si>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</si>
  <si>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</si>
  <si>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</si>
  <si>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</si>
  <si>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</si>
  <si>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</si>
  <si>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</si>
  <si>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</si>
  <si>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</si>
  <si>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</si>
  <si>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</si>
  <si>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</si>
  <si>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</si>
  <si>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</si>
  <si>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</si>
  <si>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</si>
  <si>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</si>
  <si>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</si>
  <si>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</si>
  <si>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</si>
  <si>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</si>
  <si>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</si>
  <si>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</si>
  <si>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</si>
  <si>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</si>
  <si>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</si>
  <si>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</si>
  <si>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</si>
  <si>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</si>
  <si>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</si>
  <si>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</si>
  <si>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</si>
  <si>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</si>
  <si>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</si>
  <si>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</si>
  <si>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</si>
  <si>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</si>
  <si>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</si>
  <si>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</si>
  <si>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</si>
  <si>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</si>
  <si>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</si>
  <si>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</si>
  <si>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</si>
  <si>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</si>
  <si>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</si>
  <si>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</si>
  <si>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</si>
  <si>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</si>
  <si>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</si>
  <si>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</si>
  <si>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</si>
  <si>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</si>
  <si>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</si>
  <si>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</si>
  <si>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</si>
  <si>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</si>
  <si>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</si>
  <si>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</si>
  <si>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</si>
  <si>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</si>
  <si>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</si>
  <si>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</si>
  <si>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</si>
  <si>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</si>
  <si>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</si>
  <si>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</si>
  <si>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</si>
  <si>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</si>
  <si>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</si>
  <si>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</si>
  <si>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</si>
  <si>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</si>
  <si>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</si>
  <si>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</si>
  <si>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</si>
  <si>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</si>
  <si>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</si>
  <si>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</si>
  <si>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</si>
  <si>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</si>
  <si>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</si>
  <si>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</si>
  <si>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</si>
  <si>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</si>
  <si>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</si>
  <si>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</si>
  <si>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</si>
  <si>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</si>
  <si>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</si>
  <si>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</si>
  <si>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</si>
  <si>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</si>
  <si>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</si>
  <si>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</si>
  <si>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</si>
  <si>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</si>
  <si>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</si>
  <si>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</si>
  <si>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</si>
  <si>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</si>
  <si>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</si>
  <si>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</si>
  <si>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</si>
  <si>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</si>
  <si>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</si>
  <si>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</si>
  <si>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</si>
  <si>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</si>
  <si>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</si>
  <si>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</si>
  <si>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</si>
  <si>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</si>
  <si>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</si>
  <si>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</si>
  <si>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</si>
  <si>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</si>
  <si>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</si>
  <si>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</si>
  <si>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</si>
  <si>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</si>
  <si>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</si>
  <si>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</si>
  <si>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</si>
  <si>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</si>
  <si>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</si>
  <si>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</si>
  <si>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</si>
  <si>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</si>
  <si>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</si>
  <si>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</si>
  <si>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</si>
  <si>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</si>
  <si>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</si>
  <si>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</si>
  <si>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</si>
  <si>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</si>
  <si>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</si>
  <si>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</si>
  <si>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</si>
  <si>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</si>
  <si>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</si>
  <si>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</si>
  <si>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</si>
  <si>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</si>
  <si>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</si>
  <si>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</si>
  <si>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</si>
  <si>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</si>
  <si>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</si>
  <si>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</si>
  <si>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</si>
  <si>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</si>
  <si>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</si>
  <si>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</si>
  <si>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</si>
  <si>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</si>
  <si>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</si>
  <si>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</si>
  <si>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</si>
  <si>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</si>
  <si>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</si>
  <si>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</si>
  <si>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</si>
  <si>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</si>
  <si>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</si>
  <si>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</si>
  <si>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</si>
  <si>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</si>
  <si>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</si>
  <si>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</si>
  <si>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</si>
  <si>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</si>
  <si>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</si>
  <si>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</si>
  <si>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</si>
  <si>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</si>
  <si>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</si>
  <si>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</si>
  <si>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</si>
  <si>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</si>
  <si>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</si>
  <si>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</si>
  <si>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</si>
  <si>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</si>
  <si>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</si>
  <si>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</si>
  <si>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</si>
  <si>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</si>
  <si>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</si>
  <si>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</si>
  <si>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</si>
  <si>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</si>
  <si>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</si>
  <si>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</si>
  <si>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</si>
  <si>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</si>
  <si>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</si>
  <si>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</si>
  <si>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</si>
  <si>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</si>
  <si>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</si>
  <si>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</si>
  <si>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</si>
  <si>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</si>
  <si>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</si>
  <si>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</si>
  <si>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</si>
  <si>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</si>
  <si>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</si>
  <si>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</si>
  <si>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</si>
  <si>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</si>
  <si>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</si>
  <si>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</si>
  <si>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</si>
  <si>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</si>
  <si>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</si>
  <si>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</si>
  <si>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</si>
  <si>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</si>
  <si>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</si>
  <si>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</si>
  <si>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</si>
  <si>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</si>
  <si>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</si>
  <si>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</si>
  <si>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</si>
  <si>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</si>
  <si>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</si>
  <si>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</si>
  <si>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</si>
  <si>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</si>
  <si>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</si>
  <si>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</si>
  <si>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</si>
  <si>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</si>
  <si>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</si>
  <si>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</si>
  <si>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</si>
  <si>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</si>
  <si>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</si>
  <si>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</si>
  <si>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</si>
  <si>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</si>
  <si>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</si>
  <si>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</si>
  <si>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</si>
  <si>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</si>
  <si>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</si>
  <si>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</si>
  <si>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</si>
  <si>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</si>
  <si>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</si>
  <si>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</si>
  <si>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</si>
  <si>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</si>
  <si>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</si>
  <si>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</si>
  <si>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</si>
  <si>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</si>
  <si>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</si>
  <si>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</si>
  <si>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</si>
  <si>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</si>
  <si>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</si>
  <si>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</si>
  <si>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</si>
  <si>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</si>
  <si>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</si>
  <si>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</si>
  <si>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</si>
  <si>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</si>
  <si>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</si>
  <si>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</si>
  <si>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</si>
  <si>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</si>
  <si>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</si>
  <si>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</si>
  <si>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</si>
  <si>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</si>
  <si>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</si>
  <si>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</si>
  <si>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</si>
  <si>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</si>
  <si>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</si>
  <si>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</si>
  <si>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</si>
  <si>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</si>
  <si>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</si>
  <si>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</si>
  <si>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</si>
  <si>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</si>
  <si>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</si>
  <si>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</si>
  <si>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</si>
  <si>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</si>
  <si>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</si>
  <si>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</si>
  <si>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</si>
  <si>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</si>
  <si>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</si>
  <si>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</si>
  <si>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</si>
  <si>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</si>
  <si>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</si>
  <si>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</si>
  <si>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</si>
  <si>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</si>
  <si>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</si>
  <si>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</si>
  <si>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</si>
  <si>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</si>
  <si>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</si>
  <si>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</si>
  <si>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</si>
  <si>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</si>
  <si>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</si>
  <si>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</si>
  <si>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</si>
  <si>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</si>
  <si>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</si>
  <si>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</si>
  <si>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</si>
  <si>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</si>
  <si>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</si>
  <si>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</si>
  <si>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</si>
  <si>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</si>
  <si>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</si>
  <si>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</si>
  <si>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</si>
  <si>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</si>
  <si>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</si>
  <si>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</si>
  <si>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</si>
  <si>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</si>
  <si>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</si>
  <si>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</si>
  <si>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</si>
  <si>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</si>
  <si>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</si>
  <si>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</si>
  <si>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</si>
  <si>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</si>
  <si>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</si>
  <si>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</si>
  <si>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</si>
  <si>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</si>
  <si>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</si>
  <si>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</si>
  <si>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</si>
  <si>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</si>
  <si>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</si>
  <si>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</si>
  <si>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</si>
  <si>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</si>
  <si>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</si>
  <si>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</si>
  <si>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</si>
  <si>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</si>
  <si>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</si>
  <si>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</si>
  <si>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</si>
  <si>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</si>
  <si>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</si>
  <si>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</si>
  <si>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</si>
  <si>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</si>
  <si>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</si>
  <si>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</si>
  <si>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</si>
  <si>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</si>
  <si>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</si>
  <si>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</si>
  <si>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</si>
  <si>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</si>
  <si>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</si>
  <si>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</si>
  <si>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</si>
  <si>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</si>
  <si>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</si>
  <si>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</si>
  <si>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</si>
  <si>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</si>
  <si>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</si>
  <si>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</si>
  <si>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</si>
  <si>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</si>
  <si>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</si>
  <si>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</si>
  <si>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</si>
  <si>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</si>
  <si>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</si>
  <si>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</si>
  <si>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</si>
  <si>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</si>
  <si>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</si>
  <si>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</si>
  <si>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</si>
  <si>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</si>
  <si>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</si>
  <si>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</si>
  <si>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</si>
  <si>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</si>
  <si>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</si>
  <si>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</si>
  <si>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</si>
  <si>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</si>
  <si>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</si>
  <si>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</si>
  <si>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</si>
  <si>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</si>
  <si>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</si>
  <si>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</si>
  <si>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</si>
  <si>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</si>
  <si>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</si>
  <si>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</si>
  <si>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</si>
  <si>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</si>
  <si>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</si>
  <si>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</si>
  <si>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</si>
  <si>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</si>
  <si>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</si>
  <si>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</si>
  <si>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</si>
  <si>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</si>
  <si>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</si>
  <si>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</si>
  <si>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</si>
  <si>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</si>
  <si>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</si>
  <si>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</si>
  <si>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</si>
  <si>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</si>
  <si>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</si>
  <si>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</si>
  <si>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</si>
  <si>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</si>
  <si>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</si>
  <si>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</si>
  <si>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</si>
  <si>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</si>
  <si>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</si>
  <si>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</si>
  <si>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</si>
  <si>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</si>
  <si>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</si>
  <si>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</si>
  <si>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</si>
  <si>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</si>
  <si>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</si>
  <si>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</si>
  <si>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</si>
  <si>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</si>
  <si>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</si>
  <si>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</si>
  <si>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</si>
  <si>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</si>
  <si>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</si>
  <si>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</si>
  <si>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</si>
  <si>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</si>
  <si>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</si>
  <si>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</si>
  <si>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</si>
  <si>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</si>
  <si>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</si>
  <si>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</si>
  <si>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</si>
  <si>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</si>
  <si>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</si>
  <si>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</si>
  <si>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</si>
  <si>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</si>
  <si>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</si>
  <si>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</si>
  <si>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</si>
  <si>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</si>
  <si>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</si>
  <si>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</si>
  <si>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</si>
  <si>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</si>
  <si>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</si>
  <si>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</si>
  <si>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</si>
  <si>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</si>
  <si>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</si>
  <si>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</si>
  <si>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</si>
  <si>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</si>
  <si>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</si>
  <si>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</si>
  <si>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</si>
  <si>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</si>
  <si>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</si>
  <si>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</si>
  <si>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</si>
  <si>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</si>
  <si>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</si>
  <si>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</si>
  <si>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</si>
  <si>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</si>
  <si>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</si>
  <si>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</si>
  <si>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</si>
  <si>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</si>
  <si>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</si>
  <si>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</si>
  <si>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</si>
  <si>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</si>
  <si>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</si>
  <si>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</si>
  <si>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</si>
  <si>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</si>
  <si>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</si>
  <si>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</si>
  <si>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</si>
  <si>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</si>
  <si>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</si>
  <si>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</si>
  <si>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</si>
  <si>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</si>
  <si>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</si>
  <si>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</si>
  <si>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</si>
  <si>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</si>
  <si>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</si>
  <si>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</si>
  <si>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</si>
  <si>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</si>
  <si>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</si>
  <si>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</si>
  <si>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</si>
  <si>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</si>
  <si>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</si>
  <si>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</si>
  <si>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</si>
  <si>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</si>
  <si>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</si>
  <si>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</si>
  <si>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</si>
  <si>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</si>
  <si>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</si>
  <si>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</si>
  <si>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</si>
  <si>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</si>
  <si>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</si>
  <si>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</si>
  <si>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</si>
  <si>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</si>
  <si>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</si>
  <si>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</si>
  <si>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</si>
  <si>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</si>
  <si>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</si>
  <si>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</si>
  <si>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</si>
  <si>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</si>
  <si>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</si>
  <si>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</si>
  <si>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</si>
  <si>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</si>
  <si>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</si>
  <si>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</si>
  <si>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</si>
  <si>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</si>
  <si>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</si>
  <si>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</si>
  <si>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</si>
  <si>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</si>
  <si>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</si>
  <si>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</si>
  <si>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</si>
  <si>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</si>
  <si>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</si>
  <si>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</si>
  <si>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</si>
  <si>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</si>
  <si>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</si>
  <si>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</si>
  <si>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</si>
  <si>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</si>
  <si>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</si>
  <si>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</si>
  <si>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</si>
  <si>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</si>
  <si>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</si>
  <si>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</si>
  <si>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</si>
  <si>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</si>
  <si>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</si>
  <si>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</si>
  <si>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</si>
  <si>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</si>
  <si>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</si>
  <si>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</si>
  <si>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</si>
  <si>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</si>
  <si>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</si>
  <si>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</si>
  <si>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</si>
  <si>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</si>
  <si>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</si>
  <si>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</si>
  <si>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</si>
  <si>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</si>
  <si>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</si>
  <si>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</si>
  <si>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</si>
  <si>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</si>
  <si>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</si>
  <si>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</si>
  <si>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</si>
  <si>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</si>
  <si>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</si>
  <si>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</si>
  <si>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</si>
  <si>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</si>
  <si>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</si>
  <si>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</si>
  <si>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</si>
  <si>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</si>
  <si>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</si>
  <si>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</si>
  <si>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</si>
  <si>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</si>
  <si>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</si>
  <si>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</si>
  <si>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</si>
  <si>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</si>
  <si>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</si>
  <si>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</si>
  <si>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</si>
  <si>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</si>
  <si>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</si>
  <si>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</si>
  <si>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</si>
  <si>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</si>
  <si>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</si>
  <si>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</si>
  <si>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</si>
  <si>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</si>
  <si>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</si>
  <si>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</si>
  <si>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</si>
  <si>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</si>
  <si>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</si>
  <si>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</si>
  <si>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</si>
  <si>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</si>
  <si>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</si>
  <si>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</si>
  <si>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</si>
  <si>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</si>
  <si>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</si>
  <si>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</si>
  <si>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</si>
  <si>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</si>
  <si>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</si>
  <si>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</si>
  <si>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</si>
  <si>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</si>
  <si>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</si>
  <si>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</si>
  <si>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</si>
  <si>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</si>
  <si>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</si>
  <si>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</si>
  <si>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</si>
  <si>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</si>
  <si>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</si>
  <si>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</si>
  <si>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</si>
  <si>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</si>
  <si>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</si>
  <si>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</si>
  <si>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</si>
  <si>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</si>
  <si>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</si>
  <si>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</si>
  <si>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</si>
  <si>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</si>
  <si>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</si>
  <si>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</si>
  <si>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</si>
  <si>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</si>
  <si>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</si>
  <si>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</si>
  <si>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</si>
  <si>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</si>
  <si>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</si>
  <si>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</si>
  <si>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</si>
  <si>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</si>
  <si>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</si>
  <si>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</si>
  <si>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</si>
  <si>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</si>
  <si>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</si>
  <si>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</si>
  <si>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</si>
  <si>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</si>
  <si>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</si>
  <si>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</si>
  <si>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</si>
  <si>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</si>
  <si>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</si>
  <si>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</si>
  <si>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</si>
  <si>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</si>
  <si>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</si>
  <si>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</si>
  <si>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</si>
  <si>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</si>
  <si>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</si>
  <si>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</si>
  <si>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</si>
  <si>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</si>
  <si>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</si>
  <si>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</si>
  <si>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</si>
  <si>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</si>
  <si>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</si>
  <si>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</si>
  <si>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</si>
  <si>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</si>
  <si>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</si>
  <si>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</si>
  <si>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</si>
  <si>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</si>
  <si>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</si>
  <si>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</si>
  <si>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</si>
  <si>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</si>
  <si>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</si>
  <si>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</si>
  <si>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</si>
  <si>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</si>
  <si>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</si>
  <si>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</si>
  <si>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</si>
  <si>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</si>
  <si>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</si>
  <si>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</si>
  <si>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</si>
  <si>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</si>
  <si>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</si>
  <si>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</si>
  <si>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</si>
  <si>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</si>
  <si>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</si>
  <si>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</si>
  <si>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</si>
  <si>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</si>
  <si>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</si>
  <si>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</si>
  <si>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</si>
  <si>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</si>
  <si>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</si>
  <si>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</si>
  <si>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</si>
  <si>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</si>
  <si>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</si>
  <si>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</si>
  <si>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</si>
  <si>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</si>
  <si>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</si>
  <si>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</si>
  <si>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</si>
  <si>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</si>
  <si>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</si>
  <si>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</si>
  <si>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</si>
  <si>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</si>
  <si>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</si>
  <si>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</si>
  <si>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</si>
  <si>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</si>
  <si>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</si>
  <si>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</si>
  <si>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</si>
  <si>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</si>
  <si>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</si>
  <si>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</si>
  <si>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</si>
  <si>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</si>
  <si>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</si>
  <si>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</si>
  <si>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</si>
  <si>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</si>
  <si>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</si>
  <si>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</si>
  <si>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</si>
  <si>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</si>
  <si>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</si>
  <si>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</si>
  <si>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</si>
  <si>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</si>
  <si>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</si>
  <si>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</si>
  <si>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</si>
  <si>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</si>
  <si>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</si>
  <si>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</si>
  <si>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</si>
  <si>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</si>
  <si>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</si>
  <si>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</si>
  <si>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</si>
  <si>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</si>
  <si>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</si>
  <si>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</si>
  <si>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</si>
  <si>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</si>
  <si>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</si>
  <si>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</si>
  <si>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</si>
  <si>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</si>
  <si>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</si>
  <si>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</si>
  <si>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</si>
  <si>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</si>
  <si>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</si>
  <si>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</si>
  <si>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</si>
  <si>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</si>
  <si>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</si>
  <si>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</si>
  <si>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</si>
  <si>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</si>
  <si>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</si>
  <si>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</si>
  <si>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</si>
  <si>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</si>
  <si>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</si>
  <si>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</si>
  <si>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</si>
  <si>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</si>
  <si>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</si>
  <si>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</si>
  <si>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</si>
  <si>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</si>
  <si>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</si>
  <si>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</si>
  <si>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</si>
  <si>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</si>
  <si>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</si>
  <si>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</si>
  <si>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</si>
  <si>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</si>
  <si>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</si>
  <si>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</si>
  <si>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</si>
  <si>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</si>
  <si>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</si>
  <si>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</si>
  <si>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</si>
  <si>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</si>
  <si>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</si>
  <si>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</si>
  <si>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</si>
  <si>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</si>
  <si>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</si>
  <si>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</si>
  <si>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</si>
  <si>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</si>
  <si>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</si>
  <si>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</si>
  <si>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</si>
  <si>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</si>
  <si>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</si>
  <si>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</si>
  <si>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</si>
  <si>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</si>
  <si>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</si>
  <si>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</si>
  <si>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</si>
  <si>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</si>
  <si>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</si>
  <si>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</si>
  <si>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</si>
  <si>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</si>
  <si>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</si>
  <si>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</si>
  <si>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</si>
  <si>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</si>
  <si>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</si>
  <si>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</si>
  <si>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</si>
  <si>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</si>
  <si>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</si>
  <si>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</si>
  <si>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</si>
  <si>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</si>
  <si>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</si>
  <si>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</si>
  <si>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</si>
  <si>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</si>
  <si>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</si>
  <si>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</si>
  <si>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</si>
  <si>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</si>
  <si>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</si>
  <si>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</si>
  <si>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</si>
  <si>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</si>
  <si>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</si>
  <si>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</si>
  <si>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</si>
  <si>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</si>
  <si>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</si>
  <si>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</si>
  <si>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</si>
  <si>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</si>
  <si>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</si>
  <si>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</si>
  <si>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</si>
  <si>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</si>
  <si>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</si>
  <si>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</si>
  <si>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</si>
  <si>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</si>
  <si>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</si>
  <si>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</si>
  <si>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</si>
  <si>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</si>
  <si>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</si>
  <si>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</si>
  <si>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</si>
  <si>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</si>
  <si>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</si>
  <si>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</si>
  <si>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</si>
  <si>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</si>
  <si>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</si>
  <si>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</si>
  <si>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</si>
  <si>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</si>
  <si>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</si>
  <si>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</si>
  <si>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</si>
  <si>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</si>
  <si>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</si>
  <si>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</si>
  <si>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</si>
  <si>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</si>
  <si>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</si>
  <si>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</si>
  <si>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</si>
  <si>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</si>
  <si>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</si>
  <si>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</si>
  <si>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</si>
  <si>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</si>
  <si>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</si>
  <si>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</si>
  <si>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</si>
  <si>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</si>
  <si>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</si>
  <si>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</si>
  <si>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</si>
  <si>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</si>
  <si>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</si>
  <si>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</si>
  <si>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</si>
  <si>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</si>
  <si>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</si>
  <si>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</si>
  <si>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</si>
  <si>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</si>
  <si>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</si>
  <si>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</si>
  <si>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</si>
  <si>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</si>
  <si>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</si>
  <si>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</si>
  <si>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</si>
  <si>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</si>
  <si>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</si>
  <si>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</si>
  <si>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</si>
  <si>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</si>
  <si>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</si>
  <si>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</si>
  <si>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</si>
  <si>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</si>
  <si>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</si>
  <si>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</si>
  <si>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</si>
  <si>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</si>
  <si>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</si>
  <si>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</si>
  <si>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</si>
  <si>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</si>
  <si>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</si>
  <si>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</si>
  <si>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</si>
  <si>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</si>
  <si>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</si>
  <si>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</si>
  <si>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</si>
  <si>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</si>
  <si>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</si>
  <si>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</si>
  <si>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</si>
  <si>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</si>
  <si>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</si>
  <si>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</si>
  <si>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</si>
  <si>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</si>
  <si>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</si>
  <si>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</si>
  <si>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</si>
  <si>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</si>
  <si>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</si>
  <si>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</si>
  <si>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</si>
  <si>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</si>
  <si>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</si>
  <si>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</si>
  <si>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</si>
  <si>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</si>
  <si>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</si>
  <si>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</si>
  <si>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</si>
  <si>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</si>
  <si>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</si>
  <si>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</si>
  <si>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</si>
  <si>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</si>
  <si>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</si>
  <si>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</si>
  <si>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</si>
  <si>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</si>
  <si>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</si>
  <si>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</si>
  <si>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</si>
  <si>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</si>
  <si>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</si>
  <si>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</si>
  <si>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</si>
  <si>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</si>
  <si>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</si>
  <si>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</si>
  <si>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</si>
  <si>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</si>
  <si>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</si>
  <si>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</si>
  <si>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</si>
  <si>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</si>
  <si>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</si>
  <si>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</si>
  <si>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</si>
  <si>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</si>
  <si>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</si>
  <si>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</si>
  <si>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</si>
  <si>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</si>
  <si>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</si>
  <si>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</si>
  <si>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</si>
  <si>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</si>
  <si>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</si>
  <si>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</si>
  <si>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</si>
  <si>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</si>
  <si>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</si>
  <si>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</si>
  <si>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</si>
  <si>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</si>
  <si>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</si>
  <si>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</si>
  <si>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</si>
  <si>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</si>
  <si>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</si>
  <si>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</si>
  <si>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</si>
  <si>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</si>
  <si>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</si>
  <si>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</si>
  <si>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</si>
  <si>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</si>
  <si>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</si>
  <si>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</si>
  <si>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</si>
  <si>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</si>
  <si>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</si>
  <si>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</si>
  <si>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</si>
  <si>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</si>
  <si>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</si>
  <si>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</si>
  <si>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</si>
  <si>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</si>
  <si>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</si>
  <si>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</si>
  <si>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</si>
  <si>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</si>
  <si>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</si>
  <si>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</si>
  <si>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</si>
  <si>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</si>
  <si>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</si>
  <si>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</si>
  <si>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</si>
  <si>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</si>
  <si>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</si>
  <si>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</si>
  <si>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</si>
  <si>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</si>
  <si>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</si>
  <si>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</si>
  <si>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</si>
  <si>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</si>
  <si>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</si>
  <si>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</si>
  <si>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</si>
  <si>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</si>
  <si>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</si>
  <si>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</si>
  <si>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</si>
  <si>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</si>
  <si>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</si>
  <si>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</si>
  <si>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</si>
  <si>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</si>
  <si>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</si>
  <si>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</si>
  <si>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</si>
  <si>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</si>
  <si>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</si>
  <si>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</si>
  <si>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</si>
  <si>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</si>
  <si>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</si>
  <si>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</si>
  <si>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</si>
  <si>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</si>
  <si>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</si>
  <si>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</si>
  <si>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</si>
  <si>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</si>
  <si>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</si>
  <si>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</si>
  <si>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</si>
  <si>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</si>
  <si>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</si>
  <si>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</si>
  <si>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</si>
  <si>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</si>
  <si>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</si>
  <si>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</si>
  <si>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</si>
  <si>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</si>
  <si>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</si>
  <si>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</si>
  <si>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</si>
  <si>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</si>
  <si>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</si>
  <si>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</si>
  <si>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</si>
  <si>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</si>
  <si>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</si>
  <si>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</si>
  <si>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</si>
  <si>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</si>
  <si>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</si>
  <si>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</si>
  <si>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</si>
  <si>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</si>
  <si>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</si>
  <si>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</si>
  <si>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</si>
  <si>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</si>
  <si>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</si>
  <si>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</si>
  <si>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</si>
  <si>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</si>
  <si>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</si>
  <si>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</si>
  <si>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</si>
  <si>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</si>
  <si>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</si>
  <si>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</si>
  <si>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</si>
  <si>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</si>
  <si>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</si>
  <si>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</si>
  <si>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</si>
  <si>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</si>
  <si>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</si>
  <si>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</si>
  <si>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</si>
  <si>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</si>
  <si>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</si>
  <si>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</si>
  <si>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</si>
  <si>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</si>
  <si>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</si>
  <si>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</si>
  <si>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</si>
  <si>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</si>
  <si>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</si>
  <si>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</si>
  <si>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</si>
  <si>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</si>
  <si>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</si>
  <si>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</si>
  <si>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</si>
  <si>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</si>
  <si>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</si>
  <si>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</si>
  <si>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</si>
  <si>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</si>
  <si>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</si>
  <si>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</si>
  <si>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</si>
  <si>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</si>
  <si>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</si>
  <si>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</si>
  <si>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</si>
  <si>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</si>
  <si>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</si>
  <si>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</si>
  <si>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</si>
  <si>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</si>
  <si>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</si>
  <si>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</si>
  <si>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</si>
  <si>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</si>
  <si>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</si>
  <si>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</si>
  <si>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</si>
  <si>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</si>
  <si>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</si>
  <si>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</si>
  <si>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</si>
  <si>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</si>
  <si>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</si>
  <si>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</si>
  <si>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</si>
  <si>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</si>
  <si>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</si>
  <si>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</si>
  <si>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</si>
  <si>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</si>
  <si>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</si>
  <si>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</si>
  <si>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</si>
  <si>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</si>
  <si>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</si>
  <si>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</si>
  <si>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</si>
  <si>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</si>
  <si>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</si>
  <si>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</si>
  <si>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</si>
  <si>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</si>
  <si>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</si>
  <si>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</si>
  <si>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</si>
  <si>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</si>
  <si>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</si>
  <si>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</si>
  <si>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</si>
  <si>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</si>
  <si>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</si>
  <si>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</si>
  <si>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</si>
  <si>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</si>
  <si>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</si>
  <si>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</si>
  <si>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</si>
  <si>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</si>
  <si>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</si>
  <si>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</si>
  <si>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</si>
  <si>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</si>
  <si>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</si>
  <si>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</si>
  <si>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</si>
  <si>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</si>
  <si>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</si>
  <si>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</si>
  <si>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</si>
  <si>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</si>
  <si>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</si>
  <si>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</si>
  <si>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</si>
  <si>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</si>
  <si>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</si>
  <si>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</si>
  <si>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</si>
  <si>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</si>
  <si>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</si>
  <si>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</si>
  <si>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</si>
  <si>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</si>
  <si>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</si>
  <si>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</si>
  <si>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</si>
  <si>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</si>
  <si>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</si>
  <si>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</si>
  <si>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</si>
  <si>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</si>
  <si>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</si>
  <si>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</si>
  <si>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</si>
  <si>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</si>
  <si>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</si>
  <si>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</si>
  <si>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</si>
  <si>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</si>
  <si>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</si>
  <si>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</si>
  <si>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</si>
  <si>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</si>
  <si>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</si>
  <si>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</si>
  <si>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</si>
  <si>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</si>
  <si>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</si>
  <si>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</si>
  <si>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</si>
  <si>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</si>
  <si>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</si>
  <si>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</si>
  <si>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</si>
  <si>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</si>
  <si>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</si>
  <si>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</si>
  <si>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</si>
  <si>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</si>
  <si>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</si>
  <si>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</si>
  <si>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</si>
  <si>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</si>
  <si>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</si>
  <si>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</si>
  <si>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</si>
  <si>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</si>
  <si>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</si>
  <si>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</si>
  <si>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</si>
  <si>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</si>
  <si>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</si>
  <si>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</si>
  <si>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</si>
  <si>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</si>
  <si>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</si>
  <si>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</si>
  <si>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</si>
  <si>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</si>
  <si>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</si>
  <si>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</si>
  <si>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</si>
  <si>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</si>
  <si>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</si>
  <si>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</si>
  <si>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</si>
  <si>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</si>
  <si>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</si>
  <si>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</si>
  <si>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</si>
  <si>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</si>
  <si>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</si>
  <si>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</si>
  <si>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</si>
  <si>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</si>
  <si>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</si>
  <si>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</si>
  <si>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</si>
  <si>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</si>
  <si>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</si>
  <si>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</si>
  <si>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</si>
  <si>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</si>
  <si>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</si>
  <si>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</si>
  <si>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</si>
  <si>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</si>
  <si>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</si>
  <si>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</si>
  <si>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</si>
  <si>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</si>
  <si>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</si>
  <si>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</si>
  <si>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</si>
  <si>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</si>
  <si>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</si>
  <si>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</si>
  <si>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[0.345764]</t>
  </si>
  <si>
    <t>0 [0.758839]</t>
  </si>
  <si>
    <t>0 [1.158973]</t>
  </si>
  <si>
    <t>0 [1.583816]</t>
  </si>
  <si>
    <t>0 [1.984056]</t>
  </si>
  <si>
    <t>0 [2.416530]</t>
  </si>
  <si>
    <t>0 [2.785063]</t>
  </si>
  <si>
    <t>0 [3.211237]</t>
  </si>
  <si>
    <t>0 [3.602873]</t>
  </si>
  <si>
    <t>0 [4.028663]</t>
  </si>
  <si>
    <t>0 [4.425389]</t>
  </si>
  <si>
    <t>0 [4.835401]</t>
  </si>
  <si>
    <t>0 [5.227334]</t>
  </si>
  <si>
    <t>0 [5.636175]</t>
  </si>
  <si>
    <t>0 [6.046169]</t>
  </si>
  <si>
    <t>0 [6.447824]</t>
  </si>
  <si>
    <t>0 [6.858652]</t>
  </si>
  <si>
    <t>0 [7.261297]</t>
  </si>
  <si>
    <t>0 [7.695197]</t>
  </si>
  <si>
    <t>0 [8.077233]</t>
  </si>
  <si>
    <t>0 [8.495097]</t>
  </si>
  <si>
    <t>0 [8.884070]</t>
  </si>
  <si>
    <t>0 [9.301755]</t>
  </si>
  <si>
    <t>0 [9.706817]</t>
  </si>
  <si>
    <t>0 [10.109800]</t>
  </si>
  <si>
    <t>0 [10.525478]</t>
  </si>
  <si>
    <t>0 [10.921041]</t>
  </si>
  <si>
    <t>0 [11.326392]</t>
  </si>
  <si>
    <t>0 [11.733160]</t>
  </si>
  <si>
    <t>0 [12.130537]</t>
  </si>
  <si>
    <t>0 [12.544520]</t>
  </si>
  <si>
    <t>0 [12.948012]</t>
  </si>
  <si>
    <t>0 [13.367160]</t>
  </si>
  <si>
    <t>0 [13.749106]</t>
  </si>
  <si>
    <t>0 [14.169627]</t>
  </si>
  <si>
    <t>0 [14.572028]</t>
  </si>
  <si>
    <t>0 [14.976177]</t>
  </si>
  <si>
    <t>0 [15.386076]</t>
  </si>
  <si>
    <t>0 [15.794642]</t>
  </si>
  <si>
    <t>0 [16.220880]</t>
  </si>
  <si>
    <t>0 [16.604949]</t>
  </si>
  <si>
    <t>0 [17.036480]</t>
  </si>
  <si>
    <t>0 [17.417963]</t>
  </si>
  <si>
    <t>0 [17.850724]</t>
  </si>
  <si>
    <t>0 [18.225606]</t>
  </si>
  <si>
    <t>0 [18.641498]</t>
  </si>
  <si>
    <t>0 [19.031661]</t>
  </si>
  <si>
    <t>0 [19.444749]</t>
  </si>
  <si>
    <t>0 [19.906189]</t>
  </si>
  <si>
    <t>0 [20.262236]</t>
  </si>
  <si>
    <t>0 [20.676918]</t>
  </si>
  <si>
    <t>0 [21.074758]</t>
  </si>
  <si>
    <t>0 [21.487849]</t>
  </si>
  <si>
    <t>0 [21.890325]</t>
  </si>
  <si>
    <t>0 [22.334485]</t>
  </si>
  <si>
    <t>0 [22.695020]</t>
  </si>
  <si>
    <t>0 [23.101965]</t>
  </si>
  <si>
    <t>0 [23.520139]</t>
  </si>
  <si>
    <t>0 [23.917642]</t>
  </si>
  <si>
    <t>0 [24.341191]</t>
  </si>
  <si>
    <t>0 [24.744176]</t>
  </si>
  <si>
    <t>0 [25.129440]</t>
  </si>
  <si>
    <t>0 [25.538474]</t>
  </si>
  <si>
    <t>0 [25.948584]</t>
  </si>
  <si>
    <t>0 [26.363871]</t>
  </si>
  <si>
    <t>0 [26.764638]</t>
  </si>
  <si>
    <t>0 [27.187976]</t>
  </si>
  <si>
    <t>0 [27.576272]</t>
  </si>
  <si>
    <t>0 [27.992376]</t>
  </si>
  <si>
    <t>0 [28.386731]</t>
  </si>
  <si>
    <t>0 [28.819864]</t>
  </si>
  <si>
    <t>0 [29.204129]</t>
  </si>
  <si>
    <t>0 [29.609387]</t>
  </si>
  <si>
    <t>0 [30.035497]</t>
  </si>
  <si>
    <t>0 [30.419470]</t>
  </si>
  <si>
    <t>0 [30.829208]</t>
  </si>
  <si>
    <t>0 [31.241720]</t>
  </si>
  <si>
    <t>0 [31.640308]</t>
  </si>
  <si>
    <t>0 [32.047520]</t>
  </si>
  <si>
    <t>0 [32.464440]</t>
  </si>
  <si>
    <t>0 [32.847715]</t>
  </si>
  <si>
    <t>0 [33.263504]</t>
  </si>
  <si>
    <t>0 [33.667553]</t>
  </si>
  <si>
    <t>0 [34.080235]</t>
  </si>
  <si>
    <t>0 [34.487848]</t>
  </si>
  <si>
    <t>0 [34.896365]</t>
  </si>
  <si>
    <t>0 [35.307020]</t>
  </si>
  <si>
    <t>0 [35.699487]</t>
  </si>
  <si>
    <t>0 [36.098592]</t>
  </si>
  <si>
    <t>0 [36.516452]</t>
  </si>
  <si>
    <t>0 [36.911462]</t>
  </si>
  <si>
    <t>0 [37.327502]</t>
  </si>
  <si>
    <t>0 [37.731490]</t>
  </si>
  <si>
    <t>0 [38.127070]</t>
  </si>
  <si>
    <t>0 [38.532489]</t>
  </si>
  <si>
    <t>0 [38.946867]</t>
  </si>
  <si>
    <t>0 [39.358026]</t>
  </si>
  <si>
    <t>0 [39.785323]</t>
  </si>
  <si>
    <t>vision^46Yz^1^6^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</si>
</sst>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57.318379999999991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5.9287199999999993</c:v>
                </c:pt>
                <c:pt idx="1">
                  <c:v>4.7172999999999998</c:v>
                </c:pt>
              </c:numCache>
            </c:numRef>
          </c:xVal>
          <c:yVal>
            <c:numRef>
              <c:f>info!$W$2:$W$3</c:f>
              <c:numCache>
                <c:formatCode>0.00</c:formatCode>
                <c:ptCount val="2"/>
                <c:pt idx="0">
                  <c:v>58.434100000000001</c:v>
                </c:pt>
                <c:pt idx="1">
                  <c:v>54.908000000000001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5.1619599999999997</c:v>
                </c:pt>
                <c:pt idx="1">
                  <c:v>5.8377999999999997</c:v>
                </c:pt>
              </c:numCache>
            </c:numRef>
          </c:xVal>
          <c:yVal>
            <c:numRef>
              <c:f>info!$W$15:$W$16</c:f>
              <c:numCache>
                <c:formatCode>0.00_ </c:formatCode>
                <c:ptCount val="2"/>
                <c:pt idx="0">
                  <c:v>48.442399999999999</c:v>
                </c:pt>
                <c:pt idx="1">
                  <c:v>59.849799999999995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5.2084197979797988</c:v>
                </c:pt>
              </c:numCache>
            </c:numRef>
          </c:xVal>
          <c:yVal>
            <c:numRef>
              <c:f>info!$N$9</c:f>
              <c:numCache>
                <c:formatCode>0.0</c:formatCode>
                <c:ptCount val="1"/>
                <c:pt idx="0">
                  <c:v>54.075628282828276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45.854100000000003</c:v>
                </c:pt>
                <c:pt idx="1">
                  <c:v>21.336500000000001</c:v>
                </c:pt>
                <c:pt idx="2">
                  <c:v>12.329700000000001</c:v>
                </c:pt>
                <c:pt idx="3">
                  <c:v>26.289000000000001</c:v>
                </c:pt>
                <c:pt idx="4">
                  <c:v>75.656800000000004</c:v>
                </c:pt>
                <c:pt idx="5">
                  <c:v>74.990300000000005</c:v>
                </c:pt>
                <c:pt idx="6">
                  <c:v>42.384799999999998</c:v>
                </c:pt>
                <c:pt idx="7">
                  <c:v>75.219099999999997</c:v>
                </c:pt>
                <c:pt idx="8">
                  <c:v>24.5715</c:v>
                </c:pt>
                <c:pt idx="9">
                  <c:v>44.019199999999998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57.318379999999991</c:v>
                </c:pt>
                <c:pt idx="1">
                  <c:v>57.318379999999991</c:v>
                </c:pt>
                <c:pt idx="2">
                  <c:v>0</c:v>
                </c:pt>
              </c:numCache>
            </c:numRef>
          </c:xVal>
          <c:yVal>
            <c:numRef>
              <c:f>'R2'!$I$5:$I$7</c:f>
              <c:numCache>
                <c:formatCode>0.0_ </c:formatCode>
                <c:ptCount val="3"/>
                <c:pt idx="0">
                  <c:v>0</c:v>
                </c:pt>
                <c:pt idx="1">
                  <c:v>62.917033406910626</c:v>
                </c:pt>
                <c:pt idx="2">
                  <c:v>62.917033406910626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81.710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81.709999999999994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2.4512999999999998</c:v>
                </c:pt>
                <c:pt idx="1">
                  <c:v>2.4512999999999998</c:v>
                </c:pt>
                <c:pt idx="2">
                  <c:v>0</c:v>
                </c:pt>
              </c:numCache>
            </c:numRef>
          </c:xVal>
          <c:yVal>
            <c:numRef>
              <c:f>'R3'!$I$6:$I$8</c:f>
              <c:numCache>
                <c:formatCode>0.0_ </c:formatCode>
                <c:ptCount val="3"/>
                <c:pt idx="0">
                  <c:v>0</c:v>
                </c:pt>
                <c:pt idx="1">
                  <c:v>78.033042502311005</c:v>
                </c:pt>
                <c:pt idx="2">
                  <c:v>78.033042502311005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2.2387150552504531</c:v>
                </c:pt>
              </c:numCache>
            </c:numRef>
          </c:xVal>
          <c:yVal>
            <c:numRef>
              <c:f>'R'!$I$4</c:f>
              <c:numCache>
                <c:formatCode>0.00_ </c:formatCode>
                <c:ptCount val="1"/>
                <c:pt idx="0">
                  <c:v>92.527999904044108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57.318379999999991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5.9287199999999993</c:v>
                </c:pt>
                <c:pt idx="1">
                  <c:v>4.7172999999999998</c:v>
                </c:pt>
              </c:numCache>
            </c:numRef>
          </c:xVal>
          <c:yVal>
            <c:numRef>
              <c:f>info!$W$2:$W$3</c:f>
              <c:numCache>
                <c:formatCode>0.00</c:formatCode>
                <c:ptCount val="2"/>
                <c:pt idx="0">
                  <c:v>58.434100000000001</c:v>
                </c:pt>
                <c:pt idx="1">
                  <c:v>54.908000000000001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5.1619599999999997</c:v>
                </c:pt>
                <c:pt idx="1">
                  <c:v>5.8377999999999997</c:v>
                </c:pt>
              </c:numCache>
            </c:numRef>
          </c:xVal>
          <c:yVal>
            <c:numRef>
              <c:f>info!$W$15:$W$16</c:f>
              <c:numCache>
                <c:formatCode>0.00_ </c:formatCode>
                <c:ptCount val="2"/>
                <c:pt idx="0">
                  <c:v>48.442399999999999</c:v>
                </c:pt>
                <c:pt idx="1">
                  <c:v>59.849799999999995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5.2084197979797988</c:v>
                </c:pt>
              </c:numCache>
            </c:numRef>
          </c:xVal>
          <c:yVal>
            <c:numRef>
              <c:f>info!$N$9</c:f>
              <c:numCache>
                <c:formatCode>0.0</c:formatCode>
                <c:ptCount val="1"/>
                <c:pt idx="0">
                  <c:v>54.075628282828276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45.854100000000003</c:v>
                </c:pt>
                <c:pt idx="1">
                  <c:v>21.336500000000001</c:v>
                </c:pt>
                <c:pt idx="2">
                  <c:v>12.329700000000001</c:v>
                </c:pt>
                <c:pt idx="3">
                  <c:v>26.289000000000001</c:v>
                </c:pt>
                <c:pt idx="4">
                  <c:v>75.656800000000004</c:v>
                </c:pt>
                <c:pt idx="5">
                  <c:v>74.990300000000005</c:v>
                </c:pt>
                <c:pt idx="6">
                  <c:v>42.384799999999998</c:v>
                </c:pt>
                <c:pt idx="7">
                  <c:v>75.219099999999997</c:v>
                </c:pt>
                <c:pt idx="8">
                  <c:v>24.5715</c:v>
                </c:pt>
                <c:pt idx="9">
                  <c:v>44.019199999999998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57.318379999999991</c:v>
                </c:pt>
                <c:pt idx="1">
                  <c:v>57.318379999999991</c:v>
                </c:pt>
                <c:pt idx="2">
                  <c:v>0</c:v>
                </c:pt>
              </c:numCache>
            </c:numRef>
          </c:xVal>
          <c:yVal>
            <c:numRef>
              <c:f>'R2'!$I$5:$I$7</c:f>
              <c:numCache>
                <c:formatCode>0.0_ </c:formatCode>
                <c:ptCount val="3"/>
                <c:pt idx="0">
                  <c:v>0</c:v>
                </c:pt>
                <c:pt idx="1">
                  <c:v>62.917033406910626</c:v>
                </c:pt>
                <c:pt idx="2">
                  <c:v>62.917033406910626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81.710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81.709999999999994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2.4512999999999998</c:v>
                </c:pt>
                <c:pt idx="1">
                  <c:v>2.4512999999999998</c:v>
                </c:pt>
                <c:pt idx="2">
                  <c:v>0</c:v>
                </c:pt>
              </c:numCache>
            </c:numRef>
          </c:xVal>
          <c:yVal>
            <c:numRef>
              <c:f>'R3'!$I$6:$I$8</c:f>
              <c:numCache>
                <c:formatCode>0.0_ </c:formatCode>
                <c:ptCount val="3"/>
                <c:pt idx="0">
                  <c:v>0</c:v>
                </c:pt>
                <c:pt idx="1">
                  <c:v>78.033042502311005</c:v>
                </c:pt>
                <c:pt idx="2">
                  <c:v>78.033042502311005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2.2387150552504531</c:v>
                </c:pt>
              </c:numCache>
            </c:numRef>
          </c:xVal>
          <c:yVal>
            <c:numRef>
              <c:f>'R'!$I$4</c:f>
              <c:numCache>
                <c:formatCode>0.00_ </c:formatCode>
                <c:ptCount val="1"/>
                <c:pt idx="0">
                  <c:v>92.527999904044108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FT!$J$2:$J$2000</c:f>
              <c:numCache>
                <c:formatCode>General</c:formatCode>
                <c:ptCount val="19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6.0867000000000004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6.0867000000000004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6.0867000000000004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6.0867000000000004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6.0867000000000004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6.0867000000000004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6.0867000000000004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6.0867000000000004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6.0867000000000004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6.0867000000000004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6.0867000000000004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6.0867000000000004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6.0867000000000004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6.0867000000000004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6.0867000000000004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6.0867000000000004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6.0867000000000004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6.0867000000000004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6.0867000000000004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6.0867000000000004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6.0867000000000004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6.0867000000000004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6.0867000000000004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6.0867000000000004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FT!$K$2:$K$2000</c:f>
              <c:numCache>
                <c:formatCode>General</c:formatCode>
                <c:ptCount val="19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55.603100000000005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55.603100000000005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55.603100000000005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55.603100000000005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55.603100000000005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55.603100000000005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55.603100000000005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55.603100000000005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55.603100000000005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55.603100000000005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55.603100000000005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55.603100000000005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55.603100000000005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55.603100000000005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55.603100000000005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55.603100000000005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55.603100000000005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55.603100000000005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55.603100000000005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55.603100000000005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55.603100000000005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55.603100000000005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55.603100000000005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55.603100000000005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FT!$L$2:$L$2000</c:f>
              <c:numCache>
                <c:formatCode>General</c:formatCode>
                <c:ptCount val="1999"/>
                <c:pt idx="0">
                  <c:v>9.1351799825849813</c:v>
                </c:pt>
                <c:pt idx="1">
                  <c:v>9.2323951441247889</c:v>
                </c:pt>
                <c:pt idx="2">
                  <c:v>9.3386218876664735</c:v>
                </c:pt>
                <c:pt idx="3">
                  <c:v>9.4315201731498259</c:v>
                </c:pt>
                <c:pt idx="4">
                  <c:v>9.5269516326197543</c:v>
                </c:pt>
                <c:pt idx="5">
                  <c:v>9.6074447144065047</c:v>
                </c:pt>
                <c:pt idx="6">
                  <c:v>9.6976621756654353</c:v>
                </c:pt>
                <c:pt idx="7">
                  <c:v>9.783552113680555</c:v>
                </c:pt>
                <c:pt idx="8">
                  <c:v>9.856107220445562</c:v>
                </c:pt>
                <c:pt idx="9">
                  <c:v>9.937088831787479</c:v>
                </c:pt>
                <c:pt idx="10">
                  <c:v>10.014890668909878</c:v>
                </c:pt>
                <c:pt idx="11">
                  <c:v>10.090954692694208</c:v>
                </c:pt>
                <c:pt idx="12">
                  <c:v>10.158432374866878</c:v>
                </c:pt>
                <c:pt idx="13">
                  <c:v>10.218578488228092</c:v>
                </c:pt>
                <c:pt idx="14">
                  <c:v>10.252115522970982</c:v>
                </c:pt>
                <c:pt idx="15">
                  <c:v>10.261132358145977</c:v>
                </c:pt>
                <c:pt idx="16">
                  <c:v>10.270880789019342</c:v>
                </c:pt>
                <c:pt idx="17">
                  <c:v>10.287770032736477</c:v>
                </c:pt>
                <c:pt idx="18">
                  <c:v>10.31648056441688</c:v>
                </c:pt>
                <c:pt idx="19">
                  <c:v>10.325065803847316</c:v>
                </c:pt>
                <c:pt idx="20">
                  <c:v>10.263684953803024</c:v>
                </c:pt>
                <c:pt idx="21">
                  <c:v>10.206747600717605</c:v>
                </c:pt>
                <c:pt idx="22">
                  <c:v>10.162238896775502</c:v>
                </c:pt>
                <c:pt idx="23">
                  <c:v>10.136510143462049</c:v>
                </c:pt>
                <c:pt idx="24">
                  <c:v>10.108051561323011</c:v>
                </c:pt>
                <c:pt idx="25">
                  <c:v>10.088077286666206</c:v>
                </c:pt>
                <c:pt idx="26">
                  <c:v>10.051496758271934</c:v>
                </c:pt>
                <c:pt idx="27">
                  <c:v>10.018251545016595</c:v>
                </c:pt>
                <c:pt idx="28">
                  <c:v>9.9918892467633587</c:v>
                </c:pt>
                <c:pt idx="29">
                  <c:v>9.9676862796269514</c:v>
                </c:pt>
                <c:pt idx="30">
                  <c:v>9.9466695293963507</c:v>
                </c:pt>
                <c:pt idx="31">
                  <c:v>9.8683608435741714</c:v>
                </c:pt>
                <c:pt idx="32">
                  <c:v>9.7922980088028009</c:v>
                </c:pt>
                <c:pt idx="33">
                  <c:v>9.7247950316521727</c:v>
                </c:pt>
                <c:pt idx="34">
                  <c:v>9.6517003321113251</c:v>
                </c:pt>
                <c:pt idx="35">
                  <c:v>9.5874702995002146</c:v>
                </c:pt>
                <c:pt idx="36">
                  <c:v>9.5228801058895467</c:v>
                </c:pt>
                <c:pt idx="37">
                  <c:v>9.4646770204879509</c:v>
                </c:pt>
                <c:pt idx="38">
                  <c:v>9.4100639369306514</c:v>
                </c:pt>
                <c:pt idx="39">
                  <c:v>9.3678165276724812</c:v>
                </c:pt>
                <c:pt idx="40">
                  <c:v>9.3475289780622592</c:v>
                </c:pt>
                <c:pt idx="41">
                  <c:v>9.3389828559160879</c:v>
                </c:pt>
                <c:pt idx="42">
                  <c:v>9.3500800598088194</c:v>
                </c:pt>
                <c:pt idx="43">
                  <c:v>9.3844973614673499</c:v>
                </c:pt>
                <c:pt idx="44">
                  <c:v>9.4456821474753454</c:v>
                </c:pt>
                <c:pt idx="45">
                  <c:v>9.5415895764196819</c:v>
                </c:pt>
                <c:pt idx="46">
                  <c:v>9.6256170229503049</c:v>
                </c:pt>
                <c:pt idx="47">
                  <c:v>9.7065292937589849</c:v>
                </c:pt>
                <c:pt idx="48">
                  <c:v>9.7967997748386129</c:v>
                </c:pt>
                <c:pt idx="49">
                  <c:v>9.872547635569747</c:v>
                </c:pt>
                <c:pt idx="50">
                  <c:v>9.9374530199803424</c:v>
                </c:pt>
                <c:pt idx="51">
                  <c:v>10.001699731442432</c:v>
                </c:pt>
                <c:pt idx="52">
                  <c:v>10.063149321666357</c:v>
                </c:pt>
                <c:pt idx="53">
                  <c:v>10.116019086296868</c:v>
                </c:pt>
                <c:pt idx="54">
                  <c:v>10.161065104040551</c:v>
                </c:pt>
                <c:pt idx="55">
                  <c:v>10.208506515702204</c:v>
                </c:pt>
                <c:pt idx="56">
                  <c:v>10.250751870556666</c:v>
                </c:pt>
                <c:pt idx="57">
                  <c:v>10.304299603069811</c:v>
                </c:pt>
                <c:pt idx="58">
                  <c:v>10.360971198478149</c:v>
                </c:pt>
                <c:pt idx="59">
                  <c:v>10.425898064545105</c:v>
                </c:pt>
                <c:pt idx="60">
                  <c:v>10.490144740179515</c:v>
                </c:pt>
                <c:pt idx="61">
                  <c:v>10.567595099644793</c:v>
                </c:pt>
                <c:pt idx="62">
                  <c:v>10.637867767780914</c:v>
                </c:pt>
                <c:pt idx="63">
                  <c:v>10.707597557869134</c:v>
                </c:pt>
                <c:pt idx="64">
                  <c:v>10.778077427470842</c:v>
                </c:pt>
                <c:pt idx="65">
                  <c:v>10.835781497022117</c:v>
                </c:pt>
                <c:pt idx="66">
                  <c:v>10.893168580736452</c:v>
                </c:pt>
                <c:pt idx="67">
                  <c:v>10.946849599354357</c:v>
                </c:pt>
                <c:pt idx="68">
                  <c:v>10.998485238806738</c:v>
                </c:pt>
                <c:pt idx="69">
                  <c:v>11.055577232348382</c:v>
                </c:pt>
                <c:pt idx="70">
                  <c:v>11.100984436876452</c:v>
                </c:pt>
                <c:pt idx="71">
                  <c:v>11.144577188918593</c:v>
                </c:pt>
                <c:pt idx="72">
                  <c:v>11.179253519135951</c:v>
                </c:pt>
                <c:pt idx="73">
                  <c:v>11.205247614247453</c:v>
                </c:pt>
                <c:pt idx="74">
                  <c:v>11.229481177344383</c:v>
                </c:pt>
                <c:pt idx="75">
                  <c:v>11.237285835099552</c:v>
                </c:pt>
                <c:pt idx="76">
                  <c:v>11.239258906330976</c:v>
                </c:pt>
                <c:pt idx="77">
                  <c:v>11.236329202829479</c:v>
                </c:pt>
                <c:pt idx="78">
                  <c:v>11.241276650902963</c:v>
                </c:pt>
                <c:pt idx="79">
                  <c:v>11.253001313466799</c:v>
                </c:pt>
                <c:pt idx="80">
                  <c:v>11.263960123797029</c:v>
                </c:pt>
                <c:pt idx="81">
                  <c:v>11.294400824541851</c:v>
                </c:pt>
                <c:pt idx="82">
                  <c:v>11.337797132093202</c:v>
                </c:pt>
                <c:pt idx="83">
                  <c:v>11.37934799268502</c:v>
                </c:pt>
                <c:pt idx="84">
                  <c:v>11.435303667222529</c:v>
                </c:pt>
                <c:pt idx="85">
                  <c:v>11.494783775867772</c:v>
                </c:pt>
                <c:pt idx="86">
                  <c:v>11.541429641903514</c:v>
                </c:pt>
                <c:pt idx="87">
                  <c:v>11.596652521397715</c:v>
                </c:pt>
                <c:pt idx="88">
                  <c:v>11.639709155661079</c:v>
                </c:pt>
                <c:pt idx="89">
                  <c:v>11.665721416812705</c:v>
                </c:pt>
                <c:pt idx="90">
                  <c:v>11.697617532034837</c:v>
                </c:pt>
                <c:pt idx="91">
                  <c:v>11.7318764679405</c:v>
                </c:pt>
                <c:pt idx="92">
                  <c:v>11.750544522741833</c:v>
                </c:pt>
                <c:pt idx="93">
                  <c:v>11.796199163165596</c:v>
                </c:pt>
                <c:pt idx="94">
                  <c:v>11.807085021542729</c:v>
                </c:pt>
                <c:pt idx="95">
                  <c:v>11.817666159375154</c:v>
                </c:pt>
                <c:pt idx="96">
                  <c:v>11.801130562648623</c:v>
                </c:pt>
                <c:pt idx="97">
                  <c:v>11.736307641085402</c:v>
                </c:pt>
                <c:pt idx="98">
                  <c:v>11.648717921448092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3.6308659659965774E-4</c:v>
                </c:pt>
                <c:pt idx="22">
                  <c:v>0</c:v>
                </c:pt>
                <c:pt idx="23">
                  <c:v>0</c:v>
                </c:pt>
                <c:pt idx="24">
                  <c:v>5.3650083425879733E-4</c:v>
                </c:pt>
                <c:pt idx="25">
                  <c:v>0</c:v>
                </c:pt>
                <c:pt idx="26">
                  <c:v>4.8014088511907638E-3</c:v>
                </c:pt>
                <c:pt idx="27">
                  <c:v>0</c:v>
                </c:pt>
                <c:pt idx="28">
                  <c:v>0</c:v>
                </c:pt>
                <c:pt idx="29">
                  <c:v>3.0455918408953129E-3</c:v>
                </c:pt>
                <c:pt idx="30">
                  <c:v>0</c:v>
                </c:pt>
                <c:pt idx="31">
                  <c:v>7.4839183874930932E-3</c:v>
                </c:pt>
                <c:pt idx="32">
                  <c:v>0</c:v>
                </c:pt>
                <c:pt idx="33">
                  <c:v>0</c:v>
                </c:pt>
                <c:pt idx="34">
                  <c:v>7.6302221649954668E-3</c:v>
                </c:pt>
                <c:pt idx="35">
                  <c:v>0</c:v>
                </c:pt>
                <c:pt idx="36">
                  <c:v>0</c:v>
                </c:pt>
                <c:pt idx="37">
                  <c:v>4.5846410541168399E-3</c:v>
                </c:pt>
                <c:pt idx="38">
                  <c:v>0</c:v>
                </c:pt>
                <c:pt idx="39">
                  <c:v>6.1995890403609586E-3</c:v>
                </c:pt>
                <c:pt idx="40">
                  <c:v>0</c:v>
                </c:pt>
                <c:pt idx="41">
                  <c:v>0</c:v>
                </c:pt>
                <c:pt idx="42">
                  <c:v>4.1890414339594301E-3</c:v>
                </c:pt>
                <c:pt idx="43">
                  <c:v>0</c:v>
                </c:pt>
                <c:pt idx="44">
                  <c:v>3.2298423224048113E-3</c:v>
                </c:pt>
                <c:pt idx="45">
                  <c:v>0</c:v>
                </c:pt>
                <c:pt idx="46">
                  <c:v>0</c:v>
                </c:pt>
                <c:pt idx="47">
                  <c:v>3.5604126764417119E-3</c:v>
                </c:pt>
                <c:pt idx="48">
                  <c:v>0</c:v>
                </c:pt>
                <c:pt idx="49">
                  <c:v>1.2599614792401003E-2</c:v>
                </c:pt>
                <c:pt idx="50">
                  <c:v>0</c:v>
                </c:pt>
                <c:pt idx="51">
                  <c:v>0</c:v>
                </c:pt>
                <c:pt idx="52">
                  <c:v>5.8852532015687287E-3</c:v>
                </c:pt>
                <c:pt idx="53">
                  <c:v>0</c:v>
                </c:pt>
                <c:pt idx="54">
                  <c:v>0</c:v>
                </c:pt>
                <c:pt idx="55">
                  <c:v>4.5250304464223446E-3</c:v>
                </c:pt>
                <c:pt idx="56">
                  <c:v>0</c:v>
                </c:pt>
                <c:pt idx="57">
                  <c:v>1.1299029469990826E-2</c:v>
                </c:pt>
                <c:pt idx="58">
                  <c:v>0</c:v>
                </c:pt>
                <c:pt idx="59">
                  <c:v>0</c:v>
                </c:pt>
                <c:pt idx="60">
                  <c:v>1.1624202625635084E-2</c:v>
                </c:pt>
                <c:pt idx="61">
                  <c:v>0</c:v>
                </c:pt>
                <c:pt idx="62">
                  <c:v>1.2485822965454712E-2</c:v>
                </c:pt>
                <c:pt idx="63">
                  <c:v>0</c:v>
                </c:pt>
                <c:pt idx="64">
                  <c:v>0</c:v>
                </c:pt>
                <c:pt idx="65">
                  <c:v>2.499879287312292E-2</c:v>
                </c:pt>
                <c:pt idx="66">
                  <c:v>0</c:v>
                </c:pt>
                <c:pt idx="67">
                  <c:v>2.7209820111270273E-2</c:v>
                </c:pt>
                <c:pt idx="68">
                  <c:v>0</c:v>
                </c:pt>
                <c:pt idx="69">
                  <c:v>0</c:v>
                </c:pt>
                <c:pt idx="70">
                  <c:v>2.6424007339331413E-2</c:v>
                </c:pt>
                <c:pt idx="71">
                  <c:v>0</c:v>
                </c:pt>
                <c:pt idx="72">
                  <c:v>0</c:v>
                </c:pt>
                <c:pt idx="73">
                  <c:v>2.1573825197298183E-2</c:v>
                </c:pt>
                <c:pt idx="74">
                  <c:v>0</c:v>
                </c:pt>
                <c:pt idx="75">
                  <c:v>2.3795689752297566E-2</c:v>
                </c:pt>
                <c:pt idx="76">
                  <c:v>0</c:v>
                </c:pt>
                <c:pt idx="77">
                  <c:v>0</c:v>
                </c:pt>
                <c:pt idx="78">
                  <c:v>8.6246801113775737E-2</c:v>
                </c:pt>
                <c:pt idx="79">
                  <c:v>0</c:v>
                </c:pt>
                <c:pt idx="80">
                  <c:v>0.14998739223039492</c:v>
                </c:pt>
                <c:pt idx="81">
                  <c:v>0</c:v>
                </c:pt>
                <c:pt idx="82">
                  <c:v>0</c:v>
                </c:pt>
                <c:pt idx="83">
                  <c:v>0.25891315660995856</c:v>
                </c:pt>
                <c:pt idx="84">
                  <c:v>0</c:v>
                </c:pt>
                <c:pt idx="85">
                  <c:v>0</c:v>
                </c:pt>
                <c:pt idx="86">
                  <c:v>0.37641756932932036</c:v>
                </c:pt>
                <c:pt idx="87">
                  <c:v>0</c:v>
                </c:pt>
                <c:pt idx="88">
                  <c:v>0.48701828931343999</c:v>
                </c:pt>
                <c:pt idx="89">
                  <c:v>0</c:v>
                </c:pt>
                <c:pt idx="90">
                  <c:v>0</c:v>
                </c:pt>
                <c:pt idx="91">
                  <c:v>0.57792942868026165</c:v>
                </c:pt>
                <c:pt idx="92">
                  <c:v>0</c:v>
                </c:pt>
                <c:pt idx="93">
                  <c:v>0.59567687627754262</c:v>
                </c:pt>
                <c:pt idx="94">
                  <c:v>0</c:v>
                </c:pt>
                <c:pt idx="95">
                  <c:v>0</c:v>
                </c:pt>
                <c:pt idx="96">
                  <c:v>0.5643505925651715</c:v>
                </c:pt>
                <c:pt idx="97">
                  <c:v>0</c:v>
                </c:pt>
                <c:pt idx="98">
                  <c:v>0.513078817337561</c:v>
                </c:pt>
                <c:pt idx="99">
                  <c:v>0</c:v>
                </c:pt>
                <c:pt idx="100">
                  <c:v>0</c:v>
                </c:pt>
                <c:pt idx="101">
                  <c:v>0.55793404258743629</c:v>
                </c:pt>
                <c:pt idx="102">
                  <c:v>0</c:v>
                </c:pt>
                <c:pt idx="103">
                  <c:v>0</c:v>
                </c:pt>
                <c:pt idx="104">
                  <c:v>0.55958646515695343</c:v>
                </c:pt>
                <c:pt idx="105">
                  <c:v>0</c:v>
                </c:pt>
                <c:pt idx="106">
                  <c:v>0.60706142398051433</c:v>
                </c:pt>
                <c:pt idx="107">
                  <c:v>0</c:v>
                </c:pt>
                <c:pt idx="108">
                  <c:v>0</c:v>
                </c:pt>
                <c:pt idx="109">
                  <c:v>0.63978797487030103</c:v>
                </c:pt>
                <c:pt idx="110">
                  <c:v>0</c:v>
                </c:pt>
                <c:pt idx="111">
                  <c:v>0.61655748874689509</c:v>
                </c:pt>
                <c:pt idx="112">
                  <c:v>0</c:v>
                </c:pt>
                <c:pt idx="113">
                  <c:v>0</c:v>
                </c:pt>
                <c:pt idx="114">
                  <c:v>0.63145075190591926</c:v>
                </c:pt>
                <c:pt idx="115">
                  <c:v>0</c:v>
                </c:pt>
                <c:pt idx="116">
                  <c:v>0.60877286164179989</c:v>
                </c:pt>
                <c:pt idx="117">
                  <c:v>0</c:v>
                </c:pt>
                <c:pt idx="118">
                  <c:v>0</c:v>
                </c:pt>
                <c:pt idx="119">
                  <c:v>0.67540626525674252</c:v>
                </c:pt>
                <c:pt idx="120">
                  <c:v>0</c:v>
                </c:pt>
                <c:pt idx="121">
                  <c:v>0</c:v>
                </c:pt>
                <c:pt idx="122">
                  <c:v>0.78388673394387132</c:v>
                </c:pt>
                <c:pt idx="123">
                  <c:v>0</c:v>
                </c:pt>
                <c:pt idx="124">
                  <c:v>0.83381350157999501</c:v>
                </c:pt>
                <c:pt idx="125">
                  <c:v>0</c:v>
                </c:pt>
                <c:pt idx="126">
                  <c:v>0</c:v>
                </c:pt>
                <c:pt idx="127">
                  <c:v>0.8499246216327867</c:v>
                </c:pt>
                <c:pt idx="128">
                  <c:v>0</c:v>
                </c:pt>
                <c:pt idx="129">
                  <c:v>0.94529837493897317</c:v>
                </c:pt>
                <c:pt idx="130">
                  <c:v>0</c:v>
                </c:pt>
                <c:pt idx="131">
                  <c:v>0</c:v>
                </c:pt>
                <c:pt idx="132">
                  <c:v>1</c:v>
                </c:pt>
                <c:pt idx="133">
                  <c:v>0</c:v>
                </c:pt>
                <c:pt idx="134">
                  <c:v>0.9651328107815208</c:v>
                </c:pt>
                <c:pt idx="135">
                  <c:v>0</c:v>
                </c:pt>
                <c:pt idx="136">
                  <c:v>0</c:v>
                </c:pt>
                <c:pt idx="137">
                  <c:v>0.92804450810921024</c:v>
                </c:pt>
                <c:pt idx="138">
                  <c:v>0</c:v>
                </c:pt>
                <c:pt idx="139">
                  <c:v>0</c:v>
                </c:pt>
                <c:pt idx="140">
                  <c:v>0.90233538813152858</c:v>
                </c:pt>
                <c:pt idx="141">
                  <c:v>0</c:v>
                </c:pt>
                <c:pt idx="142">
                  <c:v>0.88845611154925341</c:v>
                </c:pt>
                <c:pt idx="143">
                  <c:v>0</c:v>
                </c:pt>
                <c:pt idx="144">
                  <c:v>0</c:v>
                </c:pt>
                <c:pt idx="145">
                  <c:v>0.83499916842370703</c:v>
                </c:pt>
                <c:pt idx="146">
                  <c:v>0</c:v>
                </c:pt>
                <c:pt idx="147">
                  <c:v>0.82145252235867228</c:v>
                </c:pt>
                <c:pt idx="148">
                  <c:v>0</c:v>
                </c:pt>
                <c:pt idx="149">
                  <c:v>0</c:v>
                </c:pt>
                <c:pt idx="150">
                  <c:v>0.73788178740617949</c:v>
                </c:pt>
                <c:pt idx="151">
                  <c:v>0</c:v>
                </c:pt>
                <c:pt idx="152">
                  <c:v>0.62671881454775669</c:v>
                </c:pt>
                <c:pt idx="153">
                  <c:v>0</c:v>
                </c:pt>
                <c:pt idx="154">
                  <c:v>0</c:v>
                </c:pt>
                <c:pt idx="155">
                  <c:v>0.51358849313010679</c:v>
                </c:pt>
                <c:pt idx="156">
                  <c:v>0</c:v>
                </c:pt>
                <c:pt idx="157">
                  <c:v>0</c:v>
                </c:pt>
                <c:pt idx="158">
                  <c:v>0.46014979103292508</c:v>
                </c:pt>
                <c:pt idx="159">
                  <c:v>0</c:v>
                </c:pt>
                <c:pt idx="160">
                  <c:v>0.40348671892184795</c:v>
                </c:pt>
                <c:pt idx="161">
                  <c:v>0</c:v>
                </c:pt>
                <c:pt idx="162">
                  <c:v>0</c:v>
                </c:pt>
                <c:pt idx="163">
                  <c:v>0.39971458155617434</c:v>
                </c:pt>
                <c:pt idx="164">
                  <c:v>0</c:v>
                </c:pt>
                <c:pt idx="165">
                  <c:v>0.39304909519134301</c:v>
                </c:pt>
                <c:pt idx="166">
                  <c:v>0</c:v>
                </c:pt>
                <c:pt idx="167">
                  <c:v>0</c:v>
                </c:pt>
                <c:pt idx="168">
                  <c:v>0.30233163262568874</c:v>
                </c:pt>
                <c:pt idx="169">
                  <c:v>0</c:v>
                </c:pt>
                <c:pt idx="170">
                  <c:v>0</c:v>
                </c:pt>
                <c:pt idx="171">
                  <c:v>0.27175645008127985</c:v>
                </c:pt>
                <c:pt idx="172">
                  <c:v>0</c:v>
                </c:pt>
                <c:pt idx="173">
                  <c:v>0.22724887737200433</c:v>
                </c:pt>
                <c:pt idx="174">
                  <c:v>0</c:v>
                </c:pt>
                <c:pt idx="175">
                  <c:v>0</c:v>
                </c:pt>
                <c:pt idx="176">
                  <c:v>0.1913140514933501</c:v>
                </c:pt>
                <c:pt idx="177">
                  <c:v>0</c:v>
                </c:pt>
                <c:pt idx="178">
                  <c:v>0.16337791655266024</c:v>
                </c:pt>
                <c:pt idx="179">
                  <c:v>0</c:v>
                </c:pt>
                <c:pt idx="180">
                  <c:v>0</c:v>
                </c:pt>
                <c:pt idx="181">
                  <c:v>0.12619143422768025</c:v>
                </c:pt>
                <c:pt idx="182">
                  <c:v>0</c:v>
                </c:pt>
                <c:pt idx="183">
                  <c:v>0.10510534193880672</c:v>
                </c:pt>
                <c:pt idx="184">
                  <c:v>0</c:v>
                </c:pt>
                <c:pt idx="185">
                  <c:v>0</c:v>
                </c:pt>
                <c:pt idx="186">
                  <c:v>6.8081419366607124E-2</c:v>
                </c:pt>
                <c:pt idx="187">
                  <c:v>0</c:v>
                </c:pt>
                <c:pt idx="188">
                  <c:v>0</c:v>
                </c:pt>
                <c:pt idx="189">
                  <c:v>4.5299072390057565E-2</c:v>
                </c:pt>
                <c:pt idx="190">
                  <c:v>0</c:v>
                </c:pt>
                <c:pt idx="191">
                  <c:v>2.3947465838309378E-2</c:v>
                </c:pt>
                <c:pt idx="192">
                  <c:v>0</c:v>
                </c:pt>
                <c:pt idx="193">
                  <c:v>0</c:v>
                </c:pt>
                <c:pt idx="194">
                  <c:v>1.5444732366558831E-2</c:v>
                </c:pt>
                <c:pt idx="195">
                  <c:v>0</c:v>
                </c:pt>
                <c:pt idx="196">
                  <c:v>8.0800244644380417E-3</c:v>
                </c:pt>
                <c:pt idx="197">
                  <c:v>0</c:v>
                </c:pt>
                <c:pt idx="198">
                  <c:v>0</c:v>
                </c:pt>
                <c:pt idx="199">
                  <c:v>4.0481402198580419E-3</c:v>
                </c:pt>
                <c:pt idx="200">
                  <c:v>0</c:v>
                </c:pt>
                <c:pt idx="201">
                  <c:v>5.0290193301250584E-3</c:v>
                </c:pt>
                <c:pt idx="202">
                  <c:v>0</c:v>
                </c:pt>
                <c:pt idx="203">
                  <c:v>0</c:v>
                </c:pt>
                <c:pt idx="204">
                  <c:v>2.3085791848406327E-3</c:v>
                </c:pt>
                <c:pt idx="205">
                  <c:v>0</c:v>
                </c:pt>
                <c:pt idx="206">
                  <c:v>0</c:v>
                </c:pt>
                <c:pt idx="207">
                  <c:v>9.5378045312860473E-4</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0.5092227047963005</c:v>
                </c:pt>
                <c:pt idx="4">
                  <c:v>0</c:v>
                </c:pt>
                <c:pt idx="5">
                  <c:v>0</c:v>
                </c:pt>
                <c:pt idx="6">
                  <c:v>0.73071149682268122</c:v>
                </c:pt>
                <c:pt idx="7">
                  <c:v>0</c:v>
                </c:pt>
                <c:pt idx="8">
                  <c:v>1</c:v>
                </c:pt>
                <c:pt idx="9">
                  <c:v>0</c:v>
                </c:pt>
                <c:pt idx="10">
                  <c:v>0</c:v>
                </c:pt>
                <c:pt idx="11">
                  <c:v>0.86409734042320152</c:v>
                </c:pt>
                <c:pt idx="12">
                  <c:v>0</c:v>
                </c:pt>
                <c:pt idx="13">
                  <c:v>0.77150390622147824</c:v>
                </c:pt>
                <c:pt idx="14">
                  <c:v>0</c:v>
                </c:pt>
                <c:pt idx="15">
                  <c:v>0</c:v>
                </c:pt>
                <c:pt idx="16">
                  <c:v>0.65938503897042389</c:v>
                </c:pt>
                <c:pt idx="17">
                  <c:v>0</c:v>
                </c:pt>
                <c:pt idx="18">
                  <c:v>0</c:v>
                </c:pt>
                <c:pt idx="19">
                  <c:v>0.63771570063421201</c:v>
                </c:pt>
                <c:pt idx="20">
                  <c:v>0</c:v>
                </c:pt>
                <c:pt idx="21">
                  <c:v>0.57497618132194228</c:v>
                </c:pt>
                <c:pt idx="22">
                  <c:v>0</c:v>
                </c:pt>
                <c:pt idx="23">
                  <c:v>0</c:v>
                </c:pt>
                <c:pt idx="24">
                  <c:v>0.52079410752920563</c:v>
                </c:pt>
                <c:pt idx="25">
                  <c:v>0</c:v>
                </c:pt>
                <c:pt idx="26">
                  <c:v>0.49687547134071147</c:v>
                </c:pt>
                <c:pt idx="27">
                  <c:v>0</c:v>
                </c:pt>
                <c:pt idx="28">
                  <c:v>0</c:v>
                </c:pt>
                <c:pt idx="29">
                  <c:v>0.48360152076548546</c:v>
                </c:pt>
                <c:pt idx="30">
                  <c:v>0</c:v>
                </c:pt>
                <c:pt idx="31">
                  <c:v>0.46802562820915877</c:v>
                </c:pt>
                <c:pt idx="32">
                  <c:v>0</c:v>
                </c:pt>
                <c:pt idx="33">
                  <c:v>0</c:v>
                </c:pt>
                <c:pt idx="34">
                  <c:v>0.44956425952856643</c:v>
                </c:pt>
                <c:pt idx="35">
                  <c:v>0</c:v>
                </c:pt>
                <c:pt idx="36">
                  <c:v>0</c:v>
                </c:pt>
                <c:pt idx="37">
                  <c:v>0.4418856173569789</c:v>
                </c:pt>
                <c:pt idx="38">
                  <c:v>0</c:v>
                </c:pt>
                <c:pt idx="39">
                  <c:v>0.43299213915824053</c:v>
                </c:pt>
                <c:pt idx="40">
                  <c:v>0</c:v>
                </c:pt>
                <c:pt idx="41">
                  <c:v>0</c:v>
                </c:pt>
                <c:pt idx="42">
                  <c:v>0.42946656279004075</c:v>
                </c:pt>
                <c:pt idx="43">
                  <c:v>0</c:v>
                </c:pt>
                <c:pt idx="44">
                  <c:v>0.4281295719397093</c:v>
                </c:pt>
                <c:pt idx="45">
                  <c:v>0</c:v>
                </c:pt>
                <c:pt idx="46">
                  <c:v>0</c:v>
                </c:pt>
                <c:pt idx="47">
                  <c:v>0.41314750348753004</c:v>
                </c:pt>
                <c:pt idx="48">
                  <c:v>0</c:v>
                </c:pt>
                <c:pt idx="49">
                  <c:v>0.4022059006068</c:v>
                </c:pt>
                <c:pt idx="50">
                  <c:v>0</c:v>
                </c:pt>
                <c:pt idx="51">
                  <c:v>0</c:v>
                </c:pt>
                <c:pt idx="52">
                  <c:v>0.38996800776550444</c:v>
                </c:pt>
                <c:pt idx="53">
                  <c:v>0</c:v>
                </c:pt>
                <c:pt idx="54">
                  <c:v>0</c:v>
                </c:pt>
                <c:pt idx="55">
                  <c:v>0.37762877471546408</c:v>
                </c:pt>
                <c:pt idx="56">
                  <c:v>0</c:v>
                </c:pt>
                <c:pt idx="57">
                  <c:v>0.36926529991507262</c:v>
                </c:pt>
                <c:pt idx="58">
                  <c:v>0</c:v>
                </c:pt>
                <c:pt idx="59">
                  <c:v>0</c:v>
                </c:pt>
                <c:pt idx="60">
                  <c:v>0.36460943939374652</c:v>
                </c:pt>
                <c:pt idx="61">
                  <c:v>0</c:v>
                </c:pt>
                <c:pt idx="62">
                  <c:v>0.35704495685517929</c:v>
                </c:pt>
                <c:pt idx="63">
                  <c:v>0</c:v>
                </c:pt>
                <c:pt idx="64">
                  <c:v>0</c:v>
                </c:pt>
                <c:pt idx="65">
                  <c:v>0.34836622226691233</c:v>
                </c:pt>
                <c:pt idx="66">
                  <c:v>0</c:v>
                </c:pt>
                <c:pt idx="67">
                  <c:v>0.34144908414653402</c:v>
                </c:pt>
                <c:pt idx="68">
                  <c:v>0</c:v>
                </c:pt>
                <c:pt idx="69">
                  <c:v>0</c:v>
                </c:pt>
                <c:pt idx="70">
                  <c:v>0.32811609016112836</c:v>
                </c:pt>
                <c:pt idx="71">
                  <c:v>0</c:v>
                </c:pt>
                <c:pt idx="72">
                  <c:v>0</c:v>
                </c:pt>
                <c:pt idx="73">
                  <c:v>0.31719760188104451</c:v>
                </c:pt>
                <c:pt idx="74">
                  <c:v>0</c:v>
                </c:pt>
                <c:pt idx="75">
                  <c:v>0.30378159977653102</c:v>
                </c:pt>
                <c:pt idx="76">
                  <c:v>0</c:v>
                </c:pt>
                <c:pt idx="77">
                  <c:v>0</c:v>
                </c:pt>
                <c:pt idx="78">
                  <c:v>0.28869735665348978</c:v>
                </c:pt>
                <c:pt idx="79">
                  <c:v>0</c:v>
                </c:pt>
                <c:pt idx="80">
                  <c:v>0.27438018761629013</c:v>
                </c:pt>
                <c:pt idx="81">
                  <c:v>0</c:v>
                </c:pt>
                <c:pt idx="82">
                  <c:v>0</c:v>
                </c:pt>
                <c:pt idx="83">
                  <c:v>0.25796537378583151</c:v>
                </c:pt>
                <c:pt idx="84">
                  <c:v>0</c:v>
                </c:pt>
                <c:pt idx="85">
                  <c:v>0</c:v>
                </c:pt>
                <c:pt idx="86">
                  <c:v>0.24292424106191979</c:v>
                </c:pt>
                <c:pt idx="87">
                  <c:v>0</c:v>
                </c:pt>
                <c:pt idx="88">
                  <c:v>0.22986740709881093</c:v>
                </c:pt>
                <c:pt idx="89">
                  <c:v>0</c:v>
                </c:pt>
                <c:pt idx="90">
                  <c:v>0</c:v>
                </c:pt>
                <c:pt idx="91">
                  <c:v>0.21383489687195614</c:v>
                </c:pt>
                <c:pt idx="92">
                  <c:v>0</c:v>
                </c:pt>
                <c:pt idx="93">
                  <c:v>0.19848487234920068</c:v>
                </c:pt>
                <c:pt idx="94">
                  <c:v>0</c:v>
                </c:pt>
                <c:pt idx="95">
                  <c:v>0</c:v>
                </c:pt>
                <c:pt idx="96">
                  <c:v>0.1845843450317273</c:v>
                </c:pt>
                <c:pt idx="97">
                  <c:v>0</c:v>
                </c:pt>
                <c:pt idx="98">
                  <c:v>0.16792129958295668</c:v>
                </c:pt>
                <c:pt idx="99">
                  <c:v>0</c:v>
                </c:pt>
                <c:pt idx="100">
                  <c:v>0</c:v>
                </c:pt>
                <c:pt idx="101">
                  <c:v>0.1537797118059909</c:v>
                </c:pt>
                <c:pt idx="102">
                  <c:v>0</c:v>
                </c:pt>
                <c:pt idx="103">
                  <c:v>0</c:v>
                </c:pt>
                <c:pt idx="104">
                  <c:v>0.13985685741149431</c:v>
                </c:pt>
                <c:pt idx="105">
                  <c:v>0</c:v>
                </c:pt>
                <c:pt idx="106">
                  <c:v>0.12610798836843254</c:v>
                </c:pt>
                <c:pt idx="107">
                  <c:v>0</c:v>
                </c:pt>
                <c:pt idx="108">
                  <c:v>0</c:v>
                </c:pt>
                <c:pt idx="109">
                  <c:v>0.11394034680662821</c:v>
                </c:pt>
                <c:pt idx="110">
                  <c:v>0</c:v>
                </c:pt>
                <c:pt idx="111">
                  <c:v>0.10291172517323954</c:v>
                </c:pt>
                <c:pt idx="112">
                  <c:v>0</c:v>
                </c:pt>
                <c:pt idx="113">
                  <c:v>0</c:v>
                </c:pt>
                <c:pt idx="114">
                  <c:v>9.2968644877330933E-2</c:v>
                </c:pt>
                <c:pt idx="115">
                  <c:v>0</c:v>
                </c:pt>
                <c:pt idx="116">
                  <c:v>8.3209949416992599E-2</c:v>
                </c:pt>
                <c:pt idx="117">
                  <c:v>0</c:v>
                </c:pt>
                <c:pt idx="118">
                  <c:v>0</c:v>
                </c:pt>
                <c:pt idx="119">
                  <c:v>7.6032599931532371E-2</c:v>
                </c:pt>
                <c:pt idx="120">
                  <c:v>0</c:v>
                </c:pt>
                <c:pt idx="121">
                  <c:v>0</c:v>
                </c:pt>
                <c:pt idx="122">
                  <c:v>6.9378875424610825E-2</c:v>
                </c:pt>
                <c:pt idx="123">
                  <c:v>0</c:v>
                </c:pt>
                <c:pt idx="124">
                  <c:v>6.1946102300466023E-2</c:v>
                </c:pt>
                <c:pt idx="125">
                  <c:v>0</c:v>
                </c:pt>
                <c:pt idx="126">
                  <c:v>0</c:v>
                </c:pt>
                <c:pt idx="127">
                  <c:v>5.5198182666678065E-2</c:v>
                </c:pt>
                <c:pt idx="128">
                  <c:v>0</c:v>
                </c:pt>
                <c:pt idx="129">
                  <c:v>4.937378311954066E-2</c:v>
                </c:pt>
                <c:pt idx="130">
                  <c:v>0</c:v>
                </c:pt>
                <c:pt idx="131">
                  <c:v>0</c:v>
                </c:pt>
                <c:pt idx="132">
                  <c:v>4.2771132909579561E-2</c:v>
                </c:pt>
                <c:pt idx="133">
                  <c:v>0</c:v>
                </c:pt>
                <c:pt idx="134">
                  <c:v>3.6594720733692472E-2</c:v>
                </c:pt>
                <c:pt idx="135">
                  <c:v>0</c:v>
                </c:pt>
                <c:pt idx="136">
                  <c:v>0</c:v>
                </c:pt>
                <c:pt idx="137">
                  <c:v>3.0692888317467772E-2</c:v>
                </c:pt>
                <c:pt idx="138">
                  <c:v>0</c:v>
                </c:pt>
                <c:pt idx="139">
                  <c:v>0</c:v>
                </c:pt>
                <c:pt idx="140">
                  <c:v>2.477349047367616E-2</c:v>
                </c:pt>
                <c:pt idx="141">
                  <c:v>0</c:v>
                </c:pt>
                <c:pt idx="142">
                  <c:v>1.9892549442401982E-2</c:v>
                </c:pt>
                <c:pt idx="143">
                  <c:v>0</c:v>
                </c:pt>
                <c:pt idx="144">
                  <c:v>0</c:v>
                </c:pt>
                <c:pt idx="145">
                  <c:v>1.5509672771939207E-2</c:v>
                </c:pt>
                <c:pt idx="146">
                  <c:v>0</c:v>
                </c:pt>
                <c:pt idx="147">
                  <c:v>1.1890673154331472E-2</c:v>
                </c:pt>
                <c:pt idx="148">
                  <c:v>0</c:v>
                </c:pt>
                <c:pt idx="149">
                  <c:v>0</c:v>
                </c:pt>
                <c:pt idx="150">
                  <c:v>8.7665460799368818E-3</c:v>
                </c:pt>
                <c:pt idx="151">
                  <c:v>0</c:v>
                </c:pt>
                <c:pt idx="152">
                  <c:v>6.3807510868347534E-3</c:v>
                </c:pt>
                <c:pt idx="153">
                  <c:v>0</c:v>
                </c:pt>
                <c:pt idx="154">
                  <c:v>0</c:v>
                </c:pt>
                <c:pt idx="155">
                  <c:v>4.3972398496549599E-3</c:v>
                </c:pt>
                <c:pt idx="156">
                  <c:v>0</c:v>
                </c:pt>
                <c:pt idx="157">
                  <c:v>0</c:v>
                </c:pt>
                <c:pt idx="158">
                  <c:v>3.1416820711850425E-3</c:v>
                </c:pt>
                <c:pt idx="159">
                  <c:v>0</c:v>
                </c:pt>
                <c:pt idx="160">
                  <c:v>1.8390345523642711E-3</c:v>
                </c:pt>
                <c:pt idx="161">
                  <c:v>0</c:v>
                </c:pt>
                <c:pt idx="162">
                  <c:v>0</c:v>
                </c:pt>
                <c:pt idx="163">
                  <c:v>1.0655872621026733E-3</c:v>
                </c:pt>
                <c:pt idx="164">
                  <c:v>0</c:v>
                </c:pt>
                <c:pt idx="165">
                  <c:v>5.7150745790086465E-4</c:v>
                </c:pt>
                <c:pt idx="166">
                  <c:v>0</c:v>
                </c:pt>
                <c:pt idx="167">
                  <c:v>0</c:v>
                </c:pt>
                <c:pt idx="168">
                  <c:v>3.5758787877017808E-4</c:v>
                </c:pt>
                <c:pt idx="169">
                  <c:v>0</c:v>
                </c:pt>
                <c:pt idx="170">
                  <c:v>2.4823683370025324E-4</c:v>
                </c:pt>
                <c:pt idx="171">
                  <c:v>0</c:v>
                </c:pt>
                <c:pt idx="172">
                  <c:v>0</c:v>
                </c:pt>
                <c:pt idx="173">
                  <c:v>1.628296360055383E-4</c:v>
                </c:pt>
                <c:pt idx="174">
                  <c:v>0</c:v>
                </c:pt>
                <c:pt idx="175">
                  <c:v>0</c:v>
                </c:pt>
                <c:pt idx="176">
                  <c:v>9.418469608993998E-5</c:v>
                </c:pt>
                <c:pt idx="177">
                  <c:v>0</c:v>
                </c:pt>
                <c:pt idx="178">
                  <c:v>3.5918378756930988E-5</c:v>
                </c:pt>
                <c:pt idx="179">
                  <c:v>0</c:v>
                </c:pt>
                <c:pt idx="180">
                  <c:v>0</c:v>
                </c:pt>
                <c:pt idx="181">
                  <c:v>1.1176576982155234E-5</c:v>
                </c:pt>
                <c:pt idx="182">
                  <c:v>0</c:v>
                </c:pt>
                <c:pt idx="183">
                  <c:v>3.191817598263651E-6</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 , 78)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82.992439358383365</c:v>
                </c:pt>
              </c:numCache>
            </c:numRef>
          </c:xVal>
          <c:yVal>
            <c:numRef>
              <c:f>info!$W$20:$W$21</c:f>
              <c:numCache>
                <c:formatCode>General</c:formatCode>
                <c:ptCount val="2"/>
                <c:pt idx="0">
                  <c:v>50</c:v>
                </c:pt>
                <c:pt idx="1">
                  <c:v>78.033042502311005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67.594499999999996</c:v>
                      </c:pt>
                    </c:numCache>
                  </c:numRef>
                </c:xVal>
                <c:yVal>
                  <c:numRef>
                    <c:extLst>
                      <c:ext uri="{02D57815-91ED-43cb-92C2-25804820EDAC}">
                        <c15:formulaRef>
                          <c15:sqref>info!$W$18</c15:sqref>
                        </c15:formulaRef>
                      </c:ext>
                    </c:extLst>
                    <c:numCache>
                      <c:formatCode>General</c:formatCode>
                      <c:ptCount val="1"/>
                      <c:pt idx="0">
                        <c:v>65.105199999999996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 , 78)
낙천적인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82.992439358383365</c:v>
                </c:pt>
              </c:numCache>
            </c:numRef>
          </c:xVal>
          <c:yVal>
            <c:numRef>
              <c:f>info!$W$20:$W$21</c:f>
              <c:numCache>
                <c:formatCode>General</c:formatCode>
                <c:ptCount val="2"/>
                <c:pt idx="0">
                  <c:v>50</c:v>
                </c:pt>
                <c:pt idx="1">
                  <c:v>78.033042502311005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45.854100000000003</c:v>
                </c:pt>
                <c:pt idx="1">
                  <c:v>21.336500000000001</c:v>
                </c:pt>
                <c:pt idx="2">
                  <c:v>12.329700000000001</c:v>
                </c:pt>
                <c:pt idx="3">
                  <c:v>26.289000000000001</c:v>
                </c:pt>
                <c:pt idx="4">
                  <c:v>75.656800000000004</c:v>
                </c:pt>
                <c:pt idx="5">
                  <c:v>74.990300000000005</c:v>
                </c:pt>
                <c:pt idx="6">
                  <c:v>42.384799999999998</c:v>
                </c:pt>
                <c:pt idx="7">
                  <c:v>75.219099999999997</c:v>
                </c:pt>
                <c:pt idx="8">
                  <c:v>24.5715</c:v>
                </c:pt>
                <c:pt idx="9">
                  <c:v>44.019199999999998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0.5247048509540595</c:v>
                </c:pt>
                <c:pt idx="1">
                  <c:v>0.20696531601393237</c:v>
                </c:pt>
                <c:pt idx="2">
                  <c:v>0.26832983303200814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3.6308659659965774E-4</c:v>
                </c:pt>
                <c:pt idx="22">
                  <c:v>0</c:v>
                </c:pt>
                <c:pt idx="23">
                  <c:v>0</c:v>
                </c:pt>
                <c:pt idx="24">
                  <c:v>5.3650083425879733E-4</c:v>
                </c:pt>
                <c:pt idx="25">
                  <c:v>0</c:v>
                </c:pt>
                <c:pt idx="26">
                  <c:v>4.8014088511907638E-3</c:v>
                </c:pt>
                <c:pt idx="27">
                  <c:v>0</c:v>
                </c:pt>
                <c:pt idx="28">
                  <c:v>0</c:v>
                </c:pt>
                <c:pt idx="29">
                  <c:v>3.0455918408953129E-3</c:v>
                </c:pt>
                <c:pt idx="30">
                  <c:v>0</c:v>
                </c:pt>
                <c:pt idx="31">
                  <c:v>7.4839183874930932E-3</c:v>
                </c:pt>
                <c:pt idx="32">
                  <c:v>0</c:v>
                </c:pt>
                <c:pt idx="33">
                  <c:v>0</c:v>
                </c:pt>
                <c:pt idx="34">
                  <c:v>7.6302221649954668E-3</c:v>
                </c:pt>
                <c:pt idx="35">
                  <c:v>0</c:v>
                </c:pt>
                <c:pt idx="36">
                  <c:v>0</c:v>
                </c:pt>
                <c:pt idx="37">
                  <c:v>4.5846410541168399E-3</c:v>
                </c:pt>
                <c:pt idx="38">
                  <c:v>0</c:v>
                </c:pt>
                <c:pt idx="39">
                  <c:v>6.1995890403609586E-3</c:v>
                </c:pt>
                <c:pt idx="40">
                  <c:v>0</c:v>
                </c:pt>
                <c:pt idx="41">
                  <c:v>0</c:v>
                </c:pt>
                <c:pt idx="42">
                  <c:v>4.1890414339594301E-3</c:v>
                </c:pt>
                <c:pt idx="43">
                  <c:v>0</c:v>
                </c:pt>
                <c:pt idx="44">
                  <c:v>3.2298423224048113E-3</c:v>
                </c:pt>
                <c:pt idx="45">
                  <c:v>0</c:v>
                </c:pt>
                <c:pt idx="46">
                  <c:v>0</c:v>
                </c:pt>
                <c:pt idx="47">
                  <c:v>3.5604126764417119E-3</c:v>
                </c:pt>
                <c:pt idx="48">
                  <c:v>0</c:v>
                </c:pt>
                <c:pt idx="49">
                  <c:v>1.2599614792401003E-2</c:v>
                </c:pt>
                <c:pt idx="50">
                  <c:v>0</c:v>
                </c:pt>
                <c:pt idx="51">
                  <c:v>0</c:v>
                </c:pt>
                <c:pt idx="52">
                  <c:v>5.8852532015687287E-3</c:v>
                </c:pt>
                <c:pt idx="53">
                  <c:v>0</c:v>
                </c:pt>
                <c:pt idx="54">
                  <c:v>0</c:v>
                </c:pt>
                <c:pt idx="55">
                  <c:v>4.5250304464223446E-3</c:v>
                </c:pt>
                <c:pt idx="56">
                  <c:v>0</c:v>
                </c:pt>
                <c:pt idx="57">
                  <c:v>1.1299029469990826E-2</c:v>
                </c:pt>
                <c:pt idx="58">
                  <c:v>0</c:v>
                </c:pt>
                <c:pt idx="59">
                  <c:v>0</c:v>
                </c:pt>
                <c:pt idx="60">
                  <c:v>1.1624202625635084E-2</c:v>
                </c:pt>
                <c:pt idx="61">
                  <c:v>0</c:v>
                </c:pt>
                <c:pt idx="62">
                  <c:v>1.2485822965454712E-2</c:v>
                </c:pt>
                <c:pt idx="63">
                  <c:v>0</c:v>
                </c:pt>
                <c:pt idx="64">
                  <c:v>0</c:v>
                </c:pt>
                <c:pt idx="65">
                  <c:v>2.499879287312292E-2</c:v>
                </c:pt>
                <c:pt idx="66">
                  <c:v>0</c:v>
                </c:pt>
                <c:pt idx="67">
                  <c:v>2.7209820111270273E-2</c:v>
                </c:pt>
                <c:pt idx="68">
                  <c:v>0</c:v>
                </c:pt>
                <c:pt idx="69">
                  <c:v>0</c:v>
                </c:pt>
                <c:pt idx="70">
                  <c:v>2.6424007339331413E-2</c:v>
                </c:pt>
                <c:pt idx="71">
                  <c:v>0</c:v>
                </c:pt>
                <c:pt idx="72">
                  <c:v>0</c:v>
                </c:pt>
                <c:pt idx="73">
                  <c:v>2.1573825197298183E-2</c:v>
                </c:pt>
                <c:pt idx="74">
                  <c:v>0</c:v>
                </c:pt>
                <c:pt idx="75">
                  <c:v>2.3795689752297566E-2</c:v>
                </c:pt>
                <c:pt idx="76">
                  <c:v>0</c:v>
                </c:pt>
                <c:pt idx="77">
                  <c:v>0</c:v>
                </c:pt>
                <c:pt idx="78">
                  <c:v>8.6246801113775737E-2</c:v>
                </c:pt>
                <c:pt idx="79">
                  <c:v>0</c:v>
                </c:pt>
                <c:pt idx="80">
                  <c:v>0.14998739223039492</c:v>
                </c:pt>
                <c:pt idx="81">
                  <c:v>0</c:v>
                </c:pt>
                <c:pt idx="82">
                  <c:v>0</c:v>
                </c:pt>
                <c:pt idx="83">
                  <c:v>0.25891315660995856</c:v>
                </c:pt>
                <c:pt idx="84">
                  <c:v>0</c:v>
                </c:pt>
                <c:pt idx="85">
                  <c:v>0</c:v>
                </c:pt>
                <c:pt idx="86">
                  <c:v>0.37641756932932036</c:v>
                </c:pt>
                <c:pt idx="87">
                  <c:v>0</c:v>
                </c:pt>
                <c:pt idx="88">
                  <c:v>0.48701828931343999</c:v>
                </c:pt>
                <c:pt idx="89">
                  <c:v>0</c:v>
                </c:pt>
                <c:pt idx="90">
                  <c:v>0</c:v>
                </c:pt>
                <c:pt idx="91">
                  <c:v>0.57792942868026165</c:v>
                </c:pt>
                <c:pt idx="92">
                  <c:v>0</c:v>
                </c:pt>
                <c:pt idx="93">
                  <c:v>0.59567687627754262</c:v>
                </c:pt>
                <c:pt idx="94">
                  <c:v>0</c:v>
                </c:pt>
                <c:pt idx="95">
                  <c:v>0</c:v>
                </c:pt>
                <c:pt idx="96">
                  <c:v>0.5643505925651715</c:v>
                </c:pt>
                <c:pt idx="97">
                  <c:v>0</c:v>
                </c:pt>
                <c:pt idx="98">
                  <c:v>0.513078817337561</c:v>
                </c:pt>
                <c:pt idx="99">
                  <c:v>0</c:v>
                </c:pt>
                <c:pt idx="100">
                  <c:v>0</c:v>
                </c:pt>
                <c:pt idx="101">
                  <c:v>0.55793404258743629</c:v>
                </c:pt>
                <c:pt idx="102">
                  <c:v>0</c:v>
                </c:pt>
                <c:pt idx="103">
                  <c:v>0</c:v>
                </c:pt>
                <c:pt idx="104">
                  <c:v>0.55958646515695343</c:v>
                </c:pt>
                <c:pt idx="105">
                  <c:v>0</c:v>
                </c:pt>
                <c:pt idx="106">
                  <c:v>0.60706142398051433</c:v>
                </c:pt>
                <c:pt idx="107">
                  <c:v>0</c:v>
                </c:pt>
                <c:pt idx="108">
                  <c:v>0</c:v>
                </c:pt>
                <c:pt idx="109">
                  <c:v>0.63978797487030103</c:v>
                </c:pt>
                <c:pt idx="110">
                  <c:v>0</c:v>
                </c:pt>
                <c:pt idx="111">
                  <c:v>0.61655748874689509</c:v>
                </c:pt>
                <c:pt idx="112">
                  <c:v>0</c:v>
                </c:pt>
                <c:pt idx="113">
                  <c:v>0</c:v>
                </c:pt>
                <c:pt idx="114">
                  <c:v>0.63145075190591926</c:v>
                </c:pt>
                <c:pt idx="115">
                  <c:v>0</c:v>
                </c:pt>
                <c:pt idx="116">
                  <c:v>0.60877286164179989</c:v>
                </c:pt>
                <c:pt idx="117">
                  <c:v>0</c:v>
                </c:pt>
                <c:pt idx="118">
                  <c:v>0</c:v>
                </c:pt>
                <c:pt idx="119">
                  <c:v>0.67540626525674252</c:v>
                </c:pt>
                <c:pt idx="120">
                  <c:v>0</c:v>
                </c:pt>
                <c:pt idx="121">
                  <c:v>0</c:v>
                </c:pt>
                <c:pt idx="122">
                  <c:v>0.78388673394387132</c:v>
                </c:pt>
                <c:pt idx="123">
                  <c:v>0</c:v>
                </c:pt>
                <c:pt idx="124">
                  <c:v>0.83381350157999501</c:v>
                </c:pt>
                <c:pt idx="125">
                  <c:v>0</c:v>
                </c:pt>
                <c:pt idx="126">
                  <c:v>0</c:v>
                </c:pt>
                <c:pt idx="127">
                  <c:v>0.8499246216327867</c:v>
                </c:pt>
                <c:pt idx="128">
                  <c:v>0</c:v>
                </c:pt>
                <c:pt idx="129">
                  <c:v>0.94529837493897317</c:v>
                </c:pt>
                <c:pt idx="130">
                  <c:v>0</c:v>
                </c:pt>
                <c:pt idx="131">
                  <c:v>0</c:v>
                </c:pt>
                <c:pt idx="132">
                  <c:v>1</c:v>
                </c:pt>
                <c:pt idx="133">
                  <c:v>0</c:v>
                </c:pt>
                <c:pt idx="134">
                  <c:v>0.9651328107815208</c:v>
                </c:pt>
                <c:pt idx="135">
                  <c:v>0</c:v>
                </c:pt>
                <c:pt idx="136">
                  <c:v>0</c:v>
                </c:pt>
                <c:pt idx="137">
                  <c:v>0.92804450810921024</c:v>
                </c:pt>
                <c:pt idx="138">
                  <c:v>0</c:v>
                </c:pt>
                <c:pt idx="139">
                  <c:v>0</c:v>
                </c:pt>
                <c:pt idx="140">
                  <c:v>0.90233538813152858</c:v>
                </c:pt>
                <c:pt idx="141">
                  <c:v>0</c:v>
                </c:pt>
                <c:pt idx="142">
                  <c:v>0.88845611154925341</c:v>
                </c:pt>
                <c:pt idx="143">
                  <c:v>0</c:v>
                </c:pt>
                <c:pt idx="144">
                  <c:v>0</c:v>
                </c:pt>
                <c:pt idx="145">
                  <c:v>0.83499916842370703</c:v>
                </c:pt>
                <c:pt idx="146">
                  <c:v>0</c:v>
                </c:pt>
                <c:pt idx="147">
                  <c:v>0.82145252235867228</c:v>
                </c:pt>
                <c:pt idx="148">
                  <c:v>0</c:v>
                </c:pt>
                <c:pt idx="149">
                  <c:v>0</c:v>
                </c:pt>
                <c:pt idx="150">
                  <c:v>0.73788178740617949</c:v>
                </c:pt>
                <c:pt idx="151">
                  <c:v>0</c:v>
                </c:pt>
                <c:pt idx="152">
                  <c:v>0.62671881454775669</c:v>
                </c:pt>
                <c:pt idx="153">
                  <c:v>0</c:v>
                </c:pt>
                <c:pt idx="154">
                  <c:v>0</c:v>
                </c:pt>
                <c:pt idx="155">
                  <c:v>0.51358849313010679</c:v>
                </c:pt>
                <c:pt idx="156">
                  <c:v>0</c:v>
                </c:pt>
                <c:pt idx="157">
                  <c:v>0</c:v>
                </c:pt>
                <c:pt idx="158">
                  <c:v>0.46014979103292508</c:v>
                </c:pt>
                <c:pt idx="159">
                  <c:v>0</c:v>
                </c:pt>
                <c:pt idx="160">
                  <c:v>0.40348671892184795</c:v>
                </c:pt>
                <c:pt idx="161">
                  <c:v>0</c:v>
                </c:pt>
                <c:pt idx="162">
                  <c:v>0</c:v>
                </c:pt>
                <c:pt idx="163">
                  <c:v>0.39971458155617434</c:v>
                </c:pt>
                <c:pt idx="164">
                  <c:v>0</c:v>
                </c:pt>
                <c:pt idx="165">
                  <c:v>0.39304909519134301</c:v>
                </c:pt>
                <c:pt idx="166">
                  <c:v>0</c:v>
                </c:pt>
                <c:pt idx="167">
                  <c:v>0</c:v>
                </c:pt>
                <c:pt idx="168">
                  <c:v>0.30233163262568874</c:v>
                </c:pt>
                <c:pt idx="169">
                  <c:v>0</c:v>
                </c:pt>
                <c:pt idx="170">
                  <c:v>0</c:v>
                </c:pt>
                <c:pt idx="171">
                  <c:v>0.27175645008127985</c:v>
                </c:pt>
                <c:pt idx="172">
                  <c:v>0</c:v>
                </c:pt>
                <c:pt idx="173">
                  <c:v>0.22724887737200433</c:v>
                </c:pt>
                <c:pt idx="174">
                  <c:v>0</c:v>
                </c:pt>
                <c:pt idx="175">
                  <c:v>0</c:v>
                </c:pt>
                <c:pt idx="176">
                  <c:v>0.1913140514933501</c:v>
                </c:pt>
                <c:pt idx="177">
                  <c:v>0</c:v>
                </c:pt>
                <c:pt idx="178">
                  <c:v>0.16337791655266024</c:v>
                </c:pt>
                <c:pt idx="179">
                  <c:v>0</c:v>
                </c:pt>
                <c:pt idx="180">
                  <c:v>0</c:v>
                </c:pt>
                <c:pt idx="181">
                  <c:v>0.12619143422768025</c:v>
                </c:pt>
                <c:pt idx="182">
                  <c:v>0</c:v>
                </c:pt>
                <c:pt idx="183">
                  <c:v>0.10510534193880672</c:v>
                </c:pt>
                <c:pt idx="184">
                  <c:v>0</c:v>
                </c:pt>
                <c:pt idx="185">
                  <c:v>0</c:v>
                </c:pt>
                <c:pt idx="186">
                  <c:v>6.8081419366607124E-2</c:v>
                </c:pt>
                <c:pt idx="187">
                  <c:v>0</c:v>
                </c:pt>
                <c:pt idx="188">
                  <c:v>0</c:v>
                </c:pt>
                <c:pt idx="189">
                  <c:v>4.5299072390057565E-2</c:v>
                </c:pt>
                <c:pt idx="190">
                  <c:v>0</c:v>
                </c:pt>
                <c:pt idx="191">
                  <c:v>2.3947465838309378E-2</c:v>
                </c:pt>
                <c:pt idx="192">
                  <c:v>0</c:v>
                </c:pt>
                <c:pt idx="193">
                  <c:v>0</c:v>
                </c:pt>
                <c:pt idx="194">
                  <c:v>1.5444732366558831E-2</c:v>
                </c:pt>
                <c:pt idx="195">
                  <c:v>0</c:v>
                </c:pt>
                <c:pt idx="196">
                  <c:v>8.0800244644380417E-3</c:v>
                </c:pt>
                <c:pt idx="197">
                  <c:v>0</c:v>
                </c:pt>
                <c:pt idx="198">
                  <c:v>0</c:v>
                </c:pt>
                <c:pt idx="199">
                  <c:v>4.0481402198580419E-3</c:v>
                </c:pt>
                <c:pt idx="200">
                  <c:v>0</c:v>
                </c:pt>
                <c:pt idx="201">
                  <c:v>5.0290193301250584E-3</c:v>
                </c:pt>
                <c:pt idx="202">
                  <c:v>0</c:v>
                </c:pt>
                <c:pt idx="203">
                  <c:v>0</c:v>
                </c:pt>
                <c:pt idx="204">
                  <c:v>2.3085791848406327E-3</c:v>
                </c:pt>
                <c:pt idx="205">
                  <c:v>0</c:v>
                </c:pt>
                <c:pt idx="206">
                  <c:v>0</c:v>
                </c:pt>
                <c:pt idx="207">
                  <c:v>9.5378045312860473E-4</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extLst xmlns:c15="http://schemas.microsoft.com/office/drawing/2012/chart"/>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6.0867000000000004</c:v>
                </c:pt>
              </c:numCache>
            </c:numRef>
          </c:xVal>
          <c:yVal>
            <c:numRef>
              <c:f>[0]!FT_PH01</c:f>
              <c:numCache>
                <c:formatCode>0.00</c:formatCode>
                <c:ptCount val="1"/>
                <c:pt idx="0">
                  <c:v>55.603100000000005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6.0867000000000004</c:v>
                </c:pt>
              </c:numCache>
            </c:numRef>
          </c:xVal>
          <c:yVal>
            <c:numRef>
              <c:f>[0]!FT_PH02</c:f>
              <c:numCache>
                <c:formatCode>0.00</c:formatCode>
                <c:ptCount val="1"/>
                <c:pt idx="0">
                  <c:v>55.603100000000005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6.0867000000000004</c:v>
                </c:pt>
              </c:numCache>
            </c:numRef>
          </c:xVal>
          <c:yVal>
            <c:numRef>
              <c:f>[0]!FT_PH03</c:f>
              <c:numCache>
                <c:formatCode>0.00</c:formatCode>
                <c:ptCount val="1"/>
                <c:pt idx="0">
                  <c:v>55.603100000000005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6.0867000000000004</c:v>
                </c:pt>
              </c:numCache>
            </c:numRef>
          </c:xVal>
          <c:yVal>
            <c:numRef>
              <c:f>[0]!FT_PH04</c:f>
              <c:numCache>
                <c:formatCode>0.00</c:formatCode>
                <c:ptCount val="1"/>
                <c:pt idx="0">
                  <c:v>55.603100000000005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6.0867000000000004</c:v>
                </c:pt>
              </c:numCache>
            </c:numRef>
          </c:xVal>
          <c:yVal>
            <c:numRef>
              <c:f>[0]!FT_PH05</c:f>
              <c:numCache>
                <c:formatCode>0.00</c:formatCode>
                <c:ptCount val="1"/>
                <c:pt idx="0">
                  <c:v>55.603100000000005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6.0867000000000004</c:v>
                </c:pt>
              </c:numCache>
            </c:numRef>
          </c:xVal>
          <c:yVal>
            <c:numRef>
              <c:f>[0]!FT_PH06</c:f>
              <c:numCache>
                <c:formatCode>0.00</c:formatCode>
                <c:ptCount val="1"/>
                <c:pt idx="0">
                  <c:v>55.603100000000005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6.0867000000000004</c:v>
                </c:pt>
              </c:numCache>
            </c:numRef>
          </c:xVal>
          <c:yVal>
            <c:numRef>
              <c:f>[0]!FT_PH07</c:f>
              <c:numCache>
                <c:formatCode>0.00</c:formatCode>
                <c:ptCount val="1"/>
                <c:pt idx="0">
                  <c:v>55.603100000000005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6.0867000000000004</c:v>
                </c:pt>
              </c:numCache>
            </c:numRef>
          </c:xVal>
          <c:yVal>
            <c:numRef>
              <c:f>[0]!FT_PH08</c:f>
              <c:numCache>
                <c:formatCode>0.00</c:formatCode>
                <c:ptCount val="1"/>
                <c:pt idx="0">
                  <c:v>55.603100000000005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6.0867000000000004</c:v>
                </c:pt>
              </c:numCache>
            </c:numRef>
          </c:xVal>
          <c:yVal>
            <c:numRef>
              <c:f>[0]!FT_PH09</c:f>
              <c:numCache>
                <c:formatCode>0.00</c:formatCode>
                <c:ptCount val="1"/>
                <c:pt idx="0">
                  <c:v>55.603100000000005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6.0867000000000004</c:v>
                </c:pt>
              </c:numCache>
            </c:numRef>
          </c:xVal>
          <c:yVal>
            <c:numRef>
              <c:f>[0]!FT_PH10</c:f>
              <c:numCache>
                <c:formatCode>0.00</c:formatCode>
                <c:ptCount val="1"/>
                <c:pt idx="0">
                  <c:v>55.603100000000005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6.0867000000000004</c:v>
                </c:pt>
              </c:numCache>
            </c:numRef>
          </c:xVal>
          <c:yVal>
            <c:numRef>
              <c:f>[0]!FT_PH11</c:f>
              <c:numCache>
                <c:formatCode>0.00</c:formatCode>
                <c:ptCount val="1"/>
                <c:pt idx="0">
                  <c:v>55.603100000000005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6.0867000000000004</c:v>
                </c:pt>
              </c:numCache>
            </c:numRef>
          </c:xVal>
          <c:yVal>
            <c:numRef>
              <c:f>[0]!FT_PH12</c:f>
              <c:numCache>
                <c:formatCode>0.00</c:formatCode>
                <c:ptCount val="1"/>
                <c:pt idx="0">
                  <c:v>55.603100000000005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6.0867000000000004</c:v>
                </c:pt>
              </c:numCache>
            </c:numRef>
          </c:xVal>
          <c:yVal>
            <c:numRef>
              <c:f>[0]!FT_PH13</c:f>
              <c:numCache>
                <c:formatCode>0.00</c:formatCode>
                <c:ptCount val="1"/>
                <c:pt idx="0">
                  <c:v>55.603100000000005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6.0867000000000004</c:v>
                </c:pt>
              </c:numCache>
            </c:numRef>
          </c:xVal>
          <c:yVal>
            <c:numRef>
              <c:f>[0]!FT_PH14</c:f>
              <c:numCache>
                <c:formatCode>0.00</c:formatCode>
                <c:ptCount val="1"/>
                <c:pt idx="0">
                  <c:v>55.603100000000005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6.0867000000000004</c:v>
                </c:pt>
              </c:numCache>
            </c:numRef>
          </c:xVal>
          <c:yVal>
            <c:numRef>
              <c:f>[0]!FT_PH15</c:f>
              <c:numCache>
                <c:formatCode>0.00</c:formatCode>
                <c:ptCount val="1"/>
                <c:pt idx="0">
                  <c:v>55.603100000000005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6.0867000000000004</c:v>
                </c:pt>
              </c:numCache>
            </c:numRef>
          </c:xVal>
          <c:yVal>
            <c:numRef>
              <c:f>[0]!FT_PH16</c:f>
              <c:numCache>
                <c:formatCode>0.00</c:formatCode>
                <c:ptCount val="1"/>
                <c:pt idx="0">
                  <c:v>55.603100000000005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6.0867000000000004</c:v>
                </c:pt>
              </c:numCache>
            </c:numRef>
          </c:xVal>
          <c:yVal>
            <c:numRef>
              <c:f>[0]!FT_PH17</c:f>
              <c:numCache>
                <c:formatCode>0.00</c:formatCode>
                <c:ptCount val="1"/>
                <c:pt idx="0">
                  <c:v>55.603100000000005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6.0867000000000004</c:v>
                </c:pt>
              </c:numCache>
            </c:numRef>
          </c:xVal>
          <c:yVal>
            <c:numRef>
              <c:f>[0]!FT_PH18</c:f>
              <c:numCache>
                <c:formatCode>0.00</c:formatCode>
                <c:ptCount val="1"/>
                <c:pt idx="0">
                  <c:v>55.603100000000005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6.0867000000000004</c:v>
                </c:pt>
              </c:numCache>
            </c:numRef>
          </c:xVal>
          <c:yVal>
            <c:numRef>
              <c:f>[0]!FT_PH19</c:f>
              <c:numCache>
                <c:formatCode>0.00</c:formatCode>
                <c:ptCount val="1"/>
                <c:pt idx="0">
                  <c:v>55.603100000000005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6.0867000000000004</c:v>
                </c:pt>
              </c:numCache>
            </c:numRef>
          </c:xVal>
          <c:yVal>
            <c:numRef>
              <c:f>[0]!FT_PH20</c:f>
              <c:numCache>
                <c:formatCode>0.00</c:formatCode>
                <c:ptCount val="1"/>
                <c:pt idx="0">
                  <c:v>55.603100000000005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6.0867000000000004</c:v>
                </c:pt>
              </c:numCache>
            </c:numRef>
          </c:xVal>
          <c:yVal>
            <c:numRef>
              <c:f>[0]!FT_PH21</c:f>
              <c:numCache>
                <c:formatCode>0.00</c:formatCode>
                <c:ptCount val="1"/>
                <c:pt idx="0">
                  <c:v>55.603100000000005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6.0867000000000004</c:v>
                </c:pt>
              </c:numCache>
            </c:numRef>
          </c:xVal>
          <c:yVal>
            <c:numRef>
              <c:f>[0]!FT_PH22</c:f>
              <c:numCache>
                <c:formatCode>0.00</c:formatCode>
                <c:ptCount val="1"/>
                <c:pt idx="0">
                  <c:v>55.603100000000005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6.0867000000000004</c:v>
                </c:pt>
              </c:numCache>
            </c:numRef>
          </c:xVal>
          <c:yVal>
            <c:numRef>
              <c:f>[0]!FT_PH23</c:f>
              <c:numCache>
                <c:formatCode>0.00</c:formatCode>
                <c:ptCount val="1"/>
                <c:pt idx="0">
                  <c:v>55.603100000000005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6.0867000000000004</c:v>
                </c:pt>
              </c:numCache>
            </c:numRef>
          </c:xVal>
          <c:yVal>
            <c:numRef>
              <c:f>[0]!FT_PH24</c:f>
              <c:numCache>
                <c:formatCode>0.00</c:formatCode>
                <c:ptCount val="1"/>
                <c:pt idx="0">
                  <c:v>55.603100000000005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6.0867000000000004</c:v>
                </c:pt>
              </c:numCache>
            </c:numRef>
          </c:xVal>
          <c:yVal>
            <c:numRef>
              <c:f>info!$H$2</c:f>
              <c:numCache>
                <c:formatCode>0.00</c:formatCode>
                <c:ptCount val="1"/>
                <c:pt idx="0">
                  <c:v>55.603100000000005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0.21726774462354917</c:v>
                </c:pt>
                <c:pt idx="1">
                  <c:v>0.35824724490133569</c:v>
                </c:pt>
                <c:pt idx="2">
                  <c:v>0.42448501047511522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[0]!FT_E</c:f>
              <c:numCache>
                <c:formatCode>0.00</c:formatCode>
                <c:ptCount val="99"/>
                <c:pt idx="0">
                  <c:v>6.0867000000000004</c:v>
                </c:pt>
                <c:pt idx="1">
                  <c:v>6.0652300000000006</c:v>
                </c:pt>
                <c:pt idx="2">
                  <c:v>6.0445000000000002</c:v>
                </c:pt>
                <c:pt idx="3">
                  <c:v>6.0248400000000002</c:v>
                </c:pt>
                <c:pt idx="4">
                  <c:v>6.0044599999999999</c:v>
                </c:pt>
                <c:pt idx="5">
                  <c:v>5.9843799999999998</c:v>
                </c:pt>
                <c:pt idx="6">
                  <c:v>5.9645200000000003</c:v>
                </c:pt>
                <c:pt idx="7">
                  <c:v>5.9450800000000008</c:v>
                </c:pt>
                <c:pt idx="8">
                  <c:v>5.9287199999999993</c:v>
                </c:pt>
                <c:pt idx="9">
                  <c:v>5.9115099999999998</c:v>
                </c:pt>
                <c:pt idx="10">
                  <c:v>5.8963099999999997</c:v>
                </c:pt>
                <c:pt idx="11">
                  <c:v>5.8809500000000003</c:v>
                </c:pt>
                <c:pt idx="12">
                  <c:v>5.8687500000000004</c:v>
                </c:pt>
                <c:pt idx="13">
                  <c:v>5.85419</c:v>
                </c:pt>
                <c:pt idx="14">
                  <c:v>5.8377999999999997</c:v>
                </c:pt>
                <c:pt idx="15">
                  <c:v>5.8204199999999995</c:v>
                </c:pt>
                <c:pt idx="16">
                  <c:v>5.8036600000000007</c:v>
                </c:pt>
                <c:pt idx="17">
                  <c:v>5.7886499999999996</c:v>
                </c:pt>
                <c:pt idx="18">
                  <c:v>5.7772900000000007</c:v>
                </c:pt>
                <c:pt idx="19">
                  <c:v>5.7671399999999995</c:v>
                </c:pt>
                <c:pt idx="20">
                  <c:v>5.7568699999999993</c:v>
                </c:pt>
                <c:pt idx="21">
                  <c:v>5.7413000000000007</c:v>
                </c:pt>
                <c:pt idx="22">
                  <c:v>5.7199599999999995</c:v>
                </c:pt>
                <c:pt idx="23">
                  <c:v>5.6962799999999998</c:v>
                </c:pt>
                <c:pt idx="24">
                  <c:v>5.66859</c:v>
                </c:pt>
                <c:pt idx="25">
                  <c:v>5.6382300000000001</c:v>
                </c:pt>
                <c:pt idx="26">
                  <c:v>5.6081199999999995</c:v>
                </c:pt>
                <c:pt idx="27">
                  <c:v>5.57761</c:v>
                </c:pt>
                <c:pt idx="28">
                  <c:v>5.54819</c:v>
                </c:pt>
                <c:pt idx="29">
                  <c:v>5.5177800000000001</c:v>
                </c:pt>
                <c:pt idx="30">
                  <c:v>5.4959199999999999</c:v>
                </c:pt>
                <c:pt idx="31">
                  <c:v>5.4634200000000002</c:v>
                </c:pt>
                <c:pt idx="32">
                  <c:v>5.4414499999999997</c:v>
                </c:pt>
                <c:pt idx="33">
                  <c:v>5.4166899999999991</c:v>
                </c:pt>
                <c:pt idx="34">
                  <c:v>5.3927700000000005</c:v>
                </c:pt>
                <c:pt idx="35">
                  <c:v>5.3702799999999993</c:v>
                </c:pt>
                <c:pt idx="36">
                  <c:v>5.3489699999999996</c:v>
                </c:pt>
                <c:pt idx="37">
                  <c:v>5.325569999999999</c:v>
                </c:pt>
                <c:pt idx="38">
                  <c:v>5.3020999999999994</c:v>
                </c:pt>
                <c:pt idx="39">
                  <c:v>5.2759999999999998</c:v>
                </c:pt>
                <c:pt idx="40">
                  <c:v>5.2462099999999996</c:v>
                </c:pt>
                <c:pt idx="41">
                  <c:v>5.2169600000000003</c:v>
                </c:pt>
                <c:pt idx="42">
                  <c:v>5.18987</c:v>
                </c:pt>
                <c:pt idx="43">
                  <c:v>5.1619599999999997</c:v>
                </c:pt>
                <c:pt idx="44">
                  <c:v>5.1349599999999995</c:v>
                </c:pt>
                <c:pt idx="45">
                  <c:v>5.1076500000000005</c:v>
                </c:pt>
                <c:pt idx="46">
                  <c:v>5.0849000000000002</c:v>
                </c:pt>
                <c:pt idx="47">
                  <c:v>5.0645600000000002</c:v>
                </c:pt>
                <c:pt idx="48">
                  <c:v>5.0452699999999995</c:v>
                </c:pt>
                <c:pt idx="49">
                  <c:v>5.0293299999999999</c:v>
                </c:pt>
                <c:pt idx="50">
                  <c:v>5.0154299999999994</c:v>
                </c:pt>
                <c:pt idx="51">
                  <c:v>5.0007900000000003</c:v>
                </c:pt>
                <c:pt idx="52">
                  <c:v>4.9850099999999999</c:v>
                </c:pt>
                <c:pt idx="53">
                  <c:v>4.9690099999999999</c:v>
                </c:pt>
                <c:pt idx="54">
                  <c:v>4.9557599999999997</c:v>
                </c:pt>
                <c:pt idx="55">
                  <c:v>4.94421</c:v>
                </c:pt>
                <c:pt idx="56">
                  <c:v>4.9343599999999999</c:v>
                </c:pt>
                <c:pt idx="57">
                  <c:v>4.9227799999999995</c:v>
                </c:pt>
                <c:pt idx="58">
                  <c:v>4.9098100000000002</c:v>
                </c:pt>
                <c:pt idx="59">
                  <c:v>4.8985899999999996</c:v>
                </c:pt>
                <c:pt idx="60">
                  <c:v>4.8887599999999996</c:v>
                </c:pt>
                <c:pt idx="61">
                  <c:v>4.8788299999999998</c:v>
                </c:pt>
                <c:pt idx="62">
                  <c:v>4.8726399999999996</c:v>
                </c:pt>
                <c:pt idx="63">
                  <c:v>4.8678799999999995</c:v>
                </c:pt>
                <c:pt idx="64">
                  <c:v>4.8649399999999998</c:v>
                </c:pt>
                <c:pt idx="65">
                  <c:v>4.8641899999999998</c:v>
                </c:pt>
                <c:pt idx="66">
                  <c:v>4.8622399999999999</c:v>
                </c:pt>
                <c:pt idx="67">
                  <c:v>4.8571599999999995</c:v>
                </c:pt>
                <c:pt idx="68">
                  <c:v>4.8522499999999997</c:v>
                </c:pt>
                <c:pt idx="69">
                  <c:v>4.84389</c:v>
                </c:pt>
                <c:pt idx="70">
                  <c:v>4.8332199999999998</c:v>
                </c:pt>
                <c:pt idx="71">
                  <c:v>4.8221299999999996</c:v>
                </c:pt>
                <c:pt idx="72">
                  <c:v>4.8108399999999998</c:v>
                </c:pt>
                <c:pt idx="73">
                  <c:v>4.8014200000000002</c:v>
                </c:pt>
                <c:pt idx="74">
                  <c:v>4.7931600000000003</c:v>
                </c:pt>
                <c:pt idx="75">
                  <c:v>4.7889499999999998</c:v>
                </c:pt>
                <c:pt idx="76">
                  <c:v>4.7853599999999998</c:v>
                </c:pt>
                <c:pt idx="77">
                  <c:v>4.7839200000000002</c:v>
                </c:pt>
                <c:pt idx="78">
                  <c:v>4.7831400000000004</c:v>
                </c:pt>
                <c:pt idx="79">
                  <c:v>4.7812400000000004</c:v>
                </c:pt>
                <c:pt idx="80">
                  <c:v>4.7787899999999999</c:v>
                </c:pt>
                <c:pt idx="81">
                  <c:v>4.7735599999999998</c:v>
                </c:pt>
                <c:pt idx="82">
                  <c:v>4.7672400000000001</c:v>
                </c:pt>
                <c:pt idx="83">
                  <c:v>4.7628300000000001</c:v>
                </c:pt>
                <c:pt idx="84">
                  <c:v>4.7553700000000001</c:v>
                </c:pt>
                <c:pt idx="85">
                  <c:v>4.7457700000000003</c:v>
                </c:pt>
                <c:pt idx="86">
                  <c:v>4.7375499999999997</c:v>
                </c:pt>
                <c:pt idx="87">
                  <c:v>4.7271400000000003</c:v>
                </c:pt>
                <c:pt idx="88">
                  <c:v>4.7172999999999998</c:v>
                </c:pt>
                <c:pt idx="89">
                  <c:v>4.7077499999999999</c:v>
                </c:pt>
                <c:pt idx="90">
                  <c:v>4.6972300000000002</c:v>
                </c:pt>
                <c:pt idx="91">
                  <c:v>4.6876899999999999</c:v>
                </c:pt>
                <c:pt idx="92">
                  <c:v>4.6829999999999998</c:v>
                </c:pt>
                <c:pt idx="93">
                  <c:v>4.67476</c:v>
                </c:pt>
                <c:pt idx="94">
                  <c:v>4.67211</c:v>
                </c:pt>
                <c:pt idx="95">
                  <c:v>4.6718700000000002</c:v>
                </c:pt>
                <c:pt idx="96">
                  <c:v>4.6720100000000002</c:v>
                </c:pt>
                <c:pt idx="97">
                  <c:v>4.68546</c:v>
                </c:pt>
                <c:pt idx="98">
                  <c:v>4.7013500000000006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6.0867000000000004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6.0867000000000004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6.0867000000000004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6.0867000000000004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6.0867000000000004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6.0867000000000004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6.0867000000000004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6.0867000000000004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6.0867000000000004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6.0867000000000004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6.0867000000000004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6.0867000000000004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6.0867000000000004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6.0867000000000004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6.0867000000000004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6.0867000000000004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6.0867000000000004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6.0867000000000004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6.0867000000000004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6.0867000000000004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6.0867000000000004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6.0867000000000004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6.0867000000000004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6.0867000000000004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0.34576400000000002</c:v>
                </c:pt>
                <c:pt idx="2">
                  <c:v>0.75883900000000004</c:v>
                </c:pt>
                <c:pt idx="3">
                  <c:v>1.1589700000000001</c:v>
                </c:pt>
                <c:pt idx="4">
                  <c:v>1.58382</c:v>
                </c:pt>
                <c:pt idx="5">
                  <c:v>1.9840599999999999</c:v>
                </c:pt>
                <c:pt idx="6">
                  <c:v>2.4165299999999998</c:v>
                </c:pt>
                <c:pt idx="7">
                  <c:v>2.7850600000000001</c:v>
                </c:pt>
                <c:pt idx="8">
                  <c:v>3.2112400000000001</c:v>
                </c:pt>
                <c:pt idx="9">
                  <c:v>3.6028699999999998</c:v>
                </c:pt>
                <c:pt idx="10">
                  <c:v>4.0286600000000004</c:v>
                </c:pt>
                <c:pt idx="11">
                  <c:v>4.4253900000000002</c:v>
                </c:pt>
                <c:pt idx="12">
                  <c:v>4.8353999999999999</c:v>
                </c:pt>
                <c:pt idx="13">
                  <c:v>5.2273300000000003</c:v>
                </c:pt>
                <c:pt idx="14">
                  <c:v>5.6361699999999999</c:v>
                </c:pt>
                <c:pt idx="15">
                  <c:v>6.04617</c:v>
                </c:pt>
                <c:pt idx="16">
                  <c:v>6.4478200000000001</c:v>
                </c:pt>
                <c:pt idx="17">
                  <c:v>6.8586499999999999</c:v>
                </c:pt>
                <c:pt idx="18">
                  <c:v>7.2613000000000003</c:v>
                </c:pt>
                <c:pt idx="19">
                  <c:v>7.6951999999999998</c:v>
                </c:pt>
                <c:pt idx="20">
                  <c:v>8.0772300000000001</c:v>
                </c:pt>
                <c:pt idx="21">
                  <c:v>8.4951000000000008</c:v>
                </c:pt>
                <c:pt idx="22">
                  <c:v>8.8840699999999995</c:v>
                </c:pt>
                <c:pt idx="23">
                  <c:v>9.3017500000000002</c:v>
                </c:pt>
                <c:pt idx="24">
                  <c:v>9.7068200000000004</c:v>
                </c:pt>
                <c:pt idx="25">
                  <c:v>10.1098</c:v>
                </c:pt>
                <c:pt idx="26">
                  <c:v>10.525499999999999</c:v>
                </c:pt>
                <c:pt idx="27">
                  <c:v>10.920999999999999</c:v>
                </c:pt>
                <c:pt idx="28">
                  <c:v>11.3264</c:v>
                </c:pt>
                <c:pt idx="29">
                  <c:v>11.7332</c:v>
                </c:pt>
                <c:pt idx="30">
                  <c:v>12.1305</c:v>
                </c:pt>
                <c:pt idx="31">
                  <c:v>12.544499999999999</c:v>
                </c:pt>
                <c:pt idx="32">
                  <c:v>12.948</c:v>
                </c:pt>
                <c:pt idx="33">
                  <c:v>13.3672</c:v>
                </c:pt>
                <c:pt idx="34">
                  <c:v>13.7491</c:v>
                </c:pt>
                <c:pt idx="35">
                  <c:v>14.169600000000001</c:v>
                </c:pt>
                <c:pt idx="36">
                  <c:v>14.571999999999999</c:v>
                </c:pt>
                <c:pt idx="37">
                  <c:v>14.9762</c:v>
                </c:pt>
                <c:pt idx="38">
                  <c:v>15.386100000000001</c:v>
                </c:pt>
                <c:pt idx="39">
                  <c:v>15.794600000000001</c:v>
                </c:pt>
                <c:pt idx="40">
                  <c:v>16.2209</c:v>
                </c:pt>
                <c:pt idx="41">
                  <c:v>16.604900000000001</c:v>
                </c:pt>
                <c:pt idx="42">
                  <c:v>17.0365</c:v>
                </c:pt>
                <c:pt idx="43">
                  <c:v>17.417999999999999</c:v>
                </c:pt>
                <c:pt idx="44">
                  <c:v>17.8507</c:v>
                </c:pt>
                <c:pt idx="45">
                  <c:v>18.2256</c:v>
                </c:pt>
                <c:pt idx="46">
                  <c:v>18.641500000000001</c:v>
                </c:pt>
                <c:pt idx="47">
                  <c:v>19.031700000000001</c:v>
                </c:pt>
                <c:pt idx="48">
                  <c:v>19.444700000000001</c:v>
                </c:pt>
                <c:pt idx="49">
                  <c:v>19.906199999999998</c:v>
                </c:pt>
                <c:pt idx="50">
                  <c:v>20.2622</c:v>
                </c:pt>
                <c:pt idx="51">
                  <c:v>20.6769</c:v>
                </c:pt>
                <c:pt idx="52">
                  <c:v>21.0748</c:v>
                </c:pt>
                <c:pt idx="53">
                  <c:v>21.4878</c:v>
                </c:pt>
                <c:pt idx="54">
                  <c:v>21.8903</c:v>
                </c:pt>
                <c:pt idx="55">
                  <c:v>22.334499999999998</c:v>
                </c:pt>
                <c:pt idx="56">
                  <c:v>22.695</c:v>
                </c:pt>
                <c:pt idx="57">
                  <c:v>23.102</c:v>
                </c:pt>
                <c:pt idx="58">
                  <c:v>23.520099999999999</c:v>
                </c:pt>
                <c:pt idx="59">
                  <c:v>23.9176</c:v>
                </c:pt>
                <c:pt idx="60">
                  <c:v>24.341200000000001</c:v>
                </c:pt>
                <c:pt idx="61">
                  <c:v>24.744199999999999</c:v>
                </c:pt>
                <c:pt idx="62">
                  <c:v>25.1294</c:v>
                </c:pt>
                <c:pt idx="63">
                  <c:v>25.538499999999999</c:v>
                </c:pt>
                <c:pt idx="64">
                  <c:v>25.948599999999999</c:v>
                </c:pt>
                <c:pt idx="65">
                  <c:v>26.363900000000001</c:v>
                </c:pt>
                <c:pt idx="66">
                  <c:v>26.764600000000002</c:v>
                </c:pt>
                <c:pt idx="67">
                  <c:v>27.187999999999999</c:v>
                </c:pt>
                <c:pt idx="68">
                  <c:v>27.5763</c:v>
                </c:pt>
                <c:pt idx="69">
                  <c:v>27.9924</c:v>
                </c:pt>
                <c:pt idx="70">
                  <c:v>28.386700000000001</c:v>
                </c:pt>
                <c:pt idx="71">
                  <c:v>28.819900000000001</c:v>
                </c:pt>
                <c:pt idx="72">
                  <c:v>29.2041</c:v>
                </c:pt>
                <c:pt idx="73">
                  <c:v>29.609400000000001</c:v>
                </c:pt>
                <c:pt idx="74">
                  <c:v>30.035499999999999</c:v>
                </c:pt>
                <c:pt idx="75">
                  <c:v>30.419499999999999</c:v>
                </c:pt>
                <c:pt idx="76">
                  <c:v>30.8292</c:v>
                </c:pt>
                <c:pt idx="77">
                  <c:v>31.241700000000002</c:v>
                </c:pt>
                <c:pt idx="78">
                  <c:v>31.6403</c:v>
                </c:pt>
                <c:pt idx="79">
                  <c:v>32.047499999999999</c:v>
                </c:pt>
                <c:pt idx="80">
                  <c:v>32.464399999999998</c:v>
                </c:pt>
                <c:pt idx="81">
                  <c:v>32.847700000000003</c:v>
                </c:pt>
                <c:pt idx="82">
                  <c:v>33.263500000000001</c:v>
                </c:pt>
                <c:pt idx="83">
                  <c:v>33.6676</c:v>
                </c:pt>
                <c:pt idx="84">
                  <c:v>34.080199999999998</c:v>
                </c:pt>
                <c:pt idx="85">
                  <c:v>34.4878</c:v>
                </c:pt>
                <c:pt idx="86">
                  <c:v>34.8964</c:v>
                </c:pt>
                <c:pt idx="87">
                  <c:v>35.307000000000002</c:v>
                </c:pt>
                <c:pt idx="88">
                  <c:v>35.6995</c:v>
                </c:pt>
                <c:pt idx="89">
                  <c:v>36.098599999999998</c:v>
                </c:pt>
                <c:pt idx="90">
                  <c:v>36.516500000000001</c:v>
                </c:pt>
                <c:pt idx="91">
                  <c:v>36.911499999999997</c:v>
                </c:pt>
                <c:pt idx="92">
                  <c:v>37.327500000000001</c:v>
                </c:pt>
                <c:pt idx="93">
                  <c:v>37.731499999999997</c:v>
                </c:pt>
                <c:pt idx="94">
                  <c:v>38.127099999999999</c:v>
                </c:pt>
                <c:pt idx="95">
                  <c:v>38.532499999999999</c:v>
                </c:pt>
                <c:pt idx="96">
                  <c:v>38.946899999999999</c:v>
                </c:pt>
                <c:pt idx="97">
                  <c:v>39.357999999999997</c:v>
                </c:pt>
                <c:pt idx="98">
                  <c:v>39.785299999999999</c:v>
                </c:pt>
              </c:numCache>
            </c:numRef>
          </c:xVal>
          <c:yVal>
            <c:numRef>
              <c:f>[0]!FT_PH</c:f>
              <c:numCache>
                <c:formatCode>0.00</c:formatCode>
                <c:ptCount val="99"/>
                <c:pt idx="0">
                  <c:v>55.603100000000005</c:v>
                </c:pt>
                <c:pt idx="1">
                  <c:v>55.996599999999994</c:v>
                </c:pt>
                <c:pt idx="2">
                  <c:v>56.447299999999998</c:v>
                </c:pt>
                <c:pt idx="3">
                  <c:v>56.823399999999999</c:v>
                </c:pt>
                <c:pt idx="4">
                  <c:v>57.204200000000007</c:v>
                </c:pt>
                <c:pt idx="5">
                  <c:v>57.494599999999998</c:v>
                </c:pt>
                <c:pt idx="6">
                  <c:v>57.841900000000003</c:v>
                </c:pt>
                <c:pt idx="7">
                  <c:v>58.164000000000001</c:v>
                </c:pt>
                <c:pt idx="8">
                  <c:v>58.434100000000001</c:v>
                </c:pt>
                <c:pt idx="9">
                  <c:v>58.743199999999995</c:v>
                </c:pt>
                <c:pt idx="10">
                  <c:v>59.050899999999999</c:v>
                </c:pt>
                <c:pt idx="11">
                  <c:v>59.3444</c:v>
                </c:pt>
                <c:pt idx="12">
                  <c:v>59.617299999999993</c:v>
                </c:pt>
                <c:pt idx="13">
                  <c:v>59.821500000000007</c:v>
                </c:pt>
                <c:pt idx="14">
                  <c:v>59.849799999999995</c:v>
                </c:pt>
                <c:pt idx="15">
                  <c:v>59.7241</c:v>
                </c:pt>
                <c:pt idx="16">
                  <c:v>59.608700000000006</c:v>
                </c:pt>
                <c:pt idx="17">
                  <c:v>59.552300000000002</c:v>
                </c:pt>
                <c:pt idx="18">
                  <c:v>59.601300000000002</c:v>
                </c:pt>
                <c:pt idx="19">
                  <c:v>59.546100000000003</c:v>
                </c:pt>
                <c:pt idx="20">
                  <c:v>59.0867</c:v>
                </c:pt>
                <c:pt idx="21">
                  <c:v>58.599999999999994</c:v>
                </c:pt>
                <c:pt idx="22">
                  <c:v>58.127600000000001</c:v>
                </c:pt>
                <c:pt idx="23">
                  <c:v>57.740400000000001</c:v>
                </c:pt>
                <c:pt idx="24">
                  <c:v>57.298400000000008</c:v>
                </c:pt>
                <c:pt idx="25">
                  <c:v>56.878900000000002</c:v>
                </c:pt>
                <c:pt idx="26">
                  <c:v>56.37</c:v>
                </c:pt>
                <c:pt idx="27">
                  <c:v>55.877900000000004</c:v>
                </c:pt>
                <c:pt idx="28">
                  <c:v>55.436900000000001</c:v>
                </c:pt>
                <c:pt idx="29">
                  <c:v>54.999499999999998</c:v>
                </c:pt>
                <c:pt idx="30">
                  <c:v>54.666099999999993</c:v>
                </c:pt>
                <c:pt idx="31">
                  <c:v>53.914999999999999</c:v>
                </c:pt>
                <c:pt idx="32">
                  <c:v>53.284299999999995</c:v>
                </c:pt>
                <c:pt idx="33">
                  <c:v>52.676199999999994</c:v>
                </c:pt>
                <c:pt idx="34">
                  <c:v>52.049399999999999</c:v>
                </c:pt>
                <c:pt idx="35">
                  <c:v>51.487400000000008</c:v>
                </c:pt>
                <c:pt idx="36">
                  <c:v>50.937600000000003</c:v>
                </c:pt>
                <c:pt idx="37">
                  <c:v>50.404800000000009</c:v>
                </c:pt>
                <c:pt idx="38">
                  <c:v>49.893100000000004</c:v>
                </c:pt>
                <c:pt idx="39">
                  <c:v>49.424600000000005</c:v>
                </c:pt>
                <c:pt idx="40">
                  <c:v>49.039100000000005</c:v>
                </c:pt>
                <c:pt idx="41">
                  <c:v>48.7211</c:v>
                </c:pt>
                <c:pt idx="42">
                  <c:v>48.525700000000001</c:v>
                </c:pt>
                <c:pt idx="43">
                  <c:v>48.442399999999999</c:v>
                </c:pt>
                <c:pt idx="44">
                  <c:v>48.5032</c:v>
                </c:pt>
                <c:pt idx="45">
                  <c:v>48.735099999999996</c:v>
                </c:pt>
                <c:pt idx="46">
                  <c:v>48.945300000000003</c:v>
                </c:pt>
                <c:pt idx="47">
                  <c:v>49.159300000000002</c:v>
                </c:pt>
                <c:pt idx="48">
                  <c:v>49.427500000000002</c:v>
                </c:pt>
                <c:pt idx="49">
                  <c:v>49.652299999999997</c:v>
                </c:pt>
                <c:pt idx="50">
                  <c:v>49.840600000000002</c:v>
                </c:pt>
                <c:pt idx="51">
                  <c:v>50.016400000000004</c:v>
                </c:pt>
                <c:pt idx="52">
                  <c:v>50.164900000000003</c:v>
                </c:pt>
                <c:pt idx="53">
                  <c:v>50.266599999999997</c:v>
                </c:pt>
                <c:pt idx="54">
                  <c:v>50.355799999999995</c:v>
                </c:pt>
                <c:pt idx="55">
                  <c:v>50.472999999999999</c:v>
                </c:pt>
                <c:pt idx="56">
                  <c:v>50.580899999999993</c:v>
                </c:pt>
                <c:pt idx="57">
                  <c:v>50.7258</c:v>
                </c:pt>
                <c:pt idx="58">
                  <c:v>50.870400000000004</c:v>
                </c:pt>
                <c:pt idx="59">
                  <c:v>51.072200000000002</c:v>
                </c:pt>
                <c:pt idx="60">
                  <c:v>51.283799999999999</c:v>
                </c:pt>
                <c:pt idx="61">
                  <c:v>51.557499999999997</c:v>
                </c:pt>
                <c:pt idx="62">
                  <c:v>51.834499999999991</c:v>
                </c:pt>
                <c:pt idx="63">
                  <c:v>52.123299999999993</c:v>
                </c:pt>
                <c:pt idx="64">
                  <c:v>52.434699999999999</c:v>
                </c:pt>
                <c:pt idx="65">
                  <c:v>52.707300000000004</c:v>
                </c:pt>
                <c:pt idx="66">
                  <c:v>52.965200000000003</c:v>
                </c:pt>
                <c:pt idx="67">
                  <c:v>53.1706</c:v>
                </c:pt>
                <c:pt idx="68">
                  <c:v>53.367399999999996</c:v>
                </c:pt>
                <c:pt idx="69">
                  <c:v>53.552</c:v>
                </c:pt>
                <c:pt idx="70">
                  <c:v>53.653500000000001</c:v>
                </c:pt>
                <c:pt idx="71">
                  <c:v>53.740600000000008</c:v>
                </c:pt>
                <c:pt idx="72">
                  <c:v>53.781599999999997</c:v>
                </c:pt>
                <c:pt idx="73">
                  <c:v>53.801100000000005</c:v>
                </c:pt>
                <c:pt idx="74">
                  <c:v>53.8247</c:v>
                </c:pt>
                <c:pt idx="75">
                  <c:v>53.814799999999998</c:v>
                </c:pt>
                <c:pt idx="76">
                  <c:v>53.783899999999996</c:v>
                </c:pt>
                <c:pt idx="77">
                  <c:v>53.753700000000002</c:v>
                </c:pt>
                <c:pt idx="78">
                  <c:v>53.768599999999999</c:v>
                </c:pt>
                <c:pt idx="79">
                  <c:v>53.8033</c:v>
                </c:pt>
                <c:pt idx="80">
                  <c:v>53.828099999999999</c:v>
                </c:pt>
                <c:pt idx="81">
                  <c:v>53.914499999999997</c:v>
                </c:pt>
                <c:pt idx="82">
                  <c:v>54.05</c:v>
                </c:pt>
                <c:pt idx="83">
                  <c:v>54.197899999999997</c:v>
                </c:pt>
                <c:pt idx="84">
                  <c:v>54.379100000000001</c:v>
                </c:pt>
                <c:pt idx="85">
                  <c:v>54.551600000000001</c:v>
                </c:pt>
                <c:pt idx="86">
                  <c:v>54.678099999999993</c:v>
                </c:pt>
                <c:pt idx="87">
                  <c:v>54.818999999999996</c:v>
                </c:pt>
                <c:pt idx="88">
                  <c:v>54.908000000000001</c:v>
                </c:pt>
                <c:pt idx="89">
                  <c:v>54.919300000000007</c:v>
                </c:pt>
                <c:pt idx="90">
                  <c:v>54.946399999999997</c:v>
                </c:pt>
                <c:pt idx="91">
                  <c:v>54.995400000000004</c:v>
                </c:pt>
                <c:pt idx="92">
                  <c:v>55.027800000000006</c:v>
                </c:pt>
                <c:pt idx="93">
                  <c:v>55.144400000000005</c:v>
                </c:pt>
                <c:pt idx="94">
                  <c:v>55.164000000000001</c:v>
                </c:pt>
                <c:pt idx="95">
                  <c:v>55.210599999999999</c:v>
                </c:pt>
                <c:pt idx="96">
                  <c:v>55.134999999999998</c:v>
                </c:pt>
                <c:pt idx="97">
                  <c:v>54.990000000000009</c:v>
                </c:pt>
                <c:pt idx="98">
                  <c:v>54.764699999999998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55.603100000000005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55.603100000000005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55.603100000000005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55.603100000000005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55.603100000000005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55.603100000000005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55.603100000000005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55.603100000000005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55.603100000000005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55.603100000000005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55.603100000000005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55.603100000000005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55.603100000000005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55.603100000000005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55.603100000000005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55.603100000000005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55.603100000000005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55.603100000000005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55.603100000000005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55.603100000000005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55.603100000000005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55.603100000000005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55.603100000000005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55.603100000000005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92.53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2.2387150552504531</c:v>
                </c:pt>
                <c:pt idx="1">
                  <c:v>2.2387150552504531</c:v>
                </c:pt>
                <c:pt idx="2">
                  <c:v>-7</c:v>
                </c:pt>
              </c:numCache>
            </c:numRef>
          </c:xVal>
          <c:yVal>
            <c:numRef>
              <c:f>'R'!$I$5:$I$7</c:f>
              <c:numCache>
                <c:formatCode>0.0_ </c:formatCode>
                <c:ptCount val="3"/>
                <c:pt idx="0">
                  <c:v>0</c:v>
                </c:pt>
                <c:pt idx="1">
                  <c:v>92.527999904044108</c:v>
                </c:pt>
                <c:pt idx="2">
                  <c:v>92.527999904044108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2.2387150552504531</c:v>
                </c:pt>
              </c:numCache>
            </c:numRef>
          </c:xVal>
          <c:yVal>
            <c:numRef>
              <c:f>'R'!$I$4</c:f>
              <c:numCache>
                <c:formatCode>0.00_ </c:formatCode>
                <c:ptCount val="1"/>
                <c:pt idx="0">
                  <c:v>92.527999904044108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57.318379999999991</c:v>
                </c:pt>
                <c:pt idx="1">
                  <c:v>57.318379999999991</c:v>
                </c:pt>
                <c:pt idx="2">
                  <c:v>0</c:v>
                </c:pt>
              </c:numCache>
            </c:numRef>
          </c:xVal>
          <c:yVal>
            <c:numRef>
              <c:f>'R2'!$I$5:$I$7</c:f>
              <c:numCache>
                <c:formatCode>0.0_ </c:formatCode>
                <c:ptCount val="3"/>
                <c:pt idx="0">
                  <c:v>0</c:v>
                </c:pt>
                <c:pt idx="1">
                  <c:v>62.917033406910626</c:v>
                </c:pt>
                <c:pt idx="2">
                  <c:v>62.917033406910626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2.4512999999999998</c:v>
                </c:pt>
                <c:pt idx="1">
                  <c:v>2.4512999999999998</c:v>
                </c:pt>
                <c:pt idx="2">
                  <c:v>0</c:v>
                </c:pt>
              </c:numCache>
            </c:numRef>
          </c:xVal>
          <c:yVal>
            <c:numRef>
              <c:f>'R3'!$I$6:$I$8</c:f>
              <c:numCache>
                <c:formatCode>0.0_ </c:formatCode>
                <c:ptCount val="3"/>
                <c:pt idx="0">
                  <c:v>0</c:v>
                </c:pt>
                <c:pt idx="1">
                  <c:v>78.033042502311005</c:v>
                </c:pt>
                <c:pt idx="2">
                  <c:v>78.033042502311005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2.4512999999999998</c:v>
                </c:pt>
                <c:pt idx="1">
                  <c:v>2.4512999999999998</c:v>
                </c:pt>
                <c:pt idx="2">
                  <c:v>0</c:v>
                </c:pt>
              </c:numCache>
            </c:numRef>
          </c:xVal>
          <c:yVal>
            <c:numRef>
              <c:f>'R4'!$I$5:$I$7</c:f>
              <c:numCache>
                <c:formatCode>0.0_ </c:formatCode>
                <c:ptCount val="3"/>
                <c:pt idx="0">
                  <c:v>0</c:v>
                </c:pt>
                <c:pt idx="1">
                  <c:v>9.3626045765791019E-2</c:v>
                </c:pt>
                <c:pt idx="2">
                  <c:v>9.3626045765791019E-2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0.60601015246774548</c:v>
                </c:pt>
                <c:pt idx="1">
                  <c:v>0.23903549297301943</c:v>
                </c:pt>
                <c:pt idx="2">
                  <c:v>0.15495435455923517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0.27580536658565064</c:v>
                </c:pt>
                <c:pt idx="1">
                  <c:v>0.45476843734678701</c:v>
                </c:pt>
                <c:pt idx="2">
                  <c:v>0.26942619606756246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 , 78)
낙천적인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82.992439358383365</c:v>
                      </c:pt>
                    </c:numCache>
                  </c:numRef>
                </c:xVal>
                <c:yVal>
                  <c:numRef>
                    <c:extLst>
                      <c:ext uri="{02D57815-91ED-43cb-92C2-25804820EDAC}">
                        <c15:formulaRef>
                          <c15:sqref>info!$W$20:$W$21</c15:sqref>
                        </c15:formulaRef>
                      </c:ext>
                    </c:extLst>
                    <c:numCache>
                      <c:formatCode>General</c:formatCode>
                      <c:ptCount val="2"/>
                      <c:pt idx="0">
                        <c:v>50</c:v>
                      </c:pt>
                      <c:pt idx="1">
                        <c:v>78.033042502311005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(67.6 , 34.9)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67.594499999999996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65.105199999999996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46Yz%5e1%5e6%5e\2025-07-16%2014_19_0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46Yz%5e1%5e6%5e\2025-07-16%2014_19_0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BB9C39A-7B37-12DE-6EF8-3297AD3C9DC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E77552F-202C-E236-02B9-CFEFDEB3038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45854.597060185188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46Yz</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45854.597060185188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46Yz</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2.2387150552504531</v>
      </c>
      <c r="I20" s="862"/>
      <c r="J20" s="311" t="str">
        <f>lang!B174</f>
        <v>정보량</v>
      </c>
      <c r="K20" s="236">
        <f ca="1">info!N9</f>
        <v>54.075628282828276</v>
      </c>
      <c r="L20" s="312" t="str">
        <f>lang!B175</f>
        <v>에너지</v>
      </c>
      <c r="M20" s="863">
        <f ca="1">info!M9</f>
        <v>5.2084197979797988</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38.346299999999999</v>
      </c>
      <c r="N32" s="816"/>
      <c r="O32" s="817">
        <f>Measurement!N7</f>
        <v>45.854100000000003</v>
      </c>
      <c r="P32" s="818"/>
      <c r="Q32" s="819">
        <f>Measurement!T7</f>
        <v>51.279499999999999</v>
      </c>
      <c r="R32" s="820"/>
    </row>
    <row r="33" spans="3:18" ht="12.75" customHeight="1">
      <c r="C33" s="77"/>
      <c r="I33" s="502">
        <f>Measurement!L8</f>
        <v>2</v>
      </c>
      <c r="J33" s="139" t="str">
        <f>lang!B15</f>
        <v>스트레스</v>
      </c>
      <c r="K33" s="90" t="s">
        <v>226</v>
      </c>
      <c r="L33" s="504" t="str">
        <f>Measurement!Y8</f>
        <v>낮음</v>
      </c>
      <c r="M33" s="792">
        <f>Measurement!R8</f>
        <v>8.9670900000000007</v>
      </c>
      <c r="N33" s="793"/>
      <c r="O33" s="806">
        <f>Measurement!N8</f>
        <v>21.336500000000001</v>
      </c>
      <c r="P33" s="807"/>
      <c r="Q33" s="792">
        <f>Measurement!T8</f>
        <v>26.323599999999999</v>
      </c>
      <c r="R33" s="808"/>
    </row>
    <row r="34" spans="3:18" ht="12.75" customHeight="1">
      <c r="C34" s="77"/>
      <c r="I34" s="502">
        <f>Measurement!L9</f>
        <v>1</v>
      </c>
      <c r="J34" s="139" t="str">
        <f>lang!B16</f>
        <v>불안</v>
      </c>
      <c r="K34" s="90" t="s">
        <v>227</v>
      </c>
      <c r="L34" s="504" t="str">
        <f>Measurement!Y9</f>
        <v>매우 낮음</v>
      </c>
      <c r="M34" s="792">
        <f>Measurement!R9</f>
        <v>5.9231800000000003</v>
      </c>
      <c r="N34" s="793"/>
      <c r="O34" s="806">
        <f>Measurement!N9</f>
        <v>12.329700000000001</v>
      </c>
      <c r="P34" s="807"/>
      <c r="Q34" s="792">
        <f>Measurement!T9</f>
        <v>36.041600000000003</v>
      </c>
      <c r="R34" s="808"/>
    </row>
    <row r="35" spans="3:18" ht="12.75" customHeight="1">
      <c r="C35" s="77"/>
      <c r="I35" s="502">
        <f>Measurement!L10</f>
        <v>3</v>
      </c>
      <c r="J35" s="139" t="str">
        <f>lang!B17</f>
        <v>의심</v>
      </c>
      <c r="K35" s="90" t="s">
        <v>225</v>
      </c>
      <c r="L35" s="504" t="str">
        <f>Measurement!Y10</f>
        <v>보통</v>
      </c>
      <c r="M35" s="792">
        <f>Measurement!R10</f>
        <v>22.257200000000001</v>
      </c>
      <c r="N35" s="793"/>
      <c r="O35" s="806">
        <f>Measurement!N10</f>
        <v>26.289000000000001</v>
      </c>
      <c r="P35" s="807"/>
      <c r="Q35" s="792">
        <f>Measurement!T10</f>
        <v>32.004399999999997</v>
      </c>
      <c r="R35" s="808"/>
    </row>
    <row r="36" spans="3:18" ht="12.75" customHeight="1">
      <c r="C36" s="77"/>
      <c r="I36" s="502">
        <f>Measurement!L11</f>
        <v>4</v>
      </c>
      <c r="J36" s="139" t="str">
        <f>lang!B18</f>
        <v>밸런스</v>
      </c>
      <c r="K36" s="90" t="s">
        <v>2171</v>
      </c>
      <c r="L36" s="504" t="str">
        <f>Measurement!Y11</f>
        <v>높음</v>
      </c>
      <c r="M36" s="792">
        <f>Measurement!R11</f>
        <v>54.2654</v>
      </c>
      <c r="N36" s="793"/>
      <c r="O36" s="806">
        <f>Measurement!N11</f>
        <v>75.656800000000004</v>
      </c>
      <c r="P36" s="807"/>
      <c r="Q36" s="792">
        <f>Measurement!T11</f>
        <v>86.272000000000006</v>
      </c>
      <c r="R36" s="808"/>
    </row>
    <row r="37" spans="3:18" ht="12.75" customHeight="1">
      <c r="C37" s="77"/>
      <c r="I37" s="502">
        <f>Measurement!L12</f>
        <v>3</v>
      </c>
      <c r="J37" s="139" t="str">
        <f>lang!B19</f>
        <v>카리스마</v>
      </c>
      <c r="K37" s="90" t="s">
        <v>229</v>
      </c>
      <c r="L37" s="504" t="str">
        <f>Measurement!Y12</f>
        <v>보통</v>
      </c>
      <c r="M37" s="792">
        <f>Measurement!R12</f>
        <v>18.4665</v>
      </c>
      <c r="N37" s="793"/>
      <c r="O37" s="806">
        <f>Measurement!N12</f>
        <v>74.990300000000005</v>
      </c>
      <c r="P37" s="807"/>
      <c r="Q37" s="792">
        <f>Measurement!T12</f>
        <v>84.354699999999994</v>
      </c>
      <c r="R37" s="808"/>
    </row>
    <row r="38" spans="3:18" ht="12.75" customHeight="1">
      <c r="C38" s="77"/>
      <c r="I38" s="502">
        <f>Measurement!L13</f>
        <v>5</v>
      </c>
      <c r="J38" s="139" t="str">
        <f>lang!B20</f>
        <v>에너지</v>
      </c>
      <c r="K38" s="90" t="s">
        <v>2170</v>
      </c>
      <c r="L38" s="504" t="str">
        <f>Measurement!Y13</f>
        <v>매우 높음</v>
      </c>
      <c r="M38" s="792">
        <f>Measurement!R13</f>
        <v>37.372300000000003</v>
      </c>
      <c r="N38" s="793"/>
      <c r="O38" s="806">
        <f>Measurement!N13</f>
        <v>42.384799999999998</v>
      </c>
      <c r="P38" s="807"/>
      <c r="Q38" s="792">
        <f>Measurement!T13</f>
        <v>55.770400000000002</v>
      </c>
      <c r="R38" s="808"/>
    </row>
    <row r="39" spans="3:18" ht="12.75" customHeight="1">
      <c r="C39" s="77"/>
      <c r="I39" s="502">
        <f>Measurement!L14</f>
        <v>4</v>
      </c>
      <c r="J39" s="139" t="str">
        <f>lang!B21</f>
        <v>자기조절</v>
      </c>
      <c r="K39" s="90" t="s">
        <v>230</v>
      </c>
      <c r="L39" s="504" t="str">
        <f>Measurement!Y14</f>
        <v>높음</v>
      </c>
      <c r="M39" s="792">
        <f>Measurement!R14</f>
        <v>46.838700000000003</v>
      </c>
      <c r="N39" s="793"/>
      <c r="O39" s="806">
        <f>Measurement!N14</f>
        <v>75.219099999999997</v>
      </c>
      <c r="P39" s="807"/>
      <c r="Q39" s="792">
        <f>Measurement!T14</f>
        <v>83.458200000000005</v>
      </c>
      <c r="R39" s="808"/>
    </row>
    <row r="40" spans="3:18" ht="12.75" customHeight="1">
      <c r="C40" s="77"/>
      <c r="I40" s="502">
        <f>Measurement!L15</f>
        <v>3</v>
      </c>
      <c r="J40" s="139" t="str">
        <f>lang!B22</f>
        <v>억제</v>
      </c>
      <c r="K40" s="91" t="s">
        <v>248</v>
      </c>
      <c r="L40" s="504" t="str">
        <f>Measurement!Y15</f>
        <v>보통</v>
      </c>
      <c r="M40" s="792">
        <f>Measurement!R15</f>
        <v>18.805399999999999</v>
      </c>
      <c r="N40" s="793"/>
      <c r="O40" s="806">
        <f>Measurement!N15</f>
        <v>24.5715</v>
      </c>
      <c r="P40" s="807"/>
      <c r="Q40" s="792">
        <f>Measurement!T15</f>
        <v>34.815899999999999</v>
      </c>
      <c r="R40" s="808"/>
    </row>
    <row r="41" spans="3:18" ht="12.75" customHeight="1" thickBot="1">
      <c r="C41" s="77"/>
      <c r="I41" s="502">
        <f>Measurement!L16</f>
        <v>4</v>
      </c>
      <c r="J41" s="140" t="str">
        <f>lang!B23</f>
        <v>신경성</v>
      </c>
      <c r="K41" s="92" t="s">
        <v>231</v>
      </c>
      <c r="L41" s="504" t="str">
        <f>Measurement!Y16</f>
        <v>높음</v>
      </c>
      <c r="M41" s="794">
        <f>Measurement!R16</f>
        <v>3.1501999999999999</v>
      </c>
      <c r="N41" s="795"/>
      <c r="O41" s="796">
        <f>Measurement!N16</f>
        <v>44.019199999999998</v>
      </c>
      <c r="P41" s="797"/>
      <c r="Q41" s="794">
        <f>Measurement!T16</f>
        <v>52.557099999999998</v>
      </c>
      <c r="R41" s="798"/>
    </row>
    <row r="42" spans="3:18" ht="29.25" customHeight="1" thickBot="1">
      <c r="C42" s="77"/>
      <c r="I42" s="84"/>
      <c r="J42" s="780" t="str">
        <f>lang!B215</f>
        <v>감정변이도</v>
      </c>
      <c r="K42" s="781"/>
      <c r="L42" s="319" t="str">
        <f>info!V43</f>
        <v>보통</v>
      </c>
      <c r="M42" s="782">
        <f>info!W43</f>
        <v>19.9742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2.4512999999999998</v>
      </c>
      <c r="E44" s="249" t="s">
        <v>1072</v>
      </c>
      <c r="G44" s="289"/>
      <c r="H44" s="289"/>
      <c r="I44" s="290"/>
      <c r="J44" s="802">
        <f>info!$W$36</f>
        <v>57.318379999999991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45854.597060185188</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46Yz</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2.2387150552504531</v>
      </c>
      <c r="I20" s="862"/>
      <c r="J20" s="311" t="str">
        <f>lang!B174</f>
        <v>정보량</v>
      </c>
      <c r="K20" s="236">
        <f ca="1">info!N9</f>
        <v>54.075628282828276</v>
      </c>
      <c r="L20" s="312" t="str">
        <f>lang!B175</f>
        <v>에너지</v>
      </c>
      <c r="M20" s="863">
        <f ca="1">info!M9</f>
        <v>5.2084197979797988</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38.346299999999999</v>
      </c>
      <c r="N32" s="816"/>
      <c r="O32" s="817">
        <f>Measurement!N7</f>
        <v>45.854100000000003</v>
      </c>
      <c r="P32" s="818"/>
      <c r="Q32" s="819">
        <f>Measurement!T7</f>
        <v>51.279499999999999</v>
      </c>
      <c r="R32" s="820"/>
    </row>
    <row r="33" spans="3:18" ht="12.75" customHeight="1">
      <c r="C33" s="77"/>
      <c r="I33" s="502">
        <f>Measurement!L8</f>
        <v>2</v>
      </c>
      <c r="J33" s="139" t="str">
        <f>lang!B15</f>
        <v>스트레스</v>
      </c>
      <c r="K33" s="90" t="s">
        <v>226</v>
      </c>
      <c r="L33" s="504" t="str">
        <f>Measurement!Y8</f>
        <v>낮음</v>
      </c>
      <c r="M33" s="792">
        <f>Measurement!R8</f>
        <v>8.9670900000000007</v>
      </c>
      <c r="N33" s="793"/>
      <c r="O33" s="806">
        <f>Measurement!N8</f>
        <v>21.336500000000001</v>
      </c>
      <c r="P33" s="807"/>
      <c r="Q33" s="792">
        <f>Measurement!T8</f>
        <v>26.323599999999999</v>
      </c>
      <c r="R33" s="808"/>
    </row>
    <row r="34" spans="3:18" ht="12.75" customHeight="1">
      <c r="C34" s="77"/>
      <c r="I34" s="502">
        <f>Measurement!L9</f>
        <v>1</v>
      </c>
      <c r="J34" s="139" t="str">
        <f>lang!B16</f>
        <v>불안</v>
      </c>
      <c r="K34" s="90" t="s">
        <v>227</v>
      </c>
      <c r="L34" s="504" t="str">
        <f>Measurement!Y9</f>
        <v>매우 낮음</v>
      </c>
      <c r="M34" s="792">
        <f>Measurement!R9</f>
        <v>5.9231800000000003</v>
      </c>
      <c r="N34" s="793"/>
      <c r="O34" s="806">
        <f>Measurement!N9</f>
        <v>12.329700000000001</v>
      </c>
      <c r="P34" s="807"/>
      <c r="Q34" s="792">
        <f>Measurement!T9</f>
        <v>36.041600000000003</v>
      </c>
      <c r="R34" s="808"/>
    </row>
    <row r="35" spans="3:18" ht="12.75" customHeight="1">
      <c r="C35" s="77"/>
      <c r="I35" s="502">
        <f>Measurement!L10</f>
        <v>3</v>
      </c>
      <c r="J35" s="139" t="str">
        <f>lang!B17</f>
        <v>의심</v>
      </c>
      <c r="K35" s="90" t="s">
        <v>225</v>
      </c>
      <c r="L35" s="504" t="str">
        <f>Measurement!Y10</f>
        <v>보통</v>
      </c>
      <c r="M35" s="792">
        <f>Measurement!R10</f>
        <v>22.257200000000001</v>
      </c>
      <c r="N35" s="793"/>
      <c r="O35" s="806">
        <f>Measurement!N10</f>
        <v>26.289000000000001</v>
      </c>
      <c r="P35" s="807"/>
      <c r="Q35" s="792">
        <f>Measurement!T10</f>
        <v>32.004399999999997</v>
      </c>
      <c r="R35" s="808"/>
    </row>
    <row r="36" spans="3:18" ht="12.75" customHeight="1">
      <c r="C36" s="77"/>
      <c r="I36" s="502">
        <f>Measurement!L11</f>
        <v>4</v>
      </c>
      <c r="J36" s="139" t="str">
        <f>lang!B18</f>
        <v>밸런스</v>
      </c>
      <c r="K36" s="90" t="s">
        <v>2171</v>
      </c>
      <c r="L36" s="504" t="str">
        <f>Measurement!Y11</f>
        <v>높음</v>
      </c>
      <c r="M36" s="792">
        <f>Measurement!R11</f>
        <v>54.2654</v>
      </c>
      <c r="N36" s="793"/>
      <c r="O36" s="806">
        <f>Measurement!N11</f>
        <v>75.656800000000004</v>
      </c>
      <c r="P36" s="807"/>
      <c r="Q36" s="792">
        <f>Measurement!T11</f>
        <v>86.272000000000006</v>
      </c>
      <c r="R36" s="808"/>
    </row>
    <row r="37" spans="3:18" ht="12.75" customHeight="1">
      <c r="C37" s="77"/>
      <c r="I37" s="502">
        <f>Measurement!L12</f>
        <v>3</v>
      </c>
      <c r="J37" s="139" t="str">
        <f>lang!B19</f>
        <v>카리스마</v>
      </c>
      <c r="K37" s="90" t="s">
        <v>229</v>
      </c>
      <c r="L37" s="504" t="str">
        <f>Measurement!Y12</f>
        <v>보통</v>
      </c>
      <c r="M37" s="792">
        <f>Measurement!R12</f>
        <v>18.4665</v>
      </c>
      <c r="N37" s="793"/>
      <c r="O37" s="806">
        <f>Measurement!N12</f>
        <v>74.990300000000005</v>
      </c>
      <c r="P37" s="807"/>
      <c r="Q37" s="792">
        <f>Measurement!T12</f>
        <v>84.354699999999994</v>
      </c>
      <c r="R37" s="808"/>
    </row>
    <row r="38" spans="3:18" ht="12.75" customHeight="1">
      <c r="C38" s="77"/>
      <c r="I38" s="502">
        <f>Measurement!L13</f>
        <v>5</v>
      </c>
      <c r="J38" s="139" t="str">
        <f>lang!B20</f>
        <v>에너지</v>
      </c>
      <c r="K38" s="90" t="s">
        <v>2170</v>
      </c>
      <c r="L38" s="504" t="str">
        <f>Measurement!Y13</f>
        <v>매우 높음</v>
      </c>
      <c r="M38" s="792">
        <f>Measurement!R13</f>
        <v>37.372300000000003</v>
      </c>
      <c r="N38" s="793"/>
      <c r="O38" s="806">
        <f>Measurement!N13</f>
        <v>42.384799999999998</v>
      </c>
      <c r="P38" s="807"/>
      <c r="Q38" s="792">
        <f>Measurement!T13</f>
        <v>55.770400000000002</v>
      </c>
      <c r="R38" s="808"/>
    </row>
    <row r="39" spans="3:18" ht="12.75" customHeight="1">
      <c r="C39" s="77"/>
      <c r="I39" s="502">
        <f>Measurement!L14</f>
        <v>4</v>
      </c>
      <c r="J39" s="139" t="str">
        <f>lang!B21</f>
        <v>자기조절</v>
      </c>
      <c r="K39" s="90" t="s">
        <v>230</v>
      </c>
      <c r="L39" s="504" t="str">
        <f>Measurement!Y14</f>
        <v>높음</v>
      </c>
      <c r="M39" s="792">
        <f>Measurement!R14</f>
        <v>46.838700000000003</v>
      </c>
      <c r="N39" s="793"/>
      <c r="O39" s="806">
        <f>Measurement!N14</f>
        <v>75.219099999999997</v>
      </c>
      <c r="P39" s="807"/>
      <c r="Q39" s="792">
        <f>Measurement!T14</f>
        <v>83.458200000000005</v>
      </c>
      <c r="R39" s="808"/>
    </row>
    <row r="40" spans="3:18" ht="12.75" customHeight="1">
      <c r="C40" s="77"/>
      <c r="I40" s="502">
        <f>Measurement!L15</f>
        <v>3</v>
      </c>
      <c r="J40" s="139" t="str">
        <f>lang!B22</f>
        <v>억제</v>
      </c>
      <c r="K40" s="91" t="s">
        <v>248</v>
      </c>
      <c r="L40" s="504" t="str">
        <f>Measurement!Y15</f>
        <v>보통</v>
      </c>
      <c r="M40" s="792">
        <f>Measurement!R15</f>
        <v>18.805399999999999</v>
      </c>
      <c r="N40" s="793"/>
      <c r="O40" s="806">
        <f>Measurement!N15</f>
        <v>24.5715</v>
      </c>
      <c r="P40" s="807"/>
      <c r="Q40" s="792">
        <f>Measurement!T15</f>
        <v>34.815899999999999</v>
      </c>
      <c r="R40" s="808"/>
    </row>
    <row r="41" spans="3:18" ht="12.75" customHeight="1" thickBot="1">
      <c r="C41" s="77"/>
      <c r="I41" s="502">
        <f>Measurement!L16</f>
        <v>4</v>
      </c>
      <c r="J41" s="140" t="str">
        <f>lang!B23</f>
        <v>신경성</v>
      </c>
      <c r="K41" s="92" t="s">
        <v>231</v>
      </c>
      <c r="L41" s="504" t="str">
        <f>Measurement!Y16</f>
        <v>높음</v>
      </c>
      <c r="M41" s="794">
        <f>Measurement!R16</f>
        <v>3.1501999999999999</v>
      </c>
      <c r="N41" s="795"/>
      <c r="O41" s="796">
        <f>Measurement!N16</f>
        <v>44.019199999999998</v>
      </c>
      <c r="P41" s="797"/>
      <c r="Q41" s="794">
        <f>Measurement!T16</f>
        <v>52.557099999999998</v>
      </c>
      <c r="R41" s="798"/>
    </row>
    <row r="42" spans="3:18" ht="29.25" customHeight="1" thickBot="1">
      <c r="C42" s="77"/>
      <c r="I42" s="84"/>
      <c r="J42" s="780" t="str">
        <f>lang!B215</f>
        <v>감정변이도</v>
      </c>
      <c r="K42" s="781"/>
      <c r="L42" s="319" t="str">
        <f>info!V43</f>
        <v>보통</v>
      </c>
      <c r="M42" s="782">
        <f>info!W43</f>
        <v>19.9742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2.4512999999999998</v>
      </c>
      <c r="E44" s="249" t="s">
        <v>1195</v>
      </c>
      <c r="G44" s="289"/>
      <c r="H44" s="289"/>
      <c r="I44" s="290"/>
      <c r="J44" s="802">
        <f>info!$W$36</f>
        <v>57.318379999999991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45854.597060185188</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46Yz</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(0,0.11)</v>
      </c>
      <c r="S18" s="966"/>
      <c r="T18" s="967"/>
    </row>
    <row r="19" spans="2:22" ht="16.5" customHeight="1">
      <c r="C19" s="136" t="str">
        <f>lang!B328</f>
        <v>최소값</v>
      </c>
      <c r="D19" s="105">
        <f ca="1">info!M7</f>
        <v>48.442399999999999</v>
      </c>
      <c r="E19" s="94" t="str">
        <f>lang!B330</f>
        <v>평균값</v>
      </c>
      <c r="F19" s="971">
        <f ca="1">info!N9</f>
        <v>54.075628282828276</v>
      </c>
      <c r="G19" s="972"/>
      <c r="H19" s="912" t="str">
        <f>lang!B329</f>
        <v>최대값</v>
      </c>
      <c r="I19" s="913"/>
      <c r="J19" s="105">
        <f ca="1">info!M8</f>
        <v>59.849799999999995</v>
      </c>
      <c r="K19" s="137" t="str">
        <f>lang!B328</f>
        <v>최소값</v>
      </c>
      <c r="L19" s="105">
        <f ca="1">info!M5</f>
        <v>4.6718700000000002</v>
      </c>
      <c r="M19" s="94" t="str">
        <f>lang!B330</f>
        <v>평균값</v>
      </c>
      <c r="N19" s="971">
        <f ca="1">info!M9</f>
        <v>5.2084197979797988</v>
      </c>
      <c r="O19" s="972">
        <f>info!T9</f>
        <v>1</v>
      </c>
      <c r="P19" s="94" t="str">
        <f>lang!B329</f>
        <v>최대값</v>
      </c>
      <c r="Q19" s="105">
        <f ca="1">info!M6</f>
        <v>6.0867000000000004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10.431595465987758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2.4513039999999999</v>
      </c>
      <c r="N47" s="986"/>
      <c r="O47" s="451"/>
      <c r="P47" s="491" t="s">
        <v>1101</v>
      </c>
      <c r="Q47" s="987">
        <f>hist!M3</f>
        <v>0.87155800000000005</v>
      </c>
      <c r="R47" s="986"/>
      <c r="S47" s="451"/>
      <c r="T47" s="452"/>
    </row>
    <row r="48" spans="3:20" ht="18" customHeight="1">
      <c r="C48" s="931"/>
      <c r="D48" s="910"/>
      <c r="E48" s="910"/>
      <c r="F48" s="355"/>
      <c r="G48" s="355"/>
      <c r="H48" s="356"/>
      <c r="I48" s="356"/>
      <c r="J48" s="951"/>
      <c r="K48" s="951"/>
      <c r="L48" s="936"/>
      <c r="M48" s="988">
        <f>hist!N2</f>
        <v>0.49058299999999999</v>
      </c>
      <c r="N48" s="989"/>
      <c r="O48" s="451"/>
      <c r="P48" s="491" t="s">
        <v>1102</v>
      </c>
      <c r="Q48" s="986">
        <f>hist!N3</f>
        <v>0.63368500000000005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0.240672</v>
      </c>
      <c r="N49" s="991"/>
      <c r="O49" s="453"/>
      <c r="P49" s="454" t="s">
        <v>1588</v>
      </c>
      <c r="Q49" s="992">
        <f>hist!O3</f>
        <v>0.401557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vision^46Yz^1^6^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1</v>
      </c>
      <c r="CI4" t="s">
        <v>1570</v>
      </c>
      <c r="CJ4" s="426">
        <f>DK17*100</f>
        <v>82.992439358383365</v>
      </c>
      <c r="CK4" s="422">
        <f>info!W21</f>
        <v>78.033042502311005</v>
      </c>
      <c r="CL4">
        <f>100-M!B19*100</f>
        <v>65.105199999999996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45854.597060185188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19.9742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45.854100000000003</v>
      </c>
      <c r="O7" s="48">
        <f>M!C5*1</f>
        <v>2.8999199999999998</v>
      </c>
      <c r="P7" s="48">
        <f>M!D5*1</f>
        <v>6.3242399999999996</v>
      </c>
      <c r="Q7" s="48">
        <f>M!E5*1</f>
        <v>20</v>
      </c>
      <c r="R7" s="48">
        <f>IF(M!B5="","",M!F5*1)</f>
        <v>38.346299999999999</v>
      </c>
      <c r="S7" s="48">
        <f>M!G5*1</f>
        <v>50</v>
      </c>
      <c r="T7" s="48">
        <f>IF(M!B5="","",M!H5*1)</f>
        <v>51.279499999999999</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1.1099438892339459</v>
      </c>
      <c r="AI7" s="98">
        <v>2.5024862326905418E-2</v>
      </c>
      <c r="AJ7" s="98">
        <v>-7.7313821231156016E-2</v>
      </c>
      <c r="AK7" s="98">
        <v>0.50012525104428274</v>
      </c>
      <c r="AL7" s="98">
        <v>-8.545985269705475E-2</v>
      </c>
      <c r="AM7" s="98">
        <f>$AH7*AI7+$AH8*AI8+$AH9*AI9+$AH10*AI10+$AH11*AI11+$AH12*AI12+$AH13*AI13+$AH14*AI14+$AH15*AI15+$AH16*AI16</f>
        <v>2.1200699374418028</v>
      </c>
      <c r="AN7" s="98">
        <f t="shared" ref="AN7:AP7" si="2">$AH7*AJ7+$AH8*AJ8+$AH9*AJ9+$AH10*AJ10+$AH11*AJ11+$AH12*AJ12+$AH13*AJ13+$AH14*AJ14+$AH15*AJ15+$AH16*AJ16</f>
        <v>-2.2193819257346363</v>
      </c>
      <c r="AO7" s="98">
        <f t="shared" si="2"/>
        <v>1.7829954040674718</v>
      </c>
      <c r="AP7" s="98">
        <f t="shared" si="2"/>
        <v>0.85684810659624966</v>
      </c>
      <c r="AQ7" s="335">
        <f>IF(SUM(N7:N16)&gt;0, 0.8608*AM7+0.333*AN7+0.104*AO7+1.129*AP7,"")</f>
        <v>2.2387150552504531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45.854100000000003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293.07310389519989</v>
      </c>
      <c r="BL7" s="56">
        <f t="shared" ref="BL7:BT7" si="3">BB7*$AY7+BB8*$AY8+BB9*$AY9+BB10*$AY10+BB11*$AY11+BB12*$AY12+BB13*$AY13+BB14</f>
        <v>282.67452996920002</v>
      </c>
      <c r="BM7" s="56">
        <f t="shared" si="3"/>
        <v>267.13251925520001</v>
      </c>
      <c r="BN7" s="56">
        <f t="shared" si="3"/>
        <v>292.91892081660006</v>
      </c>
      <c r="BO7" s="56">
        <f t="shared" si="3"/>
        <v>306.56074018480001</v>
      </c>
      <c r="BP7" s="56">
        <f t="shared" si="3"/>
        <v>256.58611006500007</v>
      </c>
      <c r="BQ7" s="56">
        <f t="shared" si="3"/>
        <v>268.30002261059997</v>
      </c>
      <c r="BR7" s="56">
        <f t="shared" si="3"/>
        <v>269.1775211982</v>
      </c>
      <c r="BS7" s="56">
        <f t="shared" si="3"/>
        <v>275.81281063780006</v>
      </c>
      <c r="BT7" s="56">
        <f t="shared" si="3"/>
        <v>245.46561712339997</v>
      </c>
      <c r="BU7" s="56">
        <f>EXP(BK7)+EXP(BL7)+EXP(BM7)+EXP(BN7)+EXP(BO7)+EXP(BP7)+EXP(BQ7)+EXP(BR7)+EXP(BS7)+EXP(BT7)</f>
        <v>1.3729001419744805E+133</v>
      </c>
      <c r="BV7" s="56">
        <f>IF(SUM($AY$7:$AY$13)&gt;0,EXP(BK7)/$BU$7,"")</f>
        <v>1.3880108660532141E-6</v>
      </c>
      <c r="BW7" s="56">
        <f t="shared" ref="BW7:CE7" si="4">IF(SUM($AY$7:$AY$13)&gt;0,EXP(BL7)/$BU$7,"")</f>
        <v>4.230089831495802E-11</v>
      </c>
      <c r="BX7" s="56">
        <f t="shared" si="4"/>
        <v>7.5255821257852508E-18</v>
      </c>
      <c r="BY7" s="56">
        <f t="shared" si="4"/>
        <v>1.1896850545142708E-6</v>
      </c>
      <c r="BZ7" s="56">
        <f t="shared" si="4"/>
        <v>0.99999742226173427</v>
      </c>
      <c r="CA7" s="56">
        <f t="shared" si="4"/>
        <v>1.9783028849086587E-22</v>
      </c>
      <c r="CB7" s="56">
        <f t="shared" si="4"/>
        <v>2.4186908650940216E-17</v>
      </c>
      <c r="CC7" s="56">
        <f t="shared" si="4"/>
        <v>5.816653035771307E-17</v>
      </c>
      <c r="CD7" s="56">
        <f t="shared" si="4"/>
        <v>4.4293780411776394E-14</v>
      </c>
      <c r="CE7" s="56">
        <f t="shared" si="4"/>
        <v>2.9290316446534611E-27</v>
      </c>
      <c r="CF7" s="418" t="s">
        <v>1870</v>
      </c>
      <c r="CG7" s="221">
        <f>IF(SUM($AY$7:$AY$13)&gt;0,HLOOKUP(1,$BV$6:$CE$7,2,FALSE),"")</f>
        <v>0.99999742226173427</v>
      </c>
      <c r="CH7" s="221">
        <f>IF(SUM($AY$7:$AY$13)&gt;0,HLOOKUP(2,$BV$6:$CE$7,2,FALSE),"")</f>
        <v>1.3880108660532141E-6</v>
      </c>
      <c r="CI7" s="425" t="str">
        <f>"( "&amp;IF(CG7&lt;&gt;"",ROUND(CG7*100,0),"")&amp;" , "&amp;IF(CH7&lt;&gt;"",ROUND(CH7*100,0),"")&amp;" )"</f>
        <v>( 100 , 0 )</v>
      </c>
      <c r="CJ7" s="420">
        <f>CG7</f>
        <v>0.99999742226173427</v>
      </c>
      <c r="CK7" s="420">
        <f>CH7</f>
        <v>1.3880108660532141E-6</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45.854100000000003</v>
      </c>
      <c r="DJ7" s="265">
        <f>(DI7-$DB7)/$DC7</f>
        <v>1.3925947151717315</v>
      </c>
      <c r="DK7" s="266">
        <f>IF(DH7=1,(DJ7-DF7)^2,0)</f>
        <v>6.0624743290356407E-2</v>
      </c>
      <c r="DL7" s="267">
        <f>IF(DH7=1,(DJ7-DG7)^2,0)</f>
        <v>0.40926532529743948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21.336500000000001</v>
      </c>
      <c r="O8" s="48">
        <f>M!C6*1</f>
        <v>5.2728099999999998</v>
      </c>
      <c r="P8" s="48">
        <f>M!D6*1</f>
        <v>24.712700000000002</v>
      </c>
      <c r="Q8" s="48">
        <f>M!E6*1</f>
        <v>20</v>
      </c>
      <c r="R8" s="48">
        <f>IF(M!B6="","",M!F6*1)</f>
        <v>8.9670900000000007</v>
      </c>
      <c r="S8" s="48">
        <f>M!G6*1</f>
        <v>40</v>
      </c>
      <c r="T8" s="48">
        <f>IF(M!B6="","",M!H6*1)</f>
        <v>26.323599999999999</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-2.8815540335211201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21.336500000000001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21.336500000000001</v>
      </c>
      <c r="DJ8" s="265">
        <f t="shared" ref="DJ8:DJ14" si="8">(DI8-$DB8)/$DC8</f>
        <v>-1.4757976582581902</v>
      </c>
      <c r="DK8" s="273">
        <f t="shared" ref="DK8:DK14" si="9">IF(DH8=1,(DJ8-DF8)^2,0)</f>
        <v>4.6812056591802233E-5</v>
      </c>
      <c r="DL8" s="274">
        <f t="shared" ref="DL8:DL14" si="10">IF(DH8=1,(DJ8-DG8)^2,0)</f>
        <v>3.0530532596761857</v>
      </c>
    </row>
    <row r="9" spans="2:119" s="5" customFormat="1" ht="24.75" customHeight="1" thickBot="1">
      <c r="B9" s="62" t="str">
        <f>CONCATENATE(M7,"
(20 ~ 50)")</f>
        <v>적극/공격성
(20 ~ 50)</v>
      </c>
      <c r="C9" s="63">
        <f>R7</f>
        <v>38.346299999999999</v>
      </c>
      <c r="D9" s="64">
        <f>N7</f>
        <v>45.854100000000003</v>
      </c>
      <c r="E9" s="65">
        <f>T7</f>
        <v>51.279499999999999</v>
      </c>
      <c r="F9" s="65">
        <f>P7</f>
        <v>6.3242399999999996</v>
      </c>
      <c r="G9" s="66" t="str">
        <f>CONCATENATE(M8,"
(20 ~ 40)")</f>
        <v>스트레스
(20 ~ 40)</v>
      </c>
      <c r="H9" s="63">
        <f>R8</f>
        <v>8.9670900000000007</v>
      </c>
      <c r="I9" s="67">
        <f>N8</f>
        <v>21.336500000000001</v>
      </c>
      <c r="J9" s="63">
        <f>T8</f>
        <v>26.323599999999999</v>
      </c>
      <c r="K9" s="68">
        <f>P8</f>
        <v>24.712700000000002</v>
      </c>
      <c r="L9" s="1">
        <f>IF(M!B7="","",IF(N9&lt;U9,1,IF(N9&lt;V9,2,IF(N9&lt;W9,3,IF(N9&lt;X9,4,5)))))</f>
        <v>1</v>
      </c>
      <c r="M9" s="162" t="str">
        <f>lang!B16</f>
        <v>불안</v>
      </c>
      <c r="N9" s="48">
        <f>IF(M!B7="","",M!B7*1)</f>
        <v>12.329700000000001</v>
      </c>
      <c r="O9" s="48">
        <f>M!C7*1</f>
        <v>6.1687099999999999</v>
      </c>
      <c r="P9" s="48">
        <f>M!D7*1</f>
        <v>50.031399999999998</v>
      </c>
      <c r="Q9" s="48">
        <f>M!E7*1</f>
        <v>15</v>
      </c>
      <c r="R9" s="48">
        <f>IF(M!B7="","",M!F7*1)</f>
        <v>5.9231800000000003</v>
      </c>
      <c r="S9" s="48">
        <f>M!G7*1</f>
        <v>40</v>
      </c>
      <c r="T9" s="48">
        <f>IF(M!B7="","",M!H7*1)</f>
        <v>36.041600000000003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-1.5576440031764804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12.329700000000001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12.329700000000001</v>
      </c>
      <c r="DJ9" s="265">
        <f t="shared" si="8"/>
        <v>-2.1934592393807946</v>
      </c>
      <c r="DK9" s="273">
        <f t="shared" si="9"/>
        <v>0.95115878519692731</v>
      </c>
      <c r="DL9" s="274">
        <f t="shared" si="10"/>
        <v>5.5306993180339035</v>
      </c>
      <c r="DM9"/>
      <c r="DN9"/>
    </row>
    <row r="10" spans="2:119" s="4" customFormat="1" ht="30.3" thickBot="1">
      <c r="B10" s="57" t="str">
        <f>CONCATENATE(M9,"
(15 ~ 40)")</f>
        <v>불안
(15 ~ 40)</v>
      </c>
      <c r="C10" s="17">
        <f>R9</f>
        <v>5.9231800000000003</v>
      </c>
      <c r="D10" s="41">
        <f>N9</f>
        <v>12.329700000000001</v>
      </c>
      <c r="E10" s="43">
        <f>T9</f>
        <v>36.041600000000003</v>
      </c>
      <c r="F10" s="43">
        <f>P9</f>
        <v>50.031399999999998</v>
      </c>
      <c r="G10" s="59" t="str">
        <f>CONCATENATE(M10,"
(20 ~ 50)")</f>
        <v>의심
(20 ~ 50)</v>
      </c>
      <c r="H10" s="17">
        <f>R10</f>
        <v>22.257200000000001</v>
      </c>
      <c r="I10" s="42">
        <f>N10</f>
        <v>26.289000000000001</v>
      </c>
      <c r="J10" s="17">
        <f>T10</f>
        <v>32.004399999999997</v>
      </c>
      <c r="K10" s="18">
        <f>P10</f>
        <v>9.7681400000000007</v>
      </c>
      <c r="L10" s="1">
        <f>IF(M!B8="","",IF(N10&lt;U10,1,IF(N10&lt;V10,2,IF(N10&lt;W10,3,IF(N10&lt;X10,4,5)))))</f>
        <v>3</v>
      </c>
      <c r="M10" s="162" t="str">
        <f>lang!B17</f>
        <v>의심</v>
      </c>
      <c r="N10" s="48">
        <f>IF(M!B8="","",M!B8*1)</f>
        <v>26.289000000000001</v>
      </c>
      <c r="O10" s="48">
        <f>M!C8*1</f>
        <v>2.5679500000000002</v>
      </c>
      <c r="P10" s="48">
        <f>M!D8*1</f>
        <v>9.7681400000000007</v>
      </c>
      <c r="Q10" s="48">
        <f>M!E8*1</f>
        <v>20</v>
      </c>
      <c r="R10" s="48">
        <f>IF(M!B8="","",M!F8*1)</f>
        <v>22.257200000000001</v>
      </c>
      <c r="S10" s="48">
        <f>M!G8*1</f>
        <v>50</v>
      </c>
      <c r="T10" s="48">
        <f>IF(M!B8="","",M!H8*1)</f>
        <v>32.004399999999997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-1.2294746133332988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75.656800000000004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75.656800000000004</v>
      </c>
      <c r="DJ10" s="265">
        <f t="shared" si="8"/>
        <v>1.0925517874429591</v>
      </c>
      <c r="DK10" s="273">
        <f t="shared" si="9"/>
        <v>1.822568728360189</v>
      </c>
      <c r="DL10" s="274">
        <f t="shared" si="10"/>
        <v>7.0585037559214303</v>
      </c>
      <c r="DM10"/>
      <c r="DN10"/>
    </row>
    <row r="11" spans="2:119" s="4" customFormat="1" ht="24.75" customHeight="1" thickBot="1">
      <c r="B11" s="57" t="str">
        <f>CONCATENATE(M11,"
(50 ~ 100)")</f>
        <v>밸런스
(50 ~ 100)</v>
      </c>
      <c r="C11" s="17">
        <f>R11</f>
        <v>54.2654</v>
      </c>
      <c r="D11" s="42">
        <f>N11</f>
        <v>75.656800000000004</v>
      </c>
      <c r="E11" s="17">
        <f>T11</f>
        <v>86.272000000000006</v>
      </c>
      <c r="F11" s="17">
        <f>P11</f>
        <v>7.5326899999999997</v>
      </c>
      <c r="G11" s="59" t="str">
        <f>CONCATENATE(M12,"
(40 ~ 100)")</f>
        <v>카리스마
(40 ~ 100)</v>
      </c>
      <c r="H11" s="17">
        <f>R12</f>
        <v>18.4665</v>
      </c>
      <c r="I11" s="42">
        <f>N12</f>
        <v>74.990300000000005</v>
      </c>
      <c r="J11" s="17">
        <f>T12</f>
        <v>84.354699999999994</v>
      </c>
      <c r="K11" s="18">
        <f>P12</f>
        <v>21.752500000000001</v>
      </c>
      <c r="L11" s="1">
        <f>IF(M!B9="","",IF(N11&lt;U11,1,IF(N11&lt;V11,2,IF(N11&lt;W11,3,IF(N11&lt;X11,4,5)))))</f>
        <v>4</v>
      </c>
      <c r="M11" s="162" t="str">
        <f>lang!B18</f>
        <v>밸런스</v>
      </c>
      <c r="N11" s="48">
        <f>IF(M!B9="","",M!B9*1)</f>
        <v>75.656800000000004</v>
      </c>
      <c r="O11" s="48">
        <f>M!C9*1</f>
        <v>5.6989900000000002</v>
      </c>
      <c r="P11" s="48">
        <f>M!D9*1</f>
        <v>7.5326899999999997</v>
      </c>
      <c r="Q11" s="48">
        <f>M!E9*1</f>
        <v>50</v>
      </c>
      <c r="R11" s="48">
        <f>IF(M!B9="","",M!F9*1)</f>
        <v>54.2654</v>
      </c>
      <c r="S11" s="48">
        <f>M!G9*1</f>
        <v>100</v>
      </c>
      <c r="T11" s="48">
        <f>IF(M!B9="","",M!H9*1)</f>
        <v>86.272000000000006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1.0402125418137407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74.990300000000005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74.990300000000005</v>
      </c>
      <c r="DJ11" s="265">
        <f t="shared" si="8"/>
        <v>0.62170638132768397</v>
      </c>
      <c r="DK11" s="273">
        <f t="shared" si="9"/>
        <v>0.15109916462770903</v>
      </c>
      <c r="DL11" s="274">
        <f t="shared" si="10"/>
        <v>0.99615957729962124</v>
      </c>
      <c r="DM11"/>
      <c r="DN11"/>
    </row>
    <row r="12" spans="2:119" s="4" customFormat="1" ht="24.75" customHeight="1" thickBot="1">
      <c r="B12" s="57" t="str">
        <f>CONCATENATE(M13,"
(10 ~ 50)")</f>
        <v>에너지
(10 ~ 50)</v>
      </c>
      <c r="C12" s="17">
        <f>R13</f>
        <v>37.372300000000003</v>
      </c>
      <c r="D12" s="41">
        <f>N13</f>
        <v>42.384799999999998</v>
      </c>
      <c r="E12" s="43">
        <f>T13</f>
        <v>55.770400000000002</v>
      </c>
      <c r="F12" s="43">
        <f>P13</f>
        <v>13.604699999999999</v>
      </c>
      <c r="G12" s="59" t="str">
        <f>CONCATENATE(M14,"
(50 ~ 100)")</f>
        <v>자기조절
(50 ~ 100)</v>
      </c>
      <c r="H12" s="17">
        <f>R14</f>
        <v>46.838700000000003</v>
      </c>
      <c r="I12" s="42">
        <f>N14</f>
        <v>75.219099999999997</v>
      </c>
      <c r="J12" s="17">
        <f>T14</f>
        <v>83.458200000000005</v>
      </c>
      <c r="K12" s="18">
        <f>P14</f>
        <v>12.200100000000001</v>
      </c>
      <c r="L12" s="1">
        <f>IF(M!B10="","",IF(N12&lt;U12,1,IF(N12&lt;V12,2,IF(N12&lt;W12,3,IF(N12&lt;X12,4,5)))))</f>
        <v>3</v>
      </c>
      <c r="M12" s="162" t="str">
        <f>lang!B19</f>
        <v>카리스마</v>
      </c>
      <c r="N12" s="48">
        <f>IF(M!B10="","",M!B10*1)</f>
        <v>74.990300000000005</v>
      </c>
      <c r="O12" s="48">
        <f>M!C10*1</f>
        <v>16.3123</v>
      </c>
      <c r="P12" s="48">
        <f>M!D10*1</f>
        <v>21.752500000000001</v>
      </c>
      <c r="Q12" s="48">
        <f>M!E10*1</f>
        <v>40</v>
      </c>
      <c r="R12" s="48">
        <f>IF(M!B10="","",M!F10*1)</f>
        <v>18.4665</v>
      </c>
      <c r="S12" s="48">
        <f>M!G10*1</f>
        <v>100</v>
      </c>
      <c r="T12" s="48">
        <f>IF(M!B10="","",M!H10*1)</f>
        <v>84.354699999999994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0.34667910291927179</v>
      </c>
      <c r="AI12" s="98">
        <v>0.31913434649697919</v>
      </c>
      <c r="AJ12" s="98">
        <v>3.8587997439955973E-2</v>
      </c>
      <c r="AK12" s="98">
        <v>1.0272327081707585E-2</v>
      </c>
      <c r="AL12" s="98">
        <v>1.9404033844491575E-2</v>
      </c>
      <c r="AM12" s="101"/>
      <c r="AN12" s="101"/>
      <c r="AO12" s="101"/>
      <c r="AP12" s="101"/>
      <c r="AX12" s="171"/>
      <c r="AY12" s="219">
        <f>N13</f>
        <v>42.384799999999998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42.384799999999998</v>
      </c>
      <c r="DJ12" s="265">
        <f t="shared" si="8"/>
        <v>3.8240937293842112</v>
      </c>
      <c r="DK12" s="273">
        <f t="shared" si="9"/>
        <v>3.7492443876917263</v>
      </c>
      <c r="DL12" s="274">
        <f t="shared" si="10"/>
        <v>12.129287714101865</v>
      </c>
      <c r="DM12"/>
      <c r="DN12"/>
    </row>
    <row r="13" spans="2:119" ht="24.75" customHeight="1" thickBot="1">
      <c r="B13" s="58" t="str">
        <f>CONCATENATE(M15,"
(10 ~ 25)")</f>
        <v>억제
(10 ~ 25)</v>
      </c>
      <c r="C13" s="44">
        <f>R15</f>
        <v>18.805399999999999</v>
      </c>
      <c r="D13" s="45">
        <f>N15</f>
        <v>24.5715</v>
      </c>
      <c r="E13" s="46">
        <f>T15</f>
        <v>34.815899999999999</v>
      </c>
      <c r="F13" s="46">
        <f>P15</f>
        <v>17.9147</v>
      </c>
      <c r="G13" s="60" t="str">
        <f>CONCATENATE(M16,"
(10 ~ 50)")</f>
        <v>신경성
(10 ~ 50)</v>
      </c>
      <c r="H13" s="44">
        <f>R16</f>
        <v>3.1501999999999999</v>
      </c>
      <c r="I13" s="45">
        <f>N16</f>
        <v>44.019199999999998</v>
      </c>
      <c r="J13" s="46">
        <f>T16</f>
        <v>52.557099999999998</v>
      </c>
      <c r="K13" s="47">
        <f>P16</f>
        <v>35.9011</v>
      </c>
      <c r="L13" s="1">
        <f>IF(M!B11="","",IF(N13&lt;U13,1,IF(N13&lt;V13,2,IF(N13&lt;W13,3,IF(N13&lt;X13,4,5)))))</f>
        <v>5</v>
      </c>
      <c r="M13" s="162" t="str">
        <f>lang!B20</f>
        <v>에너지</v>
      </c>
      <c r="N13" s="48">
        <f>IF(M!B11="","",M!B11*1)</f>
        <v>42.384799999999998</v>
      </c>
      <c r="O13" s="48">
        <f>M!C11*1</f>
        <v>5.7663200000000003</v>
      </c>
      <c r="P13" s="48">
        <f>M!D11*1</f>
        <v>13.604699999999999</v>
      </c>
      <c r="Q13" s="48">
        <f>M!E11*1</f>
        <v>10</v>
      </c>
      <c r="R13" s="48">
        <f>IF(M!B11="","",M!F11*1)</f>
        <v>37.372300000000003</v>
      </c>
      <c r="S13" s="48">
        <f>M!G11*1</f>
        <v>50</v>
      </c>
      <c r="T13" s="48">
        <f>IF(M!B11="","",M!H11*1)</f>
        <v>55.770400000000002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4.7568867244538895</v>
      </c>
      <c r="AI13" s="98">
        <v>0.16093442074971984</v>
      </c>
      <c r="AJ13" s="98">
        <v>-1.0988594420247608E-2</v>
      </c>
      <c r="AK13" s="98">
        <v>0.37151940745754808</v>
      </c>
      <c r="AL13" s="98">
        <v>8.9062029657998948E-2</v>
      </c>
      <c r="AM13" s="96"/>
      <c r="AN13" s="96"/>
      <c r="AO13" s="96"/>
      <c r="AP13" s="96"/>
      <c r="AX13" s="171"/>
      <c r="AY13" s="219">
        <f>info!W36</f>
        <v>57.318379999999991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44.019199999999998</v>
      </c>
      <c r="DJ13" s="265">
        <f t="shared" si="8"/>
        <v>1.2445440773390262</v>
      </c>
      <c r="DK13" s="273">
        <f>IF(DH13=1,(DJ13-DF13)^2,0)</f>
        <v>0.64755809200176029</v>
      </c>
      <c r="DL13" s="274">
        <f t="shared" si="10"/>
        <v>2.6000378580387213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75.219099999999997</v>
      </c>
      <c r="O14" s="48">
        <f>M!C12*1</f>
        <v>9.1768000000000001</v>
      </c>
      <c r="P14" s="48">
        <f>M!D12*1</f>
        <v>12.200100000000001</v>
      </c>
      <c r="Q14" s="48">
        <f>M!E12*1</f>
        <v>50</v>
      </c>
      <c r="R14" s="48">
        <f>IF(M!B12="","",M!F12*1)</f>
        <v>46.838700000000003</v>
      </c>
      <c r="S14" s="48">
        <f>M!G12*1</f>
        <v>100</v>
      </c>
      <c r="T14" s="48">
        <f>IF(M!B12="","",M!H12*1)</f>
        <v>83.458200000000005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0.91162700112097139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67.594499999999996</v>
      </c>
      <c r="DJ14" s="265">
        <f t="shared" si="8"/>
        <v>1.0064330669584955</v>
      </c>
      <c r="DK14" s="279">
        <f t="shared" si="9"/>
        <v>1.1579731805857283</v>
      </c>
      <c r="DL14" s="280">
        <f t="shared" si="10"/>
        <v>9.8972919444895631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24.5715</v>
      </c>
      <c r="O15" s="48">
        <f>M!C13*1</f>
        <v>4.4019199999999996</v>
      </c>
      <c r="P15" s="48">
        <f>M!D13*1</f>
        <v>17.9147</v>
      </c>
      <c r="Q15" s="48">
        <f>M!E13*1</f>
        <v>10</v>
      </c>
      <c r="R15" s="48">
        <f>IF(M!B13="","",M!F13*1)</f>
        <v>18.805399999999999</v>
      </c>
      <c r="S15" s="48">
        <f>M!G13*1</f>
        <v>25</v>
      </c>
      <c r="T15" s="48">
        <f>IF(M!B13="","",M!H13*1)</f>
        <v>34.815899999999999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1.4626089951314212</v>
      </c>
      <c r="AI15" s="98">
        <v>-8.3250321124619289E-2</v>
      </c>
      <c r="AJ15" s="98">
        <v>-0.44690513063775733</v>
      </c>
      <c r="AK15" s="98">
        <v>0.12052818186953573</v>
      </c>
      <c r="AL15" s="98">
        <v>-2.4174505446491225E-2</v>
      </c>
      <c r="AM15" s="96"/>
      <c r="AN15" s="96"/>
      <c r="AO15" s="96"/>
      <c r="AP15" s="96"/>
      <c r="AX15" s="171"/>
      <c r="AY15" s="50">
        <f>SUM(AY7:AY14)</f>
        <v>329.87057999999996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8.5402738938109888</v>
      </c>
      <c r="DL15" s="281">
        <f>IF(SUM($DI$7:$DI$14)&gt;0,SUM(DL7:DL14),0)</f>
        <v>41.674298752858732</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44.019199999999998</v>
      </c>
      <c r="O16" s="48">
        <f>M!C14*1</f>
        <v>15.8033</v>
      </c>
      <c r="P16" s="48">
        <f>M!D14*1</f>
        <v>35.9011</v>
      </c>
      <c r="Q16" s="48">
        <f>M!E14*1</f>
        <v>10</v>
      </c>
      <c r="R16" s="48">
        <f>IF(M!B14="","",M!F14*1)</f>
        <v>3.1501999999999999</v>
      </c>
      <c r="S16" s="48">
        <f>M!G14*1</f>
        <v>50</v>
      </c>
      <c r="T16" s="48">
        <f>IF(M!B14="","",M!H14*1)</f>
        <v>52.557099999999998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2.0091215664136191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0.11709226336694954</v>
      </c>
      <c r="DL16" s="281">
        <f>IF(DL15&gt;0,1/DL15,0)</f>
        <v>2.3995604723436481E-2</v>
      </c>
      <c r="DM16" t="s">
        <v>1207</v>
      </c>
    </row>
    <row r="17" spans="2:117" ht="21" customHeight="1" thickBot="1">
      <c r="B17" s="20"/>
      <c r="C17"/>
      <c r="D17"/>
      <c r="E17"/>
      <c r="F17"/>
      <c r="G17" s="1071"/>
      <c r="H17" s="827"/>
      <c r="I17" s="827"/>
      <c r="J17" s="827"/>
      <c r="K17" s="828"/>
      <c r="M17" s="163" t="str">
        <f>lang!B7</f>
        <v>긍정감정</v>
      </c>
      <c r="N17" s="54">
        <f>SUM(N11:N14)/4</f>
        <v>67.062749999999994</v>
      </c>
      <c r="O17" s="16">
        <f>N17/(N17+N18+N19)</f>
        <v>0.5247048509540595</v>
      </c>
      <c r="P17" s="54">
        <f>SUM(P11:P14)/4</f>
        <v>13.7724975</v>
      </c>
      <c r="Q17" s="16">
        <f>P17/(P17+P18+P19)</f>
        <v>0.21726774462354917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0.82992439358383363</v>
      </c>
      <c r="DL17" s="283"/>
      <c r="DM17" s="284" t="s">
        <v>1208</v>
      </c>
    </row>
    <row r="18" spans="2:117" ht="21" customHeight="1">
      <c r="B18" s="20"/>
      <c r="C18"/>
      <c r="D18"/>
      <c r="E18"/>
      <c r="F18"/>
      <c r="G18" s="1071"/>
      <c r="H18" s="827"/>
      <c r="I18" s="827"/>
      <c r="J18" s="827"/>
      <c r="K18" s="828"/>
      <c r="M18" s="163" t="str">
        <f>lang!B8</f>
        <v>부정감정</v>
      </c>
      <c r="N18" s="14">
        <f>SUM(N7:N10)/4</f>
        <v>26.452325000000002</v>
      </c>
      <c r="O18" s="16">
        <f>N18/(N17+N18+N19)</f>
        <v>0.20696531601393237</v>
      </c>
      <c r="P18" s="14">
        <f>SUM(P7:P10)/4</f>
        <v>22.709120000000002</v>
      </c>
      <c r="Q18" s="16">
        <f>P18/(P17+P18+P19)</f>
        <v>0.35824724490133569</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34.295349999999999</v>
      </c>
      <c r="O19" s="16">
        <f>N19/(N17+N18+N19)</f>
        <v>0.26832983303200814</v>
      </c>
      <c r="P19" s="14">
        <f>(P15+P16)/2</f>
        <v>26.907899999999998</v>
      </c>
      <c r="Q19" s="16">
        <f>P19/(P17+P18+P19)</f>
        <v>0.42448501047511522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2.4512999999999998</v>
      </c>
      <c r="D24" s="34" t="str">
        <f>lang!B11</f>
        <v>편차</v>
      </c>
      <c r="E24" s="1077">
        <f>FH_info!G2*1</f>
        <v>0.49058299999999999</v>
      </c>
      <c r="F24" s="1078"/>
      <c r="G24" s="1075" t="str">
        <f>lang!B12</f>
        <v>정보(I)변화량</v>
      </c>
      <c r="H24" s="1076"/>
      <c r="I24" s="51" t="str">
        <f ca="1">CONCATENATE(info!N7,"-",info!N8)</f>
        <v>48.4-59.8</v>
      </c>
      <c r="J24" s="32" t="str">
        <f>lang!B13</f>
        <v>Kcal/분</v>
      </c>
      <c r="K24" s="31" t="str">
        <f ca="1">CONCATENATE(info!N5,"-",info!N6)</f>
        <v>4.7-6.1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67.594499999999996</v>
      </c>
      <c r="F27" s="1043"/>
      <c r="G27" s="1055" t="str">
        <f>lang!B33</f>
        <v>정서안정성</v>
      </c>
      <c r="H27" s="1056"/>
      <c r="I27" s="1057"/>
      <c r="J27" s="993">
        <f>M!B19*100</f>
        <v>34.894799999999996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6.0867000000000004</v>
      </c>
      <c r="H2" s="50">
        <f>IF(FT!B2&lt;&gt;"",FT!B2*100,"")</f>
        <v>55.603100000000005</v>
      </c>
      <c r="I2" s="50">
        <f>(IF(G2&lt;&gt;"",1,""))</f>
        <v>1</v>
      </c>
      <c r="J2" t="str">
        <f>IF(FT!B2&lt;&gt;"",FT!E2,"")</f>
        <v>0 [0.000000]</v>
      </c>
      <c r="K2">
        <f>IF(FT!B2&lt;&gt;"",IF(FT!C2&lt;&gt;"",FT!C2,F2/$M$3*$M$4),"")</f>
        <v>0</v>
      </c>
      <c r="L2" t="s">
        <v>52</v>
      </c>
      <c r="M2">
        <f>FH_info!E2</f>
        <v>4.8806900000000004</v>
      </c>
      <c r="N2" s="75">
        <f>LOOKUP(O3,A2:A1000,B2:B1000)</f>
        <v>2.5264748235294121</v>
      </c>
      <c r="O2" s="50">
        <f>MAX(C2:C1000)</f>
        <v>1</v>
      </c>
      <c r="P2" t="s">
        <v>60</v>
      </c>
      <c r="Q2" t="s">
        <v>61</v>
      </c>
      <c r="R2" t="s">
        <v>62</v>
      </c>
      <c r="S2" t="s">
        <v>63</v>
      </c>
      <c r="T2" t="s">
        <v>64</v>
      </c>
      <c r="V2" s="50">
        <f>FT!G2*10</f>
        <v>5.9287199999999993</v>
      </c>
      <c r="W2" s="50">
        <f>FT!H2*100</f>
        <v>58.434100000000001</v>
      </c>
      <c r="Y2">
        <f>IF(I2=1,H2/G2,"")</f>
        <v>9.1351799825849813</v>
      </c>
      <c r="Z2">
        <f>AVERAGE(Y2:Y2000)</f>
        <v>10.431595465987758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6.0652300000000006</v>
      </c>
      <c r="H3" s="50">
        <f>IF(FT!B3&lt;&gt;"",FT!B3*100,"")</f>
        <v>55.996599999999994</v>
      </c>
      <c r="I3" s="50">
        <f t="shared" ref="I3:I66" si="2">(IF(G3&lt;&gt;"",1,""))</f>
        <v>1</v>
      </c>
      <c r="J3" t="str">
        <f>IF(FT!B3&lt;&gt;"",FT!E3,"")</f>
        <v>0 [0.345764]</v>
      </c>
      <c r="K3">
        <f>IF(FT!B3&lt;&gt;"",IF(FT!C3&lt;&gt;"",FT!C3,F3/$M$3*$M$4),"")</f>
        <v>0.34576400000000002</v>
      </c>
      <c r="L3" t="s">
        <v>53</v>
      </c>
      <c r="M3">
        <f>SUM(I2:I2005)</f>
        <v>99</v>
      </c>
      <c r="O3" s="104">
        <f>MATCH(O2,C2:C1000,0)-1</f>
        <v>132</v>
      </c>
      <c r="P3">
        <v>0</v>
      </c>
      <c r="Q3">
        <v>0</v>
      </c>
      <c r="R3">
        <f>IF(S4=0,M3,0)</f>
        <v>99</v>
      </c>
      <c r="S3">
        <f t="array" ref="S3">MAX(IF(ft_nq=0,row_n))</f>
        <v>1998</v>
      </c>
      <c r="T3">
        <f>R3-Q3</f>
        <v>99</v>
      </c>
      <c r="V3" s="50">
        <f>FT!G3*10</f>
        <v>4.7172999999999998</v>
      </c>
      <c r="W3" s="50">
        <f>FT!H3*100</f>
        <v>54.908000000000001</v>
      </c>
      <c r="Y3" s="75">
        <f t="shared" ref="Y3:Y66" si="3">IF(I3=1,H3/G3,"")</f>
        <v>9.2323951441247889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6.0445000000000002</v>
      </c>
      <c r="H4" s="50">
        <f>IF(FT!B4&lt;&gt;"",FT!B4*100,"")</f>
        <v>56.447299999999998</v>
      </c>
      <c r="I4" s="50">
        <f t="shared" si="2"/>
        <v>1</v>
      </c>
      <c r="J4" t="str">
        <f>IF(FT!B4&lt;&gt;"",FT!E4,"")</f>
        <v>0 [0.758839]</v>
      </c>
      <c r="K4">
        <f>IF(FT!B4&lt;&gt;"",IF(FT!C4&lt;&gt;"",FT!C4,F4/$M$3*$M$4),"")</f>
        <v>0.75883900000000004</v>
      </c>
      <c r="L4" t="s">
        <v>246</v>
      </c>
      <c r="M4">
        <f>IF(M2&lt;&gt;0,M3/M2*2,0)</f>
        <v>40.568034437753674</v>
      </c>
      <c r="P4">
        <f>P3+1</f>
        <v>1</v>
      </c>
      <c r="Q4">
        <v>0</v>
      </c>
      <c r="R4">
        <f>IF(S4=1998,0,S4)</f>
        <v>0</v>
      </c>
      <c r="S4">
        <f t="array" ref="S4">MAX(IF(ft_nq=P4,row_n))</f>
        <v>0</v>
      </c>
      <c r="T4">
        <f>R4-Q4+1</f>
        <v>1</v>
      </c>
      <c r="V4" t="s">
        <v>209</v>
      </c>
      <c r="W4" s="23">
        <f>IF(ISERROR(V3-V2)=FALSE,(V3-V2)*10,0)</f>
        <v>-12.114199999999995</v>
      </c>
      <c r="Y4" s="75">
        <f t="shared" si="3"/>
        <v>9.3386218876664735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0.5092227047963005</v>
      </c>
      <c r="E5" s="50">
        <f t="shared" si="1"/>
        <v>2.2561674145530543E-5</v>
      </c>
      <c r="F5">
        <f t="shared" si="6"/>
        <v>3</v>
      </c>
      <c r="G5" s="50">
        <f>IF(FT!A5&lt;&gt;"",FT!A5*10,"")</f>
        <v>6.0248400000000002</v>
      </c>
      <c r="H5" s="50">
        <f>IF(FT!B5&lt;&gt;"",FT!B5*100,"")</f>
        <v>56.823399999999999</v>
      </c>
      <c r="I5" s="50">
        <f t="shared" si="2"/>
        <v>1</v>
      </c>
      <c r="J5" t="str">
        <f>IF(FT!B5&lt;&gt;"",FT!E5,"")</f>
        <v>0 [1.158973]</v>
      </c>
      <c r="K5">
        <f>IF(FT!B5&lt;&gt;"",IF(FT!C5&lt;&gt;"",FT!C5,F5/$M$3*$M$4),"")</f>
        <v>1.1589700000000001</v>
      </c>
      <c r="L5" t="s">
        <v>54</v>
      </c>
      <c r="M5" s="52">
        <f ca="1">IF(M3&gt;0,MIN(FT_E),0)</f>
        <v>4.6718700000000002</v>
      </c>
      <c r="N5" s="52">
        <f ca="1">IF(M3&gt;0,ROUND(M5,1),0)</f>
        <v>4.7</v>
      </c>
      <c r="P5">
        <f t="shared" ref="P5:P27" si="10">P4+1</f>
        <v>2</v>
      </c>
      <c r="Q5">
        <f>IF(S5=1998,0,R4)</f>
        <v>0</v>
      </c>
      <c r="R5">
        <f>IF(S5=1998,0,S5)</f>
        <v>0</v>
      </c>
      <c r="S5">
        <f t="array" ref="S5">MAX(IF(ft_nq=P5,row_n))</f>
        <v>0</v>
      </c>
      <c r="T5">
        <f t="shared" ref="T5:T27" si="11">R5-Q5+1</f>
        <v>1</v>
      </c>
      <c r="V5" t="s">
        <v>210</v>
      </c>
      <c r="W5" s="23">
        <f>IF(ISERROR(W3-W2)=FALSE,W3-W2,0)</f>
        <v>-3.5260999999999996</v>
      </c>
      <c r="Y5" s="75">
        <f t="shared" si="3"/>
        <v>9.4315201731498259</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1</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6.0044599999999999</v>
      </c>
      <c r="H6" s="50">
        <f>IF(FT!B6&lt;&gt;"",FT!B6*100,"")</f>
        <v>57.204200000000007</v>
      </c>
      <c r="I6" s="50">
        <f t="shared" si="2"/>
        <v>1</v>
      </c>
      <c r="J6" t="str">
        <f>IF(FT!B6&lt;&gt;"",FT!E6,"")</f>
        <v>0 [1.583816]</v>
      </c>
      <c r="K6">
        <f>IF(FT!B6&lt;&gt;"",IF(FT!C6&lt;&gt;"",FT!C6,F6/$M$3*$M$4),"")</f>
        <v>1.58382</v>
      </c>
      <c r="L6" t="s">
        <v>55</v>
      </c>
      <c r="M6" s="52">
        <f ca="1">IF(M3&gt;0,MAX(FT_E),0)</f>
        <v>6.0867000000000004</v>
      </c>
      <c r="N6" s="52">
        <f ca="1">IF(M3&gt;0,ROUND(M6,1),0)</f>
        <v>6.1</v>
      </c>
      <c r="P6">
        <f t="shared" si="10"/>
        <v>3</v>
      </c>
      <c r="Q6">
        <f t="shared" ref="Q6:Q27" si="12">IF(S6=1998,0,R5)</f>
        <v>0</v>
      </c>
      <c r="R6">
        <f t="shared" ref="R6:R27" si="13">IF(S6=1998,0,S6)</f>
        <v>0</v>
      </c>
      <c r="S6">
        <f t="array" ref="S6">MAX(IF(ft_nq=P6,row_n))</f>
        <v>0</v>
      </c>
      <c r="T6">
        <f t="shared" si="11"/>
        <v>1</v>
      </c>
      <c r="V6" t="s">
        <v>211</v>
      </c>
      <c r="W6" s="23">
        <f>IF(W4&lt;&gt;0,W5/W4,0)</f>
        <v>0.29107163494081334</v>
      </c>
      <c r="Y6" s="75">
        <f t="shared" si="3"/>
        <v>9.5269516326197543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5.9843799999999998</v>
      </c>
      <c r="H7" s="50">
        <f>IF(FT!B7&lt;&gt;"",FT!B7*100,"")</f>
        <v>57.494599999999998</v>
      </c>
      <c r="I7" s="50">
        <f t="shared" si="2"/>
        <v>1</v>
      </c>
      <c r="J7" t="str">
        <f>IF(FT!B7&lt;&gt;"",FT!E7,"")</f>
        <v>0 [1.984056]</v>
      </c>
      <c r="K7">
        <f>IF(FT!B7&lt;&gt;"",IF(FT!C7&lt;&gt;"",FT!C7,F7/$M$3*$M$4),"")</f>
        <v>1.9840599999999999</v>
      </c>
      <c r="L7" t="s">
        <v>56</v>
      </c>
      <c r="M7" s="366">
        <f ca="1">IF(M3&gt;0,MIN(FT_PH),0)</f>
        <v>48.442399999999999</v>
      </c>
      <c r="N7" s="52">
        <f ca="1">IF(M3&gt;0,ROUND(M7,1),0)</f>
        <v>48.4</v>
      </c>
      <c r="P7">
        <f t="shared" si="10"/>
        <v>4</v>
      </c>
      <c r="Q7">
        <f t="shared" si="12"/>
        <v>0</v>
      </c>
      <c r="R7">
        <f t="shared" si="13"/>
        <v>0</v>
      </c>
      <c r="S7">
        <f t="array" ref="S7">MAX(IF(ft_nq=P7,row_n))</f>
        <v>0</v>
      </c>
      <c r="T7">
        <f t="shared" si="11"/>
        <v>1</v>
      </c>
      <c r="V7" t="s">
        <v>212</v>
      </c>
      <c r="W7" s="23">
        <f>DEGREES(ATAN(W6))</f>
        <v>16.228779754680282</v>
      </c>
      <c r="X7" s="106">
        <v>0.05</v>
      </c>
      <c r="Y7" s="75">
        <f t="shared" si="3"/>
        <v>9.6074447144065047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0</v>
      </c>
      <c r="D8" s="50">
        <f>IF(hist!$D$2&gt;0,hist!B8/hist!$D$2,0)</f>
        <v>0.73071149682268122</v>
      </c>
      <c r="E8" s="50">
        <f t="shared" si="1"/>
        <v>4.194165993450154E-5</v>
      </c>
      <c r="F8">
        <f t="shared" si="6"/>
        <v>6</v>
      </c>
      <c r="G8" s="50">
        <f>IF(FT!A8&lt;&gt;"",FT!A8*10,"")</f>
        <v>5.9645200000000003</v>
      </c>
      <c r="H8" s="50">
        <f>IF(FT!B8&lt;&gt;"",FT!B8*100,"")</f>
        <v>57.841900000000003</v>
      </c>
      <c r="I8" s="50">
        <f t="shared" si="2"/>
        <v>1</v>
      </c>
      <c r="J8" t="str">
        <f>IF(FT!B8&lt;&gt;"",FT!E8,"")</f>
        <v>0 [2.416530]</v>
      </c>
      <c r="K8">
        <f>IF(FT!B8&lt;&gt;"",IF(FT!C8&lt;&gt;"",FT!C8,F8/$M$3*$M$4),"")</f>
        <v>2.4165299999999998</v>
      </c>
      <c r="L8" t="s">
        <v>57</v>
      </c>
      <c r="M8" s="52">
        <f ca="1">IF(M3&gt;0,MAX(FT_PH),0)</f>
        <v>59.849799999999995</v>
      </c>
      <c r="N8" s="52">
        <f ca="1">IF(M3&gt;0,ROUND(M8,1),0)</f>
        <v>59.8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9.6976621756654353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5.9450800000000008</v>
      </c>
      <c r="H9" s="50">
        <f>IF(FT!B9&lt;&gt;"",FT!B9*100,"")</f>
        <v>58.164000000000001</v>
      </c>
      <c r="I9" s="50">
        <f t="shared" si="2"/>
        <v>1</v>
      </c>
      <c r="J9" t="str">
        <f>IF(FT!B9&lt;&gt;"",FT!E9,"")</f>
        <v>0 [2.785063]</v>
      </c>
      <c r="K9">
        <f>IF(FT!B9&lt;&gt;"",IF(FT!C9&lt;&gt;"",FT!C9,F9/$M$3*$M$4),"")</f>
        <v>2.7850600000000001</v>
      </c>
      <c r="L9" t="s">
        <v>222</v>
      </c>
      <c r="M9" s="74">
        <f ca="1">IF(M3&gt;0,IF(COUNT(FT_E)&gt;0,AVERAGE(FT_E),0),0)</f>
        <v>5.2084197979797988</v>
      </c>
      <c r="N9" s="365">
        <f ca="1">IF(M3&gt;0,IF(COUNT(FT_PH)&gt;0,AVERAGE(FT_PH),0),0)</f>
        <v>54.075628282828276</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9.783552113680555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0</v>
      </c>
      <c r="D10" s="50">
        <f>IF(hist!$D$2&gt;0,hist!B10/hist!$D$2,0)</f>
        <v>1</v>
      </c>
      <c r="E10" s="50">
        <f t="shared" si="1"/>
        <v>6.2758652368178207E-5</v>
      </c>
      <c r="F10">
        <f t="shared" si="6"/>
        <v>8</v>
      </c>
      <c r="G10" s="50">
        <f>IF(FT!A10&lt;&gt;"",FT!A10*10,"")</f>
        <v>5.9287199999999993</v>
      </c>
      <c r="H10" s="50">
        <f>IF(FT!B10&lt;&gt;"",FT!B10*100,"")</f>
        <v>58.434100000000001</v>
      </c>
      <c r="I10" s="50">
        <f t="shared" si="2"/>
        <v>1</v>
      </c>
      <c r="J10" t="str">
        <f>IF(FT!B10&lt;&gt;"",FT!E10,"")</f>
        <v>0 [3.211237]</v>
      </c>
      <c r="K10">
        <f>IF(FT!B10&lt;&gt;"",IF(FT!C10&lt;&gt;"",FT!C10,F10/$M$3*$M$4),"")</f>
        <v>3.2112400000000001</v>
      </c>
      <c r="M10">
        <v>2</v>
      </c>
      <c r="P10">
        <f t="shared" si="10"/>
        <v>7</v>
      </c>
      <c r="Q10">
        <f t="shared" si="12"/>
        <v>0</v>
      </c>
      <c r="R10">
        <f t="shared" si="13"/>
        <v>0</v>
      </c>
      <c r="S10">
        <f t="array" ref="S10">MAX(IF(ft_nq=P10,row_n))</f>
        <v>0</v>
      </c>
      <c r="T10">
        <f t="shared" si="11"/>
        <v>1</v>
      </c>
      <c r="V10" t="s">
        <v>215</v>
      </c>
      <c r="X10" s="71" t="s">
        <v>270</v>
      </c>
      <c r="Y10" s="75">
        <f t="shared" si="3"/>
        <v>9.856107220445562</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5.9115099999999998</v>
      </c>
      <c r="H11" s="50">
        <f>IF(FT!B11&lt;&gt;"",FT!B11*100,"")</f>
        <v>58.743199999999995</v>
      </c>
      <c r="I11" s="50">
        <f t="shared" si="2"/>
        <v>1</v>
      </c>
      <c r="J11" t="str">
        <f>IF(FT!B11&lt;&gt;"",FT!E11,"")</f>
        <v>0 [3.602873]</v>
      </c>
      <c r="K11">
        <f>IF(FT!B11&lt;&gt;"",IF(FT!C11&lt;&gt;"",FT!C11,F11/$M$3*$M$4),"")</f>
        <v>3.6028699999999998</v>
      </c>
      <c r="M11" s="49">
        <f>MAX(IF(ft_nq=1,row_n))</f>
        <v>0</v>
      </c>
      <c r="P11">
        <f t="shared" si="10"/>
        <v>8</v>
      </c>
      <c r="Q11">
        <f t="shared" si="12"/>
        <v>0</v>
      </c>
      <c r="R11">
        <f t="shared" si="13"/>
        <v>0</v>
      </c>
      <c r="S11">
        <f t="array" ref="S11">MAX(IF(ft_nq=P11,row_n))</f>
        <v>0</v>
      </c>
      <c r="T11">
        <f t="shared" si="11"/>
        <v>1</v>
      </c>
      <c r="V11" s="71" t="s">
        <v>216</v>
      </c>
      <c r="W11" s="23">
        <f>FT!H11*100</f>
        <v>48.442399999999999</v>
      </c>
      <c r="Y11" s="75">
        <f t="shared" si="3"/>
        <v>9.937088831787479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5.8963099999999997</v>
      </c>
      <c r="H12" s="50">
        <f>IF(FT!B12&lt;&gt;"",FT!B12*100,"")</f>
        <v>59.050899999999999</v>
      </c>
      <c r="I12" s="50">
        <f t="shared" si="2"/>
        <v>1</v>
      </c>
      <c r="J12" t="str">
        <f>IF(FT!B12&lt;&gt;"",FT!E12,"")</f>
        <v>0 [4.028663]</v>
      </c>
      <c r="K12">
        <f>IF(FT!B12&lt;&gt;"",IF(FT!C12&lt;&gt;"",FT!C12,F12/$M$3*$M$4),"")</f>
        <v>4.0286600000000004</v>
      </c>
      <c r="M12">
        <f>M11+1</f>
        <v>1</v>
      </c>
      <c r="P12">
        <f t="shared" si="10"/>
        <v>9</v>
      </c>
      <c r="Q12">
        <f t="shared" si="12"/>
        <v>0</v>
      </c>
      <c r="R12">
        <f t="shared" si="13"/>
        <v>0</v>
      </c>
      <c r="S12">
        <f t="array" ref="S12">MAX(IF(ft_nq=P12,row_n))</f>
        <v>0</v>
      </c>
      <c r="T12">
        <f t="shared" si="11"/>
        <v>1</v>
      </c>
      <c r="V12" s="71" t="s">
        <v>217</v>
      </c>
      <c r="W12" s="23">
        <f>FT!H12*100</f>
        <v>59.849799999999995</v>
      </c>
      <c r="Y12" s="75">
        <f t="shared" si="3"/>
        <v>10.014890668909878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0</v>
      </c>
      <c r="D13" s="50">
        <f>IF(hist!$D$2&gt;0,hist!B13/hist!$D$2,0)</f>
        <v>0.86409734042320152</v>
      </c>
      <c r="E13" s="50">
        <f t="shared" si="1"/>
        <v>1.131053898878564E-4</v>
      </c>
      <c r="F13">
        <f t="shared" si="6"/>
        <v>11</v>
      </c>
      <c r="G13" s="50">
        <f>IF(FT!A13&lt;&gt;"",FT!A13*10,"")</f>
        <v>5.8809500000000003</v>
      </c>
      <c r="H13" s="50">
        <f>IF(FT!B13&lt;&gt;"",FT!B13*100,"")</f>
        <v>59.3444</v>
      </c>
      <c r="I13" s="50">
        <f t="shared" si="2"/>
        <v>1</v>
      </c>
      <c r="J13" t="str">
        <f>IF(FT!B13&lt;&gt;"",FT!E13,"")</f>
        <v>0 [4.425389]</v>
      </c>
      <c r="K13">
        <f>IF(FT!B13&lt;&gt;"",IF(FT!C13&lt;&gt;"",FT!C13,F13/$M$3*$M$4),"")</f>
        <v>4.4253900000000002</v>
      </c>
      <c r="M13" s="49">
        <f t="array" ref="M13">MAX(IF(ft_nq=2,row_n))</f>
        <v>0</v>
      </c>
      <c r="P13">
        <f t="shared" si="10"/>
        <v>10</v>
      </c>
      <c r="Q13">
        <f t="shared" si="12"/>
        <v>0</v>
      </c>
      <c r="R13">
        <f t="shared" si="13"/>
        <v>0</v>
      </c>
      <c r="S13">
        <f t="array" ref="S13">MAX(IF(ft_nq=P13,row_n))</f>
        <v>0</v>
      </c>
      <c r="T13">
        <f t="shared" si="11"/>
        <v>1</v>
      </c>
      <c r="V13" s="71" t="s">
        <v>219</v>
      </c>
      <c r="W13">
        <f>FT!H13</f>
        <v>44</v>
      </c>
      <c r="Y13" s="75">
        <f t="shared" si="3"/>
        <v>10.090954692694208</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5.8687500000000004</v>
      </c>
      <c r="H14" s="50">
        <f>IF(FT!B14&lt;&gt;"",FT!B14*100,"")</f>
        <v>59.617299999999993</v>
      </c>
      <c r="I14" s="50">
        <f t="shared" si="2"/>
        <v>1</v>
      </c>
      <c r="J14" t="str">
        <f>IF(FT!B14&lt;&gt;"",FT!E14,"")</f>
        <v>0 [4.835401]</v>
      </c>
      <c r="K14">
        <f>IF(FT!B14&lt;&gt;"",IF(FT!C14&lt;&gt;"",FT!C14,F14/$M$3*$M$4),"")</f>
        <v>4.8353999999999999</v>
      </c>
      <c r="M14">
        <f>M13+1</f>
        <v>1</v>
      </c>
      <c r="P14">
        <f t="shared" si="10"/>
        <v>11</v>
      </c>
      <c r="Q14">
        <f t="shared" si="12"/>
        <v>0</v>
      </c>
      <c r="R14">
        <f t="shared" si="13"/>
        <v>0</v>
      </c>
      <c r="S14">
        <f t="array" ref="S14">MAX(IF(ft_nq=P14,row_n))</f>
        <v>0</v>
      </c>
      <c r="T14">
        <f t="shared" si="11"/>
        <v>1</v>
      </c>
      <c r="V14" s="71" t="s">
        <v>221</v>
      </c>
      <c r="W14">
        <f>FT!H14</f>
        <v>15</v>
      </c>
      <c r="Y14" s="75">
        <f t="shared" si="3"/>
        <v>10.158432374866878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0</v>
      </c>
      <c r="D15" s="50">
        <f>IF(hist!$D$2&gt;0,hist!B15/hist!$D$2,0)</f>
        <v>0.77150390622147824</v>
      </c>
      <c r="E15" s="50">
        <f t="shared" si="1"/>
        <v>1.6578105367572512E-4</v>
      </c>
      <c r="F15">
        <f t="shared" si="6"/>
        <v>13</v>
      </c>
      <c r="G15" s="50">
        <f>IF(FT!A15&lt;&gt;"",FT!A15*10,"")</f>
        <v>5.85419</v>
      </c>
      <c r="H15" s="50">
        <f>IF(FT!B15&lt;&gt;"",FT!B15*100,"")</f>
        <v>59.821500000000007</v>
      </c>
      <c r="I15" s="50">
        <f t="shared" si="2"/>
        <v>1</v>
      </c>
      <c r="J15" t="str">
        <f>IF(FT!B15&lt;&gt;"",FT!E15,"")</f>
        <v>0 [5.227334]</v>
      </c>
      <c r="K15">
        <f>IF(FT!B15&lt;&gt;"",IF(FT!C15&lt;&gt;"",FT!C15,F15/$M$3*$M$4),"")</f>
        <v>5.2273300000000003</v>
      </c>
      <c r="M15">
        <f t="array" ref="M15">MAX(IF(ft_nq=3,row_n))</f>
        <v>0</v>
      </c>
      <c r="P15">
        <f t="shared" si="10"/>
        <v>12</v>
      </c>
      <c r="Q15">
        <f t="shared" si="12"/>
        <v>0</v>
      </c>
      <c r="R15">
        <f t="shared" si="13"/>
        <v>0</v>
      </c>
      <c r="S15">
        <f t="array" ref="S15">MAX(IF(ft_nq=P15,row_n))</f>
        <v>0</v>
      </c>
      <c r="T15">
        <f t="shared" si="11"/>
        <v>1</v>
      </c>
      <c r="V15" s="23">
        <f>FT!G15*10</f>
        <v>5.1619599999999997</v>
      </c>
      <c r="W15" s="23">
        <f>FT!H15*100</f>
        <v>48.442399999999999</v>
      </c>
      <c r="Y15" s="75">
        <f t="shared" si="3"/>
        <v>10.218578488228092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5.8377999999999997</v>
      </c>
      <c r="H16" s="50">
        <f>IF(FT!B16&lt;&gt;"",FT!B16*100,"")</f>
        <v>59.849799999999995</v>
      </c>
      <c r="I16" s="50">
        <f t="shared" si="2"/>
        <v>1</v>
      </c>
      <c r="J16" t="str">
        <f>IF(FT!B16&lt;&gt;"",FT!E16,"")</f>
        <v>0 [5.636175]</v>
      </c>
      <c r="K16">
        <f>IF(FT!B16&lt;&gt;"",IF(FT!C16&lt;&gt;"",FT!C16,F16/$M$3*$M$4),"")</f>
        <v>5.6361699999999999</v>
      </c>
      <c r="M16">
        <f>M15+1</f>
        <v>1</v>
      </c>
      <c r="P16">
        <f t="shared" si="10"/>
        <v>13</v>
      </c>
      <c r="Q16">
        <f t="shared" si="12"/>
        <v>0</v>
      </c>
      <c r="R16">
        <f t="shared" si="13"/>
        <v>0</v>
      </c>
      <c r="S16">
        <f t="array" ref="S16">MAX(IF(ft_nq=P16,row_n))</f>
        <v>0</v>
      </c>
      <c r="T16">
        <f t="shared" si="11"/>
        <v>1</v>
      </c>
      <c r="V16" s="23">
        <f>FT!G16*10</f>
        <v>5.8377999999999997</v>
      </c>
      <c r="W16" s="23">
        <f>FT!H16*100</f>
        <v>59.849799999999995</v>
      </c>
      <c r="Y16" s="75">
        <f t="shared" si="3"/>
        <v>10.252115522970982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5.8204199999999995</v>
      </c>
      <c r="H17" s="50">
        <f>IF(FT!B17&lt;&gt;"",FT!B17*100,"")</f>
        <v>59.7241</v>
      </c>
      <c r="I17" s="50">
        <f t="shared" si="2"/>
        <v>1</v>
      </c>
      <c r="J17" t="str">
        <f>IF(FT!B17&lt;&gt;"",FT!E17,"")</f>
        <v>0 [6.046169]</v>
      </c>
      <c r="K17">
        <f>IF(FT!B17&lt;&gt;"",IF(FT!C17&lt;&gt;"",FT!C17,F17/$M$3*$M$4),"")</f>
        <v>6.04617</v>
      </c>
      <c r="M17">
        <f>M3+1</f>
        <v>100</v>
      </c>
      <c r="P17">
        <f t="shared" si="10"/>
        <v>14</v>
      </c>
      <c r="Q17">
        <f t="shared" si="12"/>
        <v>0</v>
      </c>
      <c r="R17">
        <f t="shared" si="13"/>
        <v>0</v>
      </c>
      <c r="S17">
        <f t="array" ref="S17">MAX(IF(ft_nq=P17,row_n))</f>
        <v>0</v>
      </c>
      <c r="T17">
        <f t="shared" si="11"/>
        <v>1</v>
      </c>
      <c r="V17" t="s">
        <v>1522</v>
      </c>
      <c r="Y17" s="75">
        <f t="shared" si="3"/>
        <v>10.261132358145977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낙천적인</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0</v>
      </c>
      <c r="D18" s="50">
        <f>IF(hist!$D$2&gt;0,hist!B18/hist!$D$2,0)</f>
        <v>0.65938503897042389</v>
      </c>
      <c r="E18" s="50">
        <f t="shared" si="1"/>
        <v>2.8965430469707701E-4</v>
      </c>
      <c r="F18">
        <f t="shared" si="6"/>
        <v>16</v>
      </c>
      <c r="G18" s="50">
        <f>IF(FT!A18&lt;&gt;"",FT!A18*10,"")</f>
        <v>5.8036600000000007</v>
      </c>
      <c r="H18" s="50">
        <f>IF(FT!B18&lt;&gt;"",FT!B18*100,"")</f>
        <v>59.608700000000006</v>
      </c>
      <c r="I18" s="50">
        <f t="shared" si="2"/>
        <v>1</v>
      </c>
      <c r="J18" t="str">
        <f>IF(FT!B18&lt;&gt;"",FT!E18,"")</f>
        <v>0 [6.447824]</v>
      </c>
      <c r="K18">
        <f>IF(FT!B18&lt;&gt;"",IF(FT!C18&lt;&gt;"",FT!C18,F18/$M$3*$M$4),"")</f>
        <v>6.4478200000000001</v>
      </c>
      <c r="P18">
        <f t="shared" si="10"/>
        <v>15</v>
      </c>
      <c r="Q18">
        <f t="shared" si="12"/>
        <v>0</v>
      </c>
      <c r="R18">
        <f t="shared" si="13"/>
        <v>0</v>
      </c>
      <c r="S18">
        <f t="array" ref="S18">MAX(IF(ft_nq=P18,row_n))</f>
        <v>0</v>
      </c>
      <c r="T18">
        <f t="shared" si="11"/>
        <v>1</v>
      </c>
      <c r="V18" s="288">
        <f>M!B18*100</f>
        <v>67.594499999999996</v>
      </c>
      <c r="W18" s="287">
        <f>100-M!B19*100</f>
        <v>65.105199999999996</v>
      </c>
      <c r="X18" t="str">
        <f>"(" &amp; ROUND(V18,1) &amp; " , " &amp; ROUND(100-W18,1) &amp; ")"</f>
        <v>(67.6 , 34.9)</v>
      </c>
      <c r="Y18" s="75">
        <f t="shared" si="3"/>
        <v>10.270880789019342</v>
      </c>
      <c r="Z18">
        <f>M!B18*100</f>
        <v>67.594499999999996</v>
      </c>
      <c r="AA18">
        <f>100-M!B19*100</f>
        <v>65.105199999999996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5.7886499999999996</v>
      </c>
      <c r="H19" s="50">
        <f>IF(FT!B19&lt;&gt;"",FT!B19*100,"")</f>
        <v>59.552300000000002</v>
      </c>
      <c r="I19" s="50">
        <f t="shared" si="2"/>
        <v>1</v>
      </c>
      <c r="J19" t="str">
        <f>IF(FT!B19&lt;&gt;"",FT!E19,"")</f>
        <v>0 [6.858652]</v>
      </c>
      <c r="K19">
        <f>IF(FT!B19&lt;&gt;"",IF(FT!C19&lt;&gt;"",FT!C19,F19/$M$3*$M$4),"")</f>
        <v>6.8586499999999999</v>
      </c>
      <c r="P19">
        <f t="shared" si="10"/>
        <v>16</v>
      </c>
      <c r="Q19">
        <f t="shared" si="12"/>
        <v>0</v>
      </c>
      <c r="R19">
        <f t="shared" si="13"/>
        <v>0</v>
      </c>
      <c r="S19">
        <f t="array" ref="S19">MAX(IF(ft_nq=P19,row_n))</f>
        <v>0</v>
      </c>
      <c r="T19">
        <f t="shared" si="11"/>
        <v>1</v>
      </c>
      <c r="V19" t="s">
        <v>1521</v>
      </c>
      <c r="Y19" s="75">
        <f t="shared" si="3"/>
        <v>10.287770032736477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5.7772900000000007</v>
      </c>
      <c r="H20" s="50">
        <f>IF(FT!B20&lt;&gt;"",FT!B20*100,"")</f>
        <v>59.601300000000002</v>
      </c>
      <c r="I20" s="50">
        <f t="shared" si="2"/>
        <v>1</v>
      </c>
      <c r="J20" t="str">
        <f>IF(FT!B20&lt;&gt;"",FT!E20,"")</f>
        <v>0 [7.261297]</v>
      </c>
      <c r="K20">
        <f>IF(FT!B20&lt;&gt;"",IF(FT!C20&lt;&gt;"",FT!C20,F20/$M$3*$M$4),"")</f>
        <v>7.2613000000000003</v>
      </c>
      <c r="P20">
        <f t="shared" si="10"/>
        <v>17</v>
      </c>
      <c r="Q20">
        <f t="shared" si="12"/>
        <v>0</v>
      </c>
      <c r="R20">
        <f t="shared" si="13"/>
        <v>0</v>
      </c>
      <c r="S20">
        <f t="array" ref="S20">MAX(IF(ft_nq=P20,row_n))</f>
        <v>0</v>
      </c>
      <c r="T20">
        <f t="shared" si="11"/>
        <v>1</v>
      </c>
      <c r="V20" s="56">
        <v>50</v>
      </c>
      <c r="W20">
        <v>50</v>
      </c>
      <c r="Y20" s="75">
        <f t="shared" si="3"/>
        <v>10.31648056441688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0</v>
      </c>
      <c r="D21" s="50">
        <f>IF(hist!$D$2&gt;0,hist!B21/hist!$D$2,0)</f>
        <v>0.63771570063421201</v>
      </c>
      <c r="E21" s="50">
        <f t="shared" si="1"/>
        <v>4.9675965696115132E-4</v>
      </c>
      <c r="F21">
        <f t="shared" si="6"/>
        <v>19</v>
      </c>
      <c r="G21" s="50">
        <f>IF(FT!A21&lt;&gt;"",FT!A21*10,"")</f>
        <v>5.7671399999999995</v>
      </c>
      <c r="H21" s="50">
        <f>IF(FT!B21&lt;&gt;"",FT!B21*100,"")</f>
        <v>59.546100000000003</v>
      </c>
      <c r="I21" s="50">
        <f t="shared" si="2"/>
        <v>1</v>
      </c>
      <c r="J21" t="str">
        <f>IF(FT!B21&lt;&gt;"",FT!E21,"")</f>
        <v>0 [7.695197]</v>
      </c>
      <c r="K21">
        <f>IF(FT!B21&lt;&gt;"",IF(FT!C21&lt;&gt;"",FT!C21,F21/$M$3*$M$4),"")</f>
        <v>7.6951999999999998</v>
      </c>
      <c r="P21">
        <f t="shared" si="10"/>
        <v>18</v>
      </c>
      <c r="Q21">
        <f t="shared" si="12"/>
        <v>0</v>
      </c>
      <c r="R21">
        <f t="shared" si="13"/>
        <v>0</v>
      </c>
      <c r="S21">
        <f t="array" ref="S21">MAX(IF(ft_nq=P21,row_n))</f>
        <v>0</v>
      </c>
      <c r="T21">
        <f t="shared" si="11"/>
        <v>1</v>
      </c>
      <c r="V21" s="288">
        <f>Measurement!DK17*100</f>
        <v>82.992439358383365</v>
      </c>
      <c r="W21" s="287">
        <f>'R3'!I3</f>
        <v>78.033042502311005</v>
      </c>
      <c r="X21" t="str">
        <f>"(" &amp; ROUND(V21,1) &amp; " , " &amp; ROUND(W21,1) &amp; ")" &amp; CHAR(10) &amp; AR26</f>
        <v>(83 , 78)
낙천적인</v>
      </c>
      <c r="Y21" s="75">
        <f t="shared" si="3"/>
        <v>10.325065803847316</v>
      </c>
      <c r="AA21">
        <f>100-M!B19*100</f>
        <v>65.105199999999996</v>
      </c>
      <c r="AC21">
        <f>'R3'!I3</f>
        <v>78.033042502311005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5.7568699999999993</v>
      </c>
      <c r="H22" s="50">
        <f>IF(FT!B22&lt;&gt;"",FT!B22*100,"")</f>
        <v>59.0867</v>
      </c>
      <c r="I22" s="50">
        <f t="shared" si="2"/>
        <v>1</v>
      </c>
      <c r="J22" t="str">
        <f>IF(FT!B22&lt;&gt;"",FT!E22,"")</f>
        <v>0 [8.077233]</v>
      </c>
      <c r="K22">
        <f>IF(FT!B22&lt;&gt;"",IF(FT!C22&lt;&gt;"",FT!C22,F22/$M$3*$M$4),"")</f>
        <v>8.0772300000000001</v>
      </c>
      <c r="P22">
        <f t="shared" si="10"/>
        <v>19</v>
      </c>
      <c r="Q22">
        <f t="shared" si="12"/>
        <v>0</v>
      </c>
      <c r="R22">
        <f t="shared" si="13"/>
        <v>0</v>
      </c>
      <c r="S22">
        <f t="array" ref="S22">MAX(IF(ft_nq=P22,row_n))</f>
        <v>0</v>
      </c>
      <c r="T22">
        <f t="shared" si="11"/>
        <v>1</v>
      </c>
      <c r="V22" s="300">
        <f>X23</f>
        <v>90</v>
      </c>
      <c r="W22" s="300">
        <f>X23</f>
        <v>90</v>
      </c>
      <c r="X22" t="s">
        <v>1188</v>
      </c>
      <c r="Y22" s="75">
        <f t="shared" si="3"/>
        <v>10.263684953803024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3.6308659659965774E-4</v>
      </c>
      <c r="D23" s="50">
        <f>IF(hist!$D$2&gt;0,hist!B23/hist!$D$2,0)</f>
        <v>0.57497618132194228</v>
      </c>
      <c r="E23" s="50">
        <f t="shared" si="1"/>
        <v>7.0442647925128565E-4</v>
      </c>
      <c r="F23">
        <f t="shared" si="6"/>
        <v>21</v>
      </c>
      <c r="G23" s="50">
        <f>IF(FT!A23&lt;&gt;"",FT!A23*10,"")</f>
        <v>5.7413000000000007</v>
      </c>
      <c r="H23" s="50">
        <f>IF(FT!B23&lt;&gt;"",FT!B23*100,"")</f>
        <v>58.599999999999994</v>
      </c>
      <c r="I23" s="50">
        <f t="shared" si="2"/>
        <v>1</v>
      </c>
      <c r="J23" t="str">
        <f>IF(FT!B23&lt;&gt;"",FT!E23,"")</f>
        <v>0 [8.495097]</v>
      </c>
      <c r="K23">
        <f>IF(FT!B23&lt;&gt;"",IF(FT!C23&lt;&gt;"",FT!C23,F23/$M$3*$M$4),"")</f>
        <v>8.4951000000000008</v>
      </c>
      <c r="P23">
        <f t="shared" si="10"/>
        <v>20</v>
      </c>
      <c r="Q23">
        <f t="shared" si="12"/>
        <v>0</v>
      </c>
      <c r="R23">
        <f t="shared" si="13"/>
        <v>0</v>
      </c>
      <c r="S23">
        <f t="array" ref="S23">MAX(IF(ft_nq=P23,row_n))</f>
        <v>0</v>
      </c>
      <c r="T23">
        <f t="shared" si="11"/>
        <v>1</v>
      </c>
      <c r="V23" s="300">
        <f>100-X23</f>
        <v>10</v>
      </c>
      <c r="W23" s="300">
        <f>X23</f>
        <v>90</v>
      </c>
      <c r="X23">
        <v>90</v>
      </c>
      <c r="Y23" s="75">
        <f t="shared" si="3"/>
        <v>10.206747600717605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5.7199599999999995</v>
      </c>
      <c r="H24" s="50">
        <f>IF(FT!B24&lt;&gt;"",FT!B24*100,"")</f>
        <v>58.127600000000001</v>
      </c>
      <c r="I24" s="50">
        <f t="shared" si="2"/>
        <v>1</v>
      </c>
      <c r="J24" t="str">
        <f>IF(FT!B24&lt;&gt;"",FT!E24,"")</f>
        <v>0 [8.884070]</v>
      </c>
      <c r="K24">
        <f>IF(FT!B24&lt;&gt;"",IF(FT!C24&lt;&gt;"",FT!C24,F24/$M$3*$M$4),"")</f>
        <v>8.8840699999999995</v>
      </c>
      <c r="P24">
        <f t="shared" si="10"/>
        <v>21</v>
      </c>
      <c r="Q24">
        <f t="shared" si="12"/>
        <v>0</v>
      </c>
      <c r="R24">
        <f t="shared" si="13"/>
        <v>0</v>
      </c>
      <c r="S24">
        <f t="array" ref="S24">MAX(IF(ft_nq=P24,row_n))</f>
        <v>0</v>
      </c>
      <c r="T24">
        <f t="shared" si="11"/>
        <v>1</v>
      </c>
      <c r="V24" s="300">
        <f>100-X23</f>
        <v>10</v>
      </c>
      <c r="W24" s="300">
        <f>100-X23</f>
        <v>10</v>
      </c>
      <c r="Y24" s="75">
        <f t="shared" si="3"/>
        <v>10.162238896775502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5.6962799999999998</v>
      </c>
      <c r="H25" s="50">
        <f>IF(FT!B25&lt;&gt;"",FT!B25*100,"")</f>
        <v>57.740400000000001</v>
      </c>
      <c r="I25" s="50">
        <f t="shared" si="2"/>
        <v>1</v>
      </c>
      <c r="J25" t="str">
        <f>IF(FT!B25&lt;&gt;"",FT!E25,"")</f>
        <v>0 [9.301755]</v>
      </c>
      <c r="K25">
        <f>IF(FT!B25&lt;&gt;"",IF(FT!C25&lt;&gt;"",FT!C25,F25/$M$3*$M$4),"")</f>
        <v>9.3017500000000002</v>
      </c>
      <c r="P25">
        <f t="shared" si="10"/>
        <v>22</v>
      </c>
      <c r="Q25">
        <f t="shared" si="12"/>
        <v>0</v>
      </c>
      <c r="R25">
        <f t="shared" si="13"/>
        <v>0</v>
      </c>
      <c r="S25">
        <f t="array" ref="S25">MAX(IF(ft_nq=P25,row_n))</f>
        <v>0</v>
      </c>
      <c r="T25">
        <f t="shared" si="11"/>
        <v>1</v>
      </c>
      <c r="V25" s="300">
        <f>X23</f>
        <v>90</v>
      </c>
      <c r="W25" s="300">
        <f>100-X23</f>
        <v>10</v>
      </c>
      <c r="Y25" s="75">
        <f t="shared" si="3"/>
        <v>10.136510143462049</v>
      </c>
    </row>
    <row r="26" spans="1:120">
      <c r="A26" s="50">
        <f t="shared" si="5"/>
        <v>24</v>
      </c>
      <c r="B26" s="50">
        <f t="shared" si="0"/>
        <v>0.45935905882352945</v>
      </c>
      <c r="C26" s="50">
        <f>IF(FH!$C$2&gt;0,FH!A26/FH!$C$2,0)</f>
        <v>5.3650083425879733E-4</v>
      </c>
      <c r="D26" s="50">
        <f>IF(hist!$D$2&gt;0,hist!B26/hist!$D$2,0)</f>
        <v>0.52079410752920563</v>
      </c>
      <c r="E26" s="50">
        <f t="shared" si="1"/>
        <v>1.1712170977183814E-3</v>
      </c>
      <c r="F26">
        <f t="shared" si="6"/>
        <v>24</v>
      </c>
      <c r="G26" s="50">
        <f>IF(FT!A26&lt;&gt;"",FT!A26*10,"")</f>
        <v>5.66859</v>
      </c>
      <c r="H26" s="50">
        <f>IF(FT!B26&lt;&gt;"",FT!B26*100,"")</f>
        <v>57.298400000000008</v>
      </c>
      <c r="I26" s="50">
        <f t="shared" si="2"/>
        <v>1</v>
      </c>
      <c r="J26" t="str">
        <f>IF(FT!B26&lt;&gt;"",FT!E26,"")</f>
        <v>0 [9.706817]</v>
      </c>
      <c r="K26">
        <f>IF(FT!B26&lt;&gt;"",IF(FT!C26&lt;&gt;"",FT!C26,F26/$M$3*$M$4),"")</f>
        <v>9.7068200000000004</v>
      </c>
      <c r="P26">
        <f t="shared" si="10"/>
        <v>23</v>
      </c>
      <c r="Q26">
        <f t="shared" si="12"/>
        <v>0</v>
      </c>
      <c r="R26">
        <f t="shared" si="13"/>
        <v>0</v>
      </c>
      <c r="S26">
        <f t="array" ref="S26">MAX(IF(ft_nq=P26,row_n))</f>
        <v>0</v>
      </c>
      <c r="T26">
        <f t="shared" si="11"/>
        <v>1</v>
      </c>
      <c r="V26" s="300">
        <f>X23</f>
        <v>90</v>
      </c>
      <c r="W26" s="300">
        <f>X23</f>
        <v>90</v>
      </c>
      <c r="Y26" s="75">
        <f t="shared" si="3"/>
        <v>10.108051561323011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낙천적인</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5.6382300000000001</v>
      </c>
      <c r="H27" s="50">
        <f>IF(FT!B27&lt;&gt;"",FT!B27*100,"")</f>
        <v>56.878900000000002</v>
      </c>
      <c r="I27" s="50">
        <f t="shared" si="2"/>
        <v>1</v>
      </c>
      <c r="J27" t="str">
        <f>IF(FT!B27&lt;&gt;"",FT!E27,"")</f>
        <v>0 [10.109800]</v>
      </c>
      <c r="K27">
        <f>IF(FT!B27&lt;&gt;"",IF(FT!C27&lt;&gt;"",FT!C27,F27/$M$3*$M$4),"")</f>
        <v>10.1098</v>
      </c>
      <c r="P27">
        <f t="shared" si="10"/>
        <v>24</v>
      </c>
      <c r="Q27">
        <f t="shared" si="12"/>
        <v>0</v>
      </c>
      <c r="R27">
        <f t="shared" si="13"/>
        <v>0</v>
      </c>
      <c r="S27">
        <f t="array" ref="S27">MAX(IF(ft_nq=P27,row_n))</f>
        <v>0</v>
      </c>
      <c r="T27">
        <f t="shared" si="11"/>
        <v>1</v>
      </c>
      <c r="V27" s="288">
        <v>60</v>
      </c>
      <c r="W27" s="288">
        <v>60</v>
      </c>
      <c r="X27" t="s">
        <v>1189</v>
      </c>
      <c r="Y27" s="75">
        <f t="shared" si="3"/>
        <v>10.088077286666206</v>
      </c>
      <c r="AS27" t="s">
        <v>2144</v>
      </c>
    </row>
    <row r="28" spans="1:120">
      <c r="A28" s="50">
        <f t="shared" si="5"/>
        <v>26</v>
      </c>
      <c r="B28" s="50">
        <f t="shared" si="0"/>
        <v>0.49763898039215687</v>
      </c>
      <c r="C28" s="50">
        <f>IF(FH!$C$2&gt;0,FH!A28/FH!$C$2,0)</f>
        <v>4.8014088511907638E-3</v>
      </c>
      <c r="D28" s="50">
        <f>IF(hist!$D$2&gt;0,hist!B28/hist!$D$2,0)</f>
        <v>0.49687547134071147</v>
      </c>
      <c r="E28" s="50">
        <f t="shared" si="1"/>
        <v>1.6268606609834346E-3</v>
      </c>
      <c r="F28">
        <f t="shared" si="6"/>
        <v>26</v>
      </c>
      <c r="G28" s="50">
        <f>IF(FT!A28&lt;&gt;"",FT!A28*10,"")</f>
        <v>5.6081199999999995</v>
      </c>
      <c r="H28" s="50">
        <f>IF(FT!B28&lt;&gt;"",FT!B28*100,"")</f>
        <v>56.37</v>
      </c>
      <c r="I28" s="50">
        <f t="shared" si="2"/>
        <v>1</v>
      </c>
      <c r="J28" t="str">
        <f>IF(FT!B28&lt;&gt;"",FT!E28,"")</f>
        <v>0 [10.525478]</v>
      </c>
      <c r="K28">
        <f>IF(FT!B28&lt;&gt;"",IF(FT!C28&lt;&gt;"",FT!C28,F28/$M$3*$M$4),"")</f>
        <v>10.525499999999999</v>
      </c>
      <c r="V28" s="288">
        <v>40</v>
      </c>
      <c r="W28" s="288">
        <v>60</v>
      </c>
      <c r="Y28" s="75">
        <f t="shared" si="3"/>
        <v>10.051496758271934</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5.57761</v>
      </c>
      <c r="H29" s="50">
        <f>IF(FT!B29&lt;&gt;"",FT!B29*100,"")</f>
        <v>55.877900000000004</v>
      </c>
      <c r="I29" s="50">
        <f t="shared" si="2"/>
        <v>1</v>
      </c>
      <c r="J29" t="str">
        <f>IF(FT!B29&lt;&gt;"",FT!E29,"")</f>
        <v>0 [10.921041]</v>
      </c>
      <c r="K29">
        <f>IF(FT!B29&lt;&gt;"",IF(FT!C29&lt;&gt;"",FT!C29,F29/$M$3*$M$4),"")</f>
        <v>10.920999999999999</v>
      </c>
      <c r="V29" s="288">
        <v>40</v>
      </c>
      <c r="W29" s="288">
        <v>40</v>
      </c>
      <c r="Y29" s="75">
        <f t="shared" si="3"/>
        <v>10.018251545016595</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5.54819</v>
      </c>
      <c r="H30" s="50">
        <f>IF(FT!B30&lt;&gt;"",FT!B30*100,"")</f>
        <v>55.436900000000001</v>
      </c>
      <c r="I30" s="50">
        <f t="shared" si="2"/>
        <v>1</v>
      </c>
      <c r="J30" t="str">
        <f>IF(FT!B30&lt;&gt;"",FT!E30,"")</f>
        <v>0 [11.326392]</v>
      </c>
      <c r="K30">
        <f>IF(FT!B30&lt;&gt;"",IF(FT!C30&lt;&gt;"",FT!C30,F30/$M$3*$M$4),"")</f>
        <v>11.3264</v>
      </c>
      <c r="V30" s="288">
        <v>60</v>
      </c>
      <c r="W30" s="288">
        <v>40</v>
      </c>
      <c r="Y30" s="75">
        <f t="shared" si="3"/>
        <v>9.9918892467633587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3.0455918408953129E-3</v>
      </c>
      <c r="D31" s="50">
        <f>IF(hist!$D$2&gt;0,hist!B31/hist!$D$2,0)</f>
        <v>0.48360152076548546</v>
      </c>
      <c r="E31" s="50">
        <f t="shared" si="1"/>
        <v>2.6223308754165743E-3</v>
      </c>
      <c r="F31">
        <f t="shared" si="6"/>
        <v>29</v>
      </c>
      <c r="G31" s="50">
        <f>IF(FT!A31&lt;&gt;"",FT!A31*10,"")</f>
        <v>5.5177800000000001</v>
      </c>
      <c r="H31" s="50">
        <f>IF(FT!B31&lt;&gt;"",FT!B31*100,"")</f>
        <v>54.999499999999998</v>
      </c>
      <c r="I31" s="50">
        <f t="shared" si="2"/>
        <v>1</v>
      </c>
      <c r="J31" t="str">
        <f>IF(FT!B31&lt;&gt;"",FT!E31,"")</f>
        <v>0 [11.733160]</v>
      </c>
      <c r="K31">
        <f>IF(FT!B31&lt;&gt;"",IF(FT!C31&lt;&gt;"",FT!C31,F31/$M$3*$M$4),"")</f>
        <v>11.7332</v>
      </c>
      <c r="V31" s="288">
        <v>60</v>
      </c>
      <c r="W31" s="288">
        <v>60</v>
      </c>
      <c r="Y31" s="75">
        <f t="shared" si="3"/>
        <v>9.9676862796269514</v>
      </c>
      <c r="CB31" t="str">
        <f ca="1">IF(W8=1,CB33,IF(W8=2,CB34,IF(W8=3,CB35,IF(W8=4,CB36,IF(W8=5,CB37,IF(W8=6,CB38,IF(W8=7,CB39,IF(W8=8,CB40,""))))))))</f>
        <v>심리적으로 편안하지만 심리적 정보가 감소할 가능성이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5.4959199999999999</v>
      </c>
      <c r="H32" s="50">
        <f>IF(FT!B32&lt;&gt;"",FT!B32*100,"")</f>
        <v>54.666099999999993</v>
      </c>
      <c r="I32" s="50">
        <f t="shared" si="2"/>
        <v>1</v>
      </c>
      <c r="J32" t="str">
        <f>IF(FT!B32&lt;&gt;"",FT!E32,"")</f>
        <v>0 [12.130537]</v>
      </c>
      <c r="K32">
        <f>IF(FT!B32&lt;&gt;"",IF(FT!C32&lt;&gt;"",FT!C32,F32/$M$3*$M$4),"")</f>
        <v>12.1305</v>
      </c>
      <c r="Y32" s="75">
        <f t="shared" si="3"/>
        <v>9.9466695293963507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7.4839183874930932E-3</v>
      </c>
      <c r="D33" s="50">
        <f>IF(hist!$D$2&gt;0,hist!B33/hist!$D$2,0)</f>
        <v>0.46802562820915877</v>
      </c>
      <c r="E33" s="50">
        <f t="shared" si="1"/>
        <v>3.5679933980341545E-3</v>
      </c>
      <c r="F33">
        <f t="shared" si="6"/>
        <v>31</v>
      </c>
      <c r="G33" s="50">
        <f>IF(FT!A33&lt;&gt;"",FT!A33*10,"")</f>
        <v>5.4634200000000002</v>
      </c>
      <c r="H33" s="50">
        <f>IF(FT!B33&lt;&gt;"",FT!B33*100,"")</f>
        <v>53.914999999999999</v>
      </c>
      <c r="I33" s="50">
        <f t="shared" si="2"/>
        <v>1</v>
      </c>
      <c r="J33" t="str">
        <f>IF(FT!B33&lt;&gt;"",FT!E33,"")</f>
        <v>0 [12.544520]</v>
      </c>
      <c r="K33">
        <f>IF(FT!B33&lt;&gt;"",IF(FT!C33&lt;&gt;"",FT!C33,F33/$M$3*$M$4),"")</f>
        <v>12.544499999999999</v>
      </c>
      <c r="W33" s="23">
        <f>FH_info!G2</f>
        <v>0.49058299999999999</v>
      </c>
      <c r="Y33" s="75">
        <f t="shared" si="3"/>
        <v>9.8683608435741714</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5.4414499999999997</v>
      </c>
      <c r="H34" s="50">
        <f>IF(FT!B34&lt;&gt;"",FT!B34*100,"")</f>
        <v>53.284299999999995</v>
      </c>
      <c r="I34" s="50">
        <f t="shared" si="2"/>
        <v>1</v>
      </c>
      <c r="J34" t="str">
        <f>IF(FT!B34&lt;&gt;"",FT!E34,"")</f>
        <v>0 [12.948012]</v>
      </c>
      <c r="K34">
        <f>IF(FT!B34&lt;&gt;"",IF(FT!C34&lt;&gt;"",FT!C34,F34/$M$3*$M$4),"")</f>
        <v>12.948</v>
      </c>
      <c r="V34" t="s">
        <v>1253</v>
      </c>
      <c r="W34" s="23">
        <f>IF(FH_info!G2&lt;&gt;0,(1-FH_info!G2)*100,0)</f>
        <v>50.941699999999997</v>
      </c>
      <c r="X34" t="s">
        <v>1054</v>
      </c>
      <c r="Y34" s="75">
        <f t="shared" si="3"/>
        <v>9.7922980088028009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5.4166899999999991</v>
      </c>
      <c r="H35" s="50">
        <f>IF(FT!B35&lt;&gt;"",FT!B35*100,"")</f>
        <v>52.676199999999994</v>
      </c>
      <c r="I35" s="50">
        <f t="shared" si="2"/>
        <v>1</v>
      </c>
      <c r="J35" t="str">
        <f>IF(FT!B35&lt;&gt;"",FT!E35,"")</f>
        <v>0 [13.367160]</v>
      </c>
      <c r="K35">
        <f>IF(FT!B35&lt;&gt;"",IF(FT!C35&lt;&gt;"",FT!C35,F35/$M$3*$M$4),"")</f>
        <v>13.3672</v>
      </c>
      <c r="V35" s="52">
        <f>IF(V36&gt;3,100,V36/3*100)</f>
        <v>81.709999999999994</v>
      </c>
      <c r="W35" s="23">
        <f>IF(FH_info!G2*1&lt;&gt;0,(1-NORMSDIST((FH_info!G2*1-0.5308)/0.1538))*100,0)</f>
        <v>60.314226382170268</v>
      </c>
      <c r="X35" t="s">
        <v>1053</v>
      </c>
      <c r="Y35" s="75">
        <f t="shared" si="3"/>
        <v>9.7247950316521727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7.6302221649954668E-3</v>
      </c>
      <c r="D36" s="50">
        <f>IF(hist!$D$2&gt;0,hist!B36/hist!$D$2,0)</f>
        <v>0.44956425952856643</v>
      </c>
      <c r="E36" s="50">
        <f t="shared" si="1"/>
        <v>5.5756637186695464E-3</v>
      </c>
      <c r="F36">
        <f t="shared" si="6"/>
        <v>34</v>
      </c>
      <c r="G36" s="50">
        <f>IF(FT!A36&lt;&gt;"",FT!A36*10,"")</f>
        <v>5.3927700000000005</v>
      </c>
      <c r="H36" s="50">
        <f>IF(FT!B36&lt;&gt;"",FT!B36*100,"")</f>
        <v>52.049399999999999</v>
      </c>
      <c r="I36" s="50">
        <f t="shared" si="2"/>
        <v>1</v>
      </c>
      <c r="J36" t="str">
        <f>IF(FT!B36&lt;&gt;"",FT!E36,"")</f>
        <v>0 [13.749106]</v>
      </c>
      <c r="K36">
        <f>IF(FT!B36&lt;&gt;"",IF(FT!C36&lt;&gt;"",FT!C36,F36/$M$3*$M$4),"")</f>
        <v>13.7491</v>
      </c>
      <c r="R36" s="71" t="s">
        <v>2215</v>
      </c>
      <c r="S36" t="s">
        <v>1251</v>
      </c>
      <c r="U36" t="s">
        <v>386</v>
      </c>
      <c r="V36" s="495">
        <f>FH_info!F2*1</f>
        <v>2.4512999999999998</v>
      </c>
      <c r="W36" s="495">
        <f>IF(W34&gt;=60,30/40*(W34-60)+70,IF(W34&gt;=35,35/25*(W34-35)+35,IF(W34&gt;=0,W34,0)))</f>
        <v>57.318379999999991</v>
      </c>
      <c r="X36" s="23" t="s">
        <v>388</v>
      </c>
      <c r="Y36" s="75">
        <f t="shared" si="3"/>
        <v>9.6517003321113251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5.3702799999999993</v>
      </c>
      <c r="H37" s="50">
        <f>IF(FT!B37&lt;&gt;"",FT!B37*100,"")</f>
        <v>51.487400000000008</v>
      </c>
      <c r="I37" s="50">
        <f t="shared" si="2"/>
        <v>1</v>
      </c>
      <c r="J37" t="str">
        <f>IF(FT!B37&lt;&gt;"",FT!E37,"")</f>
        <v>0 [14.169627]</v>
      </c>
      <c r="K37">
        <f>IF(FT!B37&lt;&gt;"",IF(FT!C37&lt;&gt;"",FT!C37,F37/$M$3*$M$4),"")</f>
        <v>14.169600000000001</v>
      </c>
      <c r="R37" s="71" t="s">
        <v>2222</v>
      </c>
      <c r="S37" t="s">
        <v>2216</v>
      </c>
      <c r="U37" t="s">
        <v>458</v>
      </c>
      <c r="V37" s="130" t="str">
        <f>IF(V36&gt;=2.5,"v","")</f>
        <v/>
      </c>
      <c r="W37" s="130" t="str">
        <f>IF(W36&gt;=60,"v","")</f>
        <v/>
      </c>
      <c r="Y37" s="75">
        <f t="shared" si="3"/>
        <v>9.5874702995002146</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5.3489699999999996</v>
      </c>
      <c r="H38" s="50">
        <f>IF(FT!B38&lt;&gt;"",FT!B38*100,"")</f>
        <v>50.937600000000003</v>
      </c>
      <c r="I38" s="50">
        <f t="shared" si="2"/>
        <v>1</v>
      </c>
      <c r="J38" t="str">
        <f>IF(FT!B38&lt;&gt;"",FT!E38,"")</f>
        <v>0 [14.572028]</v>
      </c>
      <c r="K38">
        <f>IF(FT!B38&lt;&gt;"",IF(FT!C38&lt;&gt;"",FT!C38,F38/$M$3*$M$4),"")</f>
        <v>14.571999999999999</v>
      </c>
      <c r="U38" t="s">
        <v>460</v>
      </c>
      <c r="V38" s="130" t="str">
        <f>IF(V36&gt;=1,IF(V36&lt;2.5,"v",""),"")</f>
        <v>v</v>
      </c>
      <c r="W38" s="130" t="str">
        <f>IF(W36*1&gt;35,IF(W36&lt;60,"v",""),"")</f>
        <v>v</v>
      </c>
      <c r="Y38" s="75">
        <f t="shared" si="3"/>
        <v>9.5228801058895467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4.5846410541168399E-3</v>
      </c>
      <c r="D39" s="50">
        <f>IF(hist!$D$2&gt;0,hist!B39/hist!$D$2,0)</f>
        <v>0.4418856173569789</v>
      </c>
      <c r="E39" s="50">
        <f t="shared" si="1"/>
        <v>8.5524460411445843E-3</v>
      </c>
      <c r="F39">
        <f t="shared" si="6"/>
        <v>37</v>
      </c>
      <c r="G39" s="50">
        <f>IF(FT!A39&lt;&gt;"",FT!A39*10,"")</f>
        <v>5.325569999999999</v>
      </c>
      <c r="H39" s="50">
        <f>IF(FT!B39&lt;&gt;"",FT!B39*100,"")</f>
        <v>50.404800000000009</v>
      </c>
      <c r="I39" s="50">
        <f t="shared" si="2"/>
        <v>1</v>
      </c>
      <c r="J39" t="str">
        <f>IF(FT!B39&lt;&gt;"",FT!E39,"")</f>
        <v>0 [14.976177]</v>
      </c>
      <c r="K39">
        <f>IF(FT!B39&lt;&gt;"",IF(FT!C39&lt;&gt;"",FT!C39,F39/$M$3*$M$4),"")</f>
        <v>14.9762</v>
      </c>
      <c r="U39" t="s">
        <v>462</v>
      </c>
      <c r="V39" s="131" t="str">
        <f>IF(V36&lt;1,"v","")</f>
        <v/>
      </c>
      <c r="W39" s="130" t="str">
        <f>IF(W36&lt;=35,"v","")</f>
        <v/>
      </c>
      <c r="Y39" s="75">
        <f t="shared" si="3"/>
        <v>9.4646770204879509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5.3020999999999994</v>
      </c>
      <c r="H40" s="50">
        <f>IF(FT!B40&lt;&gt;"",FT!B40*100,"")</f>
        <v>49.893100000000004</v>
      </c>
      <c r="I40" s="50">
        <f t="shared" si="2"/>
        <v>1</v>
      </c>
      <c r="J40" t="str">
        <f>IF(FT!B40&lt;&gt;"",FT!E40,"")</f>
        <v>0 [15.386076]</v>
      </c>
      <c r="K40">
        <f>IF(FT!B40&lt;&gt;"",IF(FT!C40&lt;&gt;"",FT!C40,F40/$M$3*$M$4),"")</f>
        <v>15.386100000000001</v>
      </c>
      <c r="V40" s="287" t="str">
        <f>IF(V36&lt;1,lang!B231,IF(V36&lt;2.5,lang!B230,lang!B229))</f>
        <v>보 통</v>
      </c>
      <c r="W40" s="287" t="str">
        <f>IF(W36&lt;=35,lang!B242,IF(W36&lt;60,lang!B241,lang!B240))</f>
        <v>보 통</v>
      </c>
      <c r="X40" t="s">
        <v>1055</v>
      </c>
      <c r="Y40" s="75">
        <f t="shared" si="3"/>
        <v>9.4100639369306514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6.1995890403609586E-3</v>
      </c>
      <c r="D41" s="50">
        <f>IF(hist!$D$2&gt;0,hist!B41/hist!$D$2,0)</f>
        <v>0.43299213915824053</v>
      </c>
      <c r="E41" s="50">
        <f t="shared" si="1"/>
        <v>1.1258088445618441E-2</v>
      </c>
      <c r="F41">
        <f t="shared" si="6"/>
        <v>39</v>
      </c>
      <c r="G41" s="50">
        <f>IF(FT!A41&lt;&gt;"",FT!A41*10,"")</f>
        <v>5.2759999999999998</v>
      </c>
      <c r="H41" s="50">
        <f>IF(FT!B41&lt;&gt;"",FT!B41*100,"")</f>
        <v>49.424600000000005</v>
      </c>
      <c r="I41" s="50">
        <f t="shared" si="2"/>
        <v>1</v>
      </c>
      <c r="J41" t="str">
        <f>IF(FT!B41&lt;&gt;"",FT!E41,"")</f>
        <v>0 [15.794642]</v>
      </c>
      <c r="K41">
        <f>IF(FT!B41&lt;&gt;"",IF(FT!C41&lt;&gt;"",FT!C41,F41/$M$3*$M$4),"")</f>
        <v>15.794600000000001</v>
      </c>
      <c r="V41" t="s">
        <v>2216</v>
      </c>
      <c r="W41" s="287" t="s">
        <v>2154</v>
      </c>
      <c r="X41" t="s">
        <v>1056</v>
      </c>
      <c r="Y41" s="75">
        <f t="shared" si="3"/>
        <v>9.3678165276724812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5.2462099999999996</v>
      </c>
      <c r="H42" s="50">
        <f>IF(FT!B42&lt;&gt;"",FT!B42*100,"")</f>
        <v>49.039100000000005</v>
      </c>
      <c r="I42" s="50">
        <f t="shared" si="2"/>
        <v>1</v>
      </c>
      <c r="J42" t="str">
        <f>IF(FT!B42&lt;&gt;"",FT!E42,"")</f>
        <v>0 [16.220880]</v>
      </c>
      <c r="K42">
        <f>IF(FT!B42&lt;&gt;"",IF(FT!C42&lt;&gt;"",FT!C42,F42/$M$3*$M$4),"")</f>
        <v>16.2209</v>
      </c>
      <c r="U42" t="s">
        <v>464</v>
      </c>
      <c r="V42" t="s">
        <v>273</v>
      </c>
      <c r="Y42" s="75">
        <f t="shared" si="3"/>
        <v>9.3475289780622592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5.2169600000000003</v>
      </c>
      <c r="H43" s="50">
        <f>IF(FT!B43&lt;&gt;"",FT!B43*100,"")</f>
        <v>48.7211</v>
      </c>
      <c r="I43" s="50">
        <f t="shared" si="2"/>
        <v>1</v>
      </c>
      <c r="J43" t="str">
        <f>IF(FT!B43&lt;&gt;"",FT!E43,"")</f>
        <v>0 [16.604949]</v>
      </c>
      <c r="K43">
        <f>IF(FT!B43&lt;&gt;"",IF(FT!C43&lt;&gt;"",FT!C43,F43/$M$3*$M$4),"")</f>
        <v>16.604900000000001</v>
      </c>
      <c r="V43" s="287" t="str">
        <f>IF(M!B17="","",IF(W43&lt;5,CJ4,IF(W43&lt;10,CK4,IF(W43&lt;30,CL4,IF(W43&lt;40,CM4,CN4)))))</f>
        <v>보통</v>
      </c>
      <c r="W43" s="287">
        <f>IF(M!B17="","",M!B17*1)</f>
        <v>19.9742</v>
      </c>
      <c r="Y43" s="75">
        <f t="shared" si="3"/>
        <v>9.3389828559160879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4.1890414339594301E-3</v>
      </c>
      <c r="D44" s="50">
        <f>IF(hist!$D$2&gt;0,hist!B44/hist!$D$2,0)</f>
        <v>0.42946656279004075</v>
      </c>
      <c r="E44" s="50">
        <f t="shared" si="1"/>
        <v>1.674147914535426E-2</v>
      </c>
      <c r="F44">
        <f t="shared" si="6"/>
        <v>42</v>
      </c>
      <c r="G44" s="50">
        <f>IF(FT!A44&lt;&gt;"",FT!A44*10,"")</f>
        <v>5.18987</v>
      </c>
      <c r="H44" s="50">
        <f>IF(FT!B44&lt;&gt;"",FT!B44*100,"")</f>
        <v>48.525700000000001</v>
      </c>
      <c r="I44" s="50">
        <f t="shared" si="2"/>
        <v>1</v>
      </c>
      <c r="J44" t="str">
        <f>IF(FT!B44&lt;&gt;"",FT!E44,"")</f>
        <v>0 [17.036480]</v>
      </c>
      <c r="K44">
        <f>IF(FT!B44&lt;&gt;"",IF(FT!C44&lt;&gt;"",FT!C44,F44/$M$3*$M$4),"")</f>
        <v>17.0365</v>
      </c>
      <c r="V44" s="287" t="str">
        <f>IF(M!B17="","",IF(W43&lt;5,CJ5,IF(W43&lt;10,CK5,IF(W43&lt;30,CL5,IF(W43&lt;40,CM5,CN5)))))</f>
        <v>감정변화가 안정된 정상적인 상태</v>
      </c>
      <c r="Y44" s="75">
        <f t="shared" si="3"/>
        <v>9.3500800598088194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5.1619599999999997</v>
      </c>
      <c r="H45" s="50">
        <f>IF(FT!B45&lt;&gt;"",FT!B45*100,"")</f>
        <v>48.442399999999999</v>
      </c>
      <c r="I45" s="50">
        <f t="shared" si="2"/>
        <v>1</v>
      </c>
      <c r="J45" t="str">
        <f>IF(FT!B45&lt;&gt;"",FT!E45,"")</f>
        <v>0 [17.417963]</v>
      </c>
      <c r="K45">
        <f>IF(FT!B45&lt;&gt;"",IF(FT!C45&lt;&gt;"",FT!C45,F45/$M$3*$M$4),"")</f>
        <v>17.417999999999999</v>
      </c>
      <c r="V45" s="287">
        <f>IF(M!B17="","",IF(W43&lt;5,CJ3,IF(W43&lt;10,CK3,IF(W43&lt;30,CL3,IF(W43&lt;40,CM3,CN3)))))</f>
        <v>3</v>
      </c>
      <c r="Y45" s="75">
        <f t="shared" si="3"/>
        <v>9.3844973614673499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3.2298423224048113E-3</v>
      </c>
      <c r="D46" s="50">
        <f>IF(hist!$D$2&gt;0,hist!B46/hist!$D$2,0)</f>
        <v>0.4281295719397093</v>
      </c>
      <c r="E46" s="50">
        <f t="shared" si="1"/>
        <v>2.1586972556187904E-2</v>
      </c>
      <c r="F46">
        <f t="shared" si="6"/>
        <v>44</v>
      </c>
      <c r="G46" s="50">
        <f>IF(FT!A46&lt;&gt;"",FT!A46*10,"")</f>
        <v>5.1349599999999995</v>
      </c>
      <c r="H46" s="50">
        <f>IF(FT!B46&lt;&gt;"",FT!B46*100,"")</f>
        <v>48.5032</v>
      </c>
      <c r="I46" s="50">
        <f t="shared" si="2"/>
        <v>1</v>
      </c>
      <c r="J46" t="str">
        <f>IF(FT!B46&lt;&gt;"",FT!E46,"")</f>
        <v>0 [17.850724]</v>
      </c>
      <c r="K46">
        <f>IF(FT!B46&lt;&gt;"",IF(FT!C46&lt;&gt;"",FT!C46,F46/$M$3*$M$4),"")</f>
        <v>17.8507</v>
      </c>
      <c r="Y46" s="75">
        <f t="shared" si="3"/>
        <v>9.4456821474753454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5.1076500000000005</v>
      </c>
      <c r="H47" s="50">
        <f>IF(FT!B47&lt;&gt;"",FT!B47*100,"")</f>
        <v>48.735099999999996</v>
      </c>
      <c r="I47" s="50">
        <f t="shared" si="2"/>
        <v>1</v>
      </c>
      <c r="J47" t="str">
        <f>IF(FT!B47&lt;&gt;"",FT!E47,"")</f>
        <v>0 [18.225606]</v>
      </c>
      <c r="K47">
        <f>IF(FT!B47&lt;&gt;"",IF(FT!C47&lt;&gt;"",FT!C47,F47/$M$3*$M$4),"")</f>
        <v>18.2256</v>
      </c>
      <c r="Y47" s="75">
        <f t="shared" si="3"/>
        <v>9.5415895764196819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5.0849000000000002</v>
      </c>
      <c r="H48" s="50">
        <f>IF(FT!B48&lt;&gt;"",FT!B48*100,"")</f>
        <v>48.945300000000003</v>
      </c>
      <c r="I48" s="50">
        <f t="shared" si="2"/>
        <v>1</v>
      </c>
      <c r="J48" t="str">
        <f>IF(FT!B48&lt;&gt;"",FT!E48,"")</f>
        <v>0 [18.641498]</v>
      </c>
      <c r="K48">
        <f>IF(FT!B48&lt;&gt;"",IF(FT!C48&lt;&gt;"",FT!C48,F48/$M$3*$M$4),"")</f>
        <v>18.641500000000001</v>
      </c>
      <c r="Y48" s="75">
        <f t="shared" si="3"/>
        <v>9.6256170229503049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3.5604126764417119E-3</v>
      </c>
      <c r="D49" s="50">
        <f>IF(hist!$D$2&gt;0,hist!B49/hist!$D$2,0)</f>
        <v>0.41314750348753004</v>
      </c>
      <c r="E49" s="50">
        <f t="shared" si="1"/>
        <v>3.1121198171857465E-2</v>
      </c>
      <c r="F49">
        <f t="shared" si="6"/>
        <v>47</v>
      </c>
      <c r="G49" s="50">
        <f>IF(FT!A49&lt;&gt;"",FT!A49*10,"")</f>
        <v>5.0645600000000002</v>
      </c>
      <c r="H49" s="50">
        <f>IF(FT!B49&lt;&gt;"",FT!B49*100,"")</f>
        <v>49.159300000000002</v>
      </c>
      <c r="I49" s="50">
        <f t="shared" si="2"/>
        <v>1</v>
      </c>
      <c r="J49" t="str">
        <f>IF(FT!B49&lt;&gt;"",FT!E49,"")</f>
        <v>0 [19.031661]</v>
      </c>
      <c r="K49">
        <f>IF(FT!B49&lt;&gt;"",IF(FT!C49&lt;&gt;"",FT!C49,F49/$M$3*$M$4),"")</f>
        <v>19.031700000000001</v>
      </c>
      <c r="Y49" s="75">
        <f t="shared" si="3"/>
        <v>9.7065292937589849</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5.0452699999999995</v>
      </c>
      <c r="H50" s="50">
        <f>IF(FT!B50&lt;&gt;"",FT!B50*100,"")</f>
        <v>49.427500000000002</v>
      </c>
      <c r="I50" s="50">
        <f t="shared" si="2"/>
        <v>1</v>
      </c>
      <c r="J50" t="str">
        <f>IF(FT!B50&lt;&gt;"",FT!E50,"")</f>
        <v>0 [19.444749]</v>
      </c>
      <c r="K50">
        <f>IF(FT!B50&lt;&gt;"",IF(FT!C50&lt;&gt;"",FT!C50,F50/$M$3*$M$4),"")</f>
        <v>19.444700000000001</v>
      </c>
      <c r="V50" t="s">
        <v>1427</v>
      </c>
      <c r="Y50" s="75">
        <f t="shared" si="3"/>
        <v>9.7967997748386129</v>
      </c>
    </row>
    <row r="51" spans="1:25">
      <c r="A51" s="50">
        <f t="shared" si="5"/>
        <v>49</v>
      </c>
      <c r="B51" s="50">
        <f t="shared" si="0"/>
        <v>0.9378580784313727</v>
      </c>
      <c r="C51" s="50">
        <f>IF(FH!$C$2&gt;0,FH!A51/FH!$C$2,0)</f>
        <v>1.2599614792401003E-2</v>
      </c>
      <c r="D51" s="50">
        <f>IF(hist!$D$2&gt;0,hist!B51/hist!$D$2,0)</f>
        <v>0.4022059006068</v>
      </c>
      <c r="E51" s="50">
        <f t="shared" si="1"/>
        <v>3.9307717128250957E-2</v>
      </c>
      <c r="F51">
        <f t="shared" si="6"/>
        <v>49</v>
      </c>
      <c r="G51" s="50">
        <f>IF(FT!A51&lt;&gt;"",FT!A51*10,"")</f>
        <v>5.0293299999999999</v>
      </c>
      <c r="H51" s="50">
        <f>IF(FT!B51&lt;&gt;"",FT!B51*100,"")</f>
        <v>49.652299999999997</v>
      </c>
      <c r="I51" s="50">
        <f t="shared" si="2"/>
        <v>1</v>
      </c>
      <c r="J51" t="str">
        <f>IF(FT!B51&lt;&gt;"",FT!E51,"")</f>
        <v>0 [19.906189]</v>
      </c>
      <c r="K51">
        <f>IF(FT!B51&lt;&gt;"",IF(FT!C51&lt;&gt;"",FT!C51,F51/$M$3*$M$4),"")</f>
        <v>19.906199999999998</v>
      </c>
      <c r="V51" s="56">
        <v>50</v>
      </c>
      <c r="W51">
        <v>50</v>
      </c>
      <c r="Y51" s="75">
        <f t="shared" si="3"/>
        <v>9.872547635569747</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5.0154299999999994</v>
      </c>
      <c r="H52" s="50">
        <f>IF(FT!B52&lt;&gt;"",FT!B52*100,"")</f>
        <v>49.840600000000002</v>
      </c>
      <c r="I52" s="50">
        <f t="shared" si="2"/>
        <v>1</v>
      </c>
      <c r="J52" t="str">
        <f>IF(FT!B52&lt;&gt;"",FT!E52,"")</f>
        <v>0 [20.262236]</v>
      </c>
      <c r="K52">
        <f>IF(FT!B52&lt;&gt;"",IF(FT!C52&lt;&gt;"",FT!C52,F52/$M$3*$M$4),"")</f>
        <v>20.2622</v>
      </c>
      <c r="V52" s="288">
        <f>Measurement!DK17*100</f>
        <v>82.992439358383365</v>
      </c>
      <c r="W52" s="303">
        <f ca="1">100-N9</f>
        <v>45.924371717171724</v>
      </c>
      <c r="X52" t="str">
        <f ca="1">"(" &amp; ROUND(V52,1) &amp; " , " &amp; ROUND(100-W52,1) &amp; ")"</f>
        <v>(83 , 54.1)</v>
      </c>
      <c r="Y52" s="75">
        <f t="shared" si="3"/>
        <v>9.9374530199803424</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5.0007900000000003</v>
      </c>
      <c r="H53" s="50">
        <f>IF(FT!B53&lt;&gt;"",FT!B53*100,"")</f>
        <v>50.016400000000004</v>
      </c>
      <c r="I53" s="50">
        <f t="shared" si="2"/>
        <v>1</v>
      </c>
      <c r="J53" t="str">
        <f>IF(FT!B53&lt;&gt;"",FT!E53,"")</f>
        <v>0 [20.676918]</v>
      </c>
      <c r="K53">
        <f>IF(FT!B53&lt;&gt;"",IF(FT!C53&lt;&gt;"",FT!C53,F53/$M$3*$M$4),"")</f>
        <v>20.6769</v>
      </c>
      <c r="Y53" s="75">
        <f t="shared" si="3"/>
        <v>10.001699731442432</v>
      </c>
    </row>
    <row r="54" spans="1:25">
      <c r="A54" s="50">
        <f t="shared" si="5"/>
        <v>52</v>
      </c>
      <c r="B54" s="50">
        <f t="shared" si="0"/>
        <v>0.99527796078431374</v>
      </c>
      <c r="C54" s="50">
        <f>IF(FH!$C$2&gt;0,FH!A54/FH!$C$2,0)</f>
        <v>5.8852532015687287E-3</v>
      </c>
      <c r="D54" s="50">
        <f>IF(hist!$D$2&gt;0,hist!B54/hist!$D$2,0)</f>
        <v>0.38996800776550444</v>
      </c>
      <c r="E54" s="50">
        <f t="shared" si="1"/>
        <v>5.4938625718923786E-2</v>
      </c>
      <c r="F54">
        <f t="shared" si="6"/>
        <v>52</v>
      </c>
      <c r="G54" s="50">
        <f>IF(FT!A54&lt;&gt;"",FT!A54*10,"")</f>
        <v>4.9850099999999999</v>
      </c>
      <c r="H54" s="50">
        <f>IF(FT!B54&lt;&gt;"",FT!B54*100,"")</f>
        <v>50.164900000000003</v>
      </c>
      <c r="I54" s="50">
        <f t="shared" si="2"/>
        <v>1</v>
      </c>
      <c r="J54" t="str">
        <f>IF(FT!B54&lt;&gt;"",FT!E54,"")</f>
        <v>0 [21.074758]</v>
      </c>
      <c r="K54">
        <f>IF(FT!B54&lt;&gt;"",IF(FT!C54&lt;&gt;"",FT!C54,F54/$M$3*$M$4),"")</f>
        <v>21.0748</v>
      </c>
      <c r="Y54" s="75">
        <f t="shared" si="3"/>
        <v>10.063149321666357</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4.9690099999999999</v>
      </c>
      <c r="H55" s="50">
        <f>IF(FT!B55&lt;&gt;"",FT!B55*100,"")</f>
        <v>50.266599999999997</v>
      </c>
      <c r="I55" s="50">
        <f t="shared" si="2"/>
        <v>1</v>
      </c>
      <c r="J55" t="str">
        <f>IF(FT!B55&lt;&gt;"",FT!E55,"")</f>
        <v>0 [21.487849]</v>
      </c>
      <c r="K55">
        <f>IF(FT!B55&lt;&gt;"",IF(FT!C55&lt;&gt;"",FT!C55,F55/$M$3*$M$4),"")</f>
        <v>21.4878</v>
      </c>
      <c r="Y55" s="75">
        <f t="shared" si="3"/>
        <v>10.116019086296868</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4.9557599999999997</v>
      </c>
      <c r="H56" s="50">
        <f>IF(FT!B56&lt;&gt;"",FT!B56*100,"")</f>
        <v>50.355799999999995</v>
      </c>
      <c r="I56" s="50">
        <f t="shared" si="2"/>
        <v>1</v>
      </c>
      <c r="J56" t="str">
        <f>IF(FT!B56&lt;&gt;"",FT!E56,"")</f>
        <v>0 [21.890325]</v>
      </c>
      <c r="K56">
        <f>IF(FT!B56&lt;&gt;"",IF(FT!C56&lt;&gt;"",FT!C56,F56/$M$3*$M$4),"")</f>
        <v>21.8903</v>
      </c>
      <c r="Y56" s="75">
        <f t="shared" si="3"/>
        <v>10.161065104040551</v>
      </c>
    </row>
    <row r="57" spans="1:25">
      <c r="A57" s="50">
        <f t="shared" si="5"/>
        <v>55</v>
      </c>
      <c r="B57" s="50">
        <f t="shared" si="0"/>
        <v>1.0526978431372551</v>
      </c>
      <c r="C57" s="50">
        <f>IF(FH!$C$2&gt;0,FH!A57/FH!$C$2,0)</f>
        <v>4.5250304464223446E-3</v>
      </c>
      <c r="D57" s="50">
        <f>IF(hist!$D$2&gt;0,hist!B57/hist!$D$2,0)</f>
        <v>0.37762877471546408</v>
      </c>
      <c r="E57" s="50">
        <f t="shared" si="1"/>
        <v>7.5370084223679246E-2</v>
      </c>
      <c r="F57">
        <f t="shared" si="6"/>
        <v>55</v>
      </c>
      <c r="G57" s="50">
        <f>IF(FT!A57&lt;&gt;"",FT!A57*10,"")</f>
        <v>4.94421</v>
      </c>
      <c r="H57" s="50">
        <f>IF(FT!B57&lt;&gt;"",FT!B57*100,"")</f>
        <v>50.472999999999999</v>
      </c>
      <c r="I57" s="50">
        <f t="shared" si="2"/>
        <v>1</v>
      </c>
      <c r="J57" t="str">
        <f>IF(FT!B57&lt;&gt;"",FT!E57,"")</f>
        <v>0 [22.334485]</v>
      </c>
      <c r="K57">
        <f>IF(FT!B57&lt;&gt;"",IF(FT!C57&lt;&gt;"",FT!C57,F57/$M$3*$M$4),"")</f>
        <v>22.334499999999998</v>
      </c>
      <c r="Y57" s="75">
        <f t="shared" si="3"/>
        <v>10.208506515702204</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4.9343599999999999</v>
      </c>
      <c r="H58" s="50">
        <f>IF(FT!B58&lt;&gt;"",FT!B58*100,"")</f>
        <v>50.580899999999993</v>
      </c>
      <c r="I58" s="50">
        <f t="shared" si="2"/>
        <v>1</v>
      </c>
      <c r="J58" t="str">
        <f>IF(FT!B58&lt;&gt;"",FT!E58,"")</f>
        <v>0 [22.695020]</v>
      </c>
      <c r="K58">
        <f>IF(FT!B58&lt;&gt;"",IF(FT!C58&lt;&gt;"",FT!C58,F58/$M$3*$M$4),"")</f>
        <v>22.695</v>
      </c>
      <c r="Y58" s="75">
        <f t="shared" si="3"/>
        <v>10.250751870556666</v>
      </c>
    </row>
    <row r="59" spans="1:25" ht="16.5" customHeight="1">
      <c r="A59" s="50">
        <f t="shared" si="5"/>
        <v>57</v>
      </c>
      <c r="B59" s="50">
        <f t="shared" si="0"/>
        <v>1.0909777647058825</v>
      </c>
      <c r="C59" s="50">
        <f>IF(FH!$C$2&gt;0,FH!A59/FH!$C$2,0)</f>
        <v>1.1299029469990826E-2</v>
      </c>
      <c r="D59" s="50">
        <f>IF(hist!$D$2&gt;0,hist!B59/hist!$D$2,0)</f>
        <v>0.36926529991507262</v>
      </c>
      <c r="E59" s="50">
        <f t="shared" si="1"/>
        <v>9.2099712237686773E-2</v>
      </c>
      <c r="F59">
        <f t="shared" si="6"/>
        <v>57</v>
      </c>
      <c r="G59" s="50">
        <f>IF(FT!A59&lt;&gt;"",FT!A59*10,"")</f>
        <v>4.9227799999999995</v>
      </c>
      <c r="H59" s="50">
        <f>IF(FT!B59&lt;&gt;"",FT!B59*100,"")</f>
        <v>50.7258</v>
      </c>
      <c r="I59" s="50">
        <f t="shared" si="2"/>
        <v>1</v>
      </c>
      <c r="J59" t="str">
        <f>IF(FT!B59&lt;&gt;"",FT!E59,"")</f>
        <v>0 [23.101965]</v>
      </c>
      <c r="K59">
        <f>IF(FT!B59&lt;&gt;"",IF(FT!C59&lt;&gt;"",FT!C59,F59/$M$3*$M$4),"")</f>
        <v>23.102</v>
      </c>
      <c r="Y59" s="75">
        <f t="shared" si="3"/>
        <v>10.304299603069811</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4.9098100000000002</v>
      </c>
      <c r="H60" s="50">
        <f>IF(FT!B60&lt;&gt;"",FT!B60*100,"")</f>
        <v>50.870400000000004</v>
      </c>
      <c r="I60" s="50">
        <f t="shared" si="2"/>
        <v>1</v>
      </c>
      <c r="J60" t="str">
        <f>IF(FT!B60&lt;&gt;"",FT!E60,"")</f>
        <v>0 [23.520139]</v>
      </c>
      <c r="K60">
        <f>IF(FT!B60&lt;&gt;"",IF(FT!C60&lt;&gt;"",FT!C60,F60/$M$3*$M$4),"")</f>
        <v>23.520099999999999</v>
      </c>
      <c r="Y60" s="75">
        <f t="shared" si="3"/>
        <v>10.360971198478149</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4.8985899999999996</v>
      </c>
      <c r="H61" s="50">
        <f>IF(FT!B61&lt;&gt;"",FT!B61*100,"")</f>
        <v>51.072200000000002</v>
      </c>
      <c r="I61" s="50">
        <f t="shared" si="2"/>
        <v>1</v>
      </c>
      <c r="J61" t="str">
        <f>IF(FT!B61&lt;&gt;"",FT!E61,"")</f>
        <v>0 [23.917642]</v>
      </c>
      <c r="K61">
        <f>IF(FT!B61&lt;&gt;"",IF(FT!C61&lt;&gt;"",FT!C61,F61/$M$3*$M$4),"")</f>
        <v>23.9176</v>
      </c>
      <c r="Y61" s="75">
        <f t="shared" si="3"/>
        <v>10.425898064545105</v>
      </c>
    </row>
    <row r="62" spans="1:25">
      <c r="A62" s="50">
        <f t="shared" si="5"/>
        <v>60</v>
      </c>
      <c r="B62" s="50">
        <f t="shared" si="0"/>
        <v>1.1483976470588235</v>
      </c>
      <c r="C62" s="50">
        <f>IF(FH!$C$2&gt;0,FH!A62/FH!$C$2,0)</f>
        <v>1.1624202625635084E-2</v>
      </c>
      <c r="D62" s="50">
        <f>IF(hist!$D$2&gt;0,hist!B62/hist!$D$2,0)</f>
        <v>0.36460943939374652</v>
      </c>
      <c r="E62" s="50">
        <f t="shared" si="1"/>
        <v>0.12249401847846332</v>
      </c>
      <c r="F62">
        <f t="shared" si="6"/>
        <v>60</v>
      </c>
      <c r="G62" s="50">
        <f>IF(FT!A62&lt;&gt;"",FT!A62*10,"")</f>
        <v>4.8887599999999996</v>
      </c>
      <c r="H62" s="50">
        <f>IF(FT!B62&lt;&gt;"",FT!B62*100,"")</f>
        <v>51.283799999999999</v>
      </c>
      <c r="I62" s="50">
        <f t="shared" si="2"/>
        <v>1</v>
      </c>
      <c r="J62" t="str">
        <f>IF(FT!B62&lt;&gt;"",FT!E62,"")</f>
        <v>0 [24.341191]</v>
      </c>
      <c r="K62">
        <f>IF(FT!B62&lt;&gt;"",IF(FT!C62&lt;&gt;"",FT!C62,F62/$M$3*$M$4),"")</f>
        <v>24.341200000000001</v>
      </c>
      <c r="Y62" s="75">
        <f t="shared" si="3"/>
        <v>10.490144740179515</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4.8788299999999998</v>
      </c>
      <c r="H63" s="50">
        <f>IF(FT!B63&lt;&gt;"",FT!B63*100,"")</f>
        <v>51.557499999999997</v>
      </c>
      <c r="I63" s="50">
        <f t="shared" si="2"/>
        <v>1</v>
      </c>
      <c r="J63" t="str">
        <f>IF(FT!B63&lt;&gt;"",FT!E63,"")</f>
        <v>0 [24.744176]</v>
      </c>
      <c r="K63">
        <f>IF(FT!B63&lt;&gt;"",IF(FT!C63&lt;&gt;"",FT!C63,F63/$M$3*$M$4),"")</f>
        <v>24.744199999999999</v>
      </c>
      <c r="Y63" s="75">
        <f t="shared" si="3"/>
        <v>10.567595099644793</v>
      </c>
    </row>
    <row r="64" spans="1:25">
      <c r="A64" s="50">
        <f t="shared" si="5"/>
        <v>62</v>
      </c>
      <c r="B64" s="50">
        <f t="shared" si="0"/>
        <v>1.1866775686274511</v>
      </c>
      <c r="C64" s="50">
        <f>IF(FH!$C$2&gt;0,FH!A64/FH!$C$2,0)</f>
        <v>1.2485822965454712E-2</v>
      </c>
      <c r="D64" s="50">
        <f>IF(hist!$D$2&gt;0,hist!B64/hist!$D$2,0)</f>
        <v>0.35704495685517929</v>
      </c>
      <c r="E64" s="50">
        <f t="shared" si="1"/>
        <v>0.14662153254354823</v>
      </c>
      <c r="F64">
        <f t="shared" si="6"/>
        <v>62</v>
      </c>
      <c r="G64" s="50">
        <f>IF(FT!A64&lt;&gt;"",FT!A64*10,"")</f>
        <v>4.8726399999999996</v>
      </c>
      <c r="H64" s="50">
        <f>IF(FT!B64&lt;&gt;"",FT!B64*100,"")</f>
        <v>51.834499999999991</v>
      </c>
      <c r="I64" s="50">
        <f t="shared" si="2"/>
        <v>1</v>
      </c>
      <c r="J64" t="str">
        <f>IF(FT!B64&lt;&gt;"",FT!E64,"")</f>
        <v>0 [25.129440]</v>
      </c>
      <c r="K64">
        <f>IF(FT!B64&lt;&gt;"",IF(FT!C64&lt;&gt;"",FT!C64,F64/$M$3*$M$4),"")</f>
        <v>25.1294</v>
      </c>
      <c r="Y64" s="75">
        <f t="shared" si="3"/>
        <v>10.637867767780914</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4.8678799999999995</v>
      </c>
      <c r="H65" s="50">
        <f>IF(FT!B65&lt;&gt;"",FT!B65*100,"")</f>
        <v>52.123299999999993</v>
      </c>
      <c r="I65" s="50">
        <f t="shared" si="2"/>
        <v>1</v>
      </c>
      <c r="J65" t="str">
        <f>IF(FT!B65&lt;&gt;"",FT!E65,"")</f>
        <v>0 [25.538474]</v>
      </c>
      <c r="K65">
        <f>IF(FT!B65&lt;&gt;"",IF(FT!C65&lt;&gt;"",FT!C65,F65/$M$3*$M$4),"")</f>
        <v>25.538499999999999</v>
      </c>
      <c r="Y65" s="75">
        <f t="shared" si="3"/>
        <v>10.707597557869134</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4.8649399999999998</v>
      </c>
      <c r="H66" s="50">
        <f>IF(FT!B66&lt;&gt;"",FT!B66*100,"")</f>
        <v>52.434699999999999</v>
      </c>
      <c r="I66" s="50">
        <f t="shared" si="2"/>
        <v>1</v>
      </c>
      <c r="J66" t="str">
        <f>IF(FT!B66&lt;&gt;"",FT!E66,"")</f>
        <v>0 [25.948584]</v>
      </c>
      <c r="K66">
        <f>IF(FT!B66&lt;&gt;"",IF(FT!C66&lt;&gt;"",FT!C66,F66/$M$3*$M$4),"")</f>
        <v>25.948599999999999</v>
      </c>
      <c r="Y66" s="75">
        <f t="shared" si="3"/>
        <v>10.778077427470842</v>
      </c>
    </row>
    <row r="67" spans="1:25">
      <c r="A67" s="50">
        <f t="shared" si="5"/>
        <v>65</v>
      </c>
      <c r="B67" s="50">
        <f t="shared" ref="B67:B130" si="16">A67/255*$M$2</f>
        <v>1.2440974509803921</v>
      </c>
      <c r="C67" s="50">
        <f>IF(FH!$C$2&gt;0,FH!A67/FH!$C$2,0)</f>
        <v>2.499879287312292E-2</v>
      </c>
      <c r="D67" s="50">
        <f>IF(hist!$D$2&gt;0,hist!B67/hist!$D$2,0)</f>
        <v>0.34836622226691233</v>
      </c>
      <c r="E67" s="50">
        <f t="shared" ref="E67:E130" si="17">NORMDIST(B67,2,0.421,FALSE)</f>
        <v>0.18905569449700943</v>
      </c>
      <c r="F67">
        <f t="shared" si="6"/>
        <v>65</v>
      </c>
      <c r="G67" s="50">
        <f>IF(FT!A67&lt;&gt;"",FT!A67*10,"")</f>
        <v>4.8641899999999998</v>
      </c>
      <c r="H67" s="50">
        <f>IF(FT!B67&lt;&gt;"",FT!B67*100,"")</f>
        <v>52.707300000000004</v>
      </c>
      <c r="I67" s="50">
        <f t="shared" ref="I67:I130" si="18">(IF(G67&lt;&gt;"",1,""))</f>
        <v>1</v>
      </c>
      <c r="J67" t="str">
        <f>IF(FT!B67&lt;&gt;"",FT!E67,"")</f>
        <v>0 [26.363871]</v>
      </c>
      <c r="K67">
        <f>IF(FT!B67&lt;&gt;"",IF(FT!C67&lt;&gt;"",FT!C67,F67/$M$3*$M$4),"")</f>
        <v>26.363900000000001</v>
      </c>
      <c r="Y67" s="75">
        <f t="shared" ref="Y67:Y130" si="19">IF(I67=1,H67/G67,"")</f>
        <v>10.835781497022117</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4.8622399999999999</v>
      </c>
      <c r="H68" s="50">
        <f>IF(FT!B68&lt;&gt;"",FT!B68*100,"")</f>
        <v>52.965200000000003</v>
      </c>
      <c r="I68" s="50">
        <f t="shared" si="18"/>
        <v>1</v>
      </c>
      <c r="J68" t="str">
        <f>IF(FT!B68&lt;&gt;"",FT!E68,"")</f>
        <v>0 [26.764638]</v>
      </c>
      <c r="K68">
        <f>IF(FT!B68&lt;&gt;"",IF(FT!C68&lt;&gt;"",FT!C68,F68/$M$3*$M$4),"")</f>
        <v>26.764600000000002</v>
      </c>
      <c r="Y68" s="75">
        <f t="shared" si="19"/>
        <v>10.893168580736452</v>
      </c>
    </row>
    <row r="69" spans="1:25" ht="16.5" customHeight="1">
      <c r="A69" s="50">
        <f t="shared" si="20"/>
        <v>67</v>
      </c>
      <c r="B69" s="50">
        <f t="shared" si="16"/>
        <v>1.2823773725490197</v>
      </c>
      <c r="C69" s="50">
        <f>IF(FH!$C$2&gt;0,FH!A69/FH!$C$2,0)</f>
        <v>2.7209820111270273E-2</v>
      </c>
      <c r="D69" s="50">
        <f>IF(hist!$D$2&gt;0,hist!B69/hist!$D$2,0)</f>
        <v>0.34144908414653402</v>
      </c>
      <c r="E69" s="50">
        <f t="shared" si="17"/>
        <v>0.22166454586484666</v>
      </c>
      <c r="F69">
        <f t="shared" si="21"/>
        <v>67</v>
      </c>
      <c r="G69" s="50">
        <f>IF(FT!A69&lt;&gt;"",FT!A69*10,"")</f>
        <v>4.8571599999999995</v>
      </c>
      <c r="H69" s="50">
        <f>IF(FT!B69&lt;&gt;"",FT!B69*100,"")</f>
        <v>53.1706</v>
      </c>
      <c r="I69" s="50">
        <f t="shared" si="18"/>
        <v>1</v>
      </c>
      <c r="J69" t="str">
        <f>IF(FT!B69&lt;&gt;"",FT!E69,"")</f>
        <v>0 [27.187976]</v>
      </c>
      <c r="K69">
        <f>IF(FT!B69&lt;&gt;"",IF(FT!C69&lt;&gt;"",FT!C69,F69/$M$3*$M$4),"")</f>
        <v>27.187999999999999</v>
      </c>
      <c r="Y69" s="75">
        <f t="shared" si="19"/>
        <v>10.946849599354357</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4.8522499999999997</v>
      </c>
      <c r="H70" s="50">
        <f>IF(FT!B70&lt;&gt;"",FT!B70*100,"")</f>
        <v>53.367399999999996</v>
      </c>
      <c r="I70" s="50">
        <f t="shared" si="18"/>
        <v>1</v>
      </c>
      <c r="J70" t="str">
        <f>IF(FT!B70&lt;&gt;"",FT!E70,"")</f>
        <v>0 [27.576272]</v>
      </c>
      <c r="K70">
        <f>IF(FT!B70&lt;&gt;"",IF(FT!C70&lt;&gt;"",FT!C70,F70/$M$3*$M$4),"")</f>
        <v>27.5763</v>
      </c>
      <c r="Y70" s="75">
        <f t="shared" si="19"/>
        <v>10.998485238806738</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4.84389</v>
      </c>
      <c r="H71" s="50">
        <f>IF(FT!B71&lt;&gt;"",FT!B71*100,"")</f>
        <v>53.552</v>
      </c>
      <c r="I71" s="50">
        <f t="shared" si="18"/>
        <v>1</v>
      </c>
      <c r="J71" t="str">
        <f>IF(FT!B71&lt;&gt;"",FT!E71,"")</f>
        <v>0 [27.992376]</v>
      </c>
      <c r="K71">
        <f>IF(FT!B71&lt;&gt;"",IF(FT!C71&lt;&gt;"",FT!C71,F71/$M$3*$M$4),"")</f>
        <v>27.9924</v>
      </c>
      <c r="Y71" s="75">
        <f t="shared" si="19"/>
        <v>11.055577232348382</v>
      </c>
    </row>
    <row r="72" spans="1:25">
      <c r="A72" s="50">
        <f t="shared" si="20"/>
        <v>70</v>
      </c>
      <c r="B72" s="50">
        <f t="shared" si="16"/>
        <v>1.339797254901961</v>
      </c>
      <c r="C72" s="50">
        <f>IF(FH!$C$2&gt;0,FH!A72/FH!$C$2,0)</f>
        <v>2.6424007339331413E-2</v>
      </c>
      <c r="D72" s="50">
        <f>IF(hist!$D$2&gt;0,hist!B72/hist!$D$2,0)</f>
        <v>0.32811609016112836</v>
      </c>
      <c r="E72" s="50">
        <f t="shared" si="17"/>
        <v>0.27709178075522412</v>
      </c>
      <c r="F72">
        <f t="shared" si="21"/>
        <v>70</v>
      </c>
      <c r="G72" s="50">
        <f>IF(FT!A72&lt;&gt;"",FT!A72*10,"")</f>
        <v>4.8332199999999998</v>
      </c>
      <c r="H72" s="50">
        <f>IF(FT!B72&lt;&gt;"",FT!B72*100,"")</f>
        <v>53.653500000000001</v>
      </c>
      <c r="I72" s="50">
        <f t="shared" si="18"/>
        <v>1</v>
      </c>
      <c r="J72" t="str">
        <f>IF(FT!B72&lt;&gt;"",FT!E72,"")</f>
        <v>0 [28.386731]</v>
      </c>
      <c r="K72">
        <f>IF(FT!B72&lt;&gt;"",IF(FT!C72&lt;&gt;"",FT!C72,F72/$M$3*$M$4),"")</f>
        <v>28.386700000000001</v>
      </c>
      <c r="Y72" s="75">
        <f t="shared" si="19"/>
        <v>11.100984436876452</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4.8221299999999996</v>
      </c>
      <c r="H73" s="50">
        <f>IF(FT!B73&lt;&gt;"",FT!B73*100,"")</f>
        <v>53.740600000000008</v>
      </c>
      <c r="I73" s="50">
        <f t="shared" si="18"/>
        <v>1</v>
      </c>
      <c r="J73" t="str">
        <f>IF(FT!B73&lt;&gt;"",FT!E73,"")</f>
        <v>0 [28.819864]</v>
      </c>
      <c r="K73">
        <f>IF(FT!B73&lt;&gt;"",IF(FT!C73&lt;&gt;"",FT!C73,F73/$M$3*$M$4),"")</f>
        <v>28.819900000000001</v>
      </c>
      <c r="Y73" s="75">
        <f t="shared" si="19"/>
        <v>11.144577188918593</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4.8108399999999998</v>
      </c>
      <c r="H74" s="50">
        <f>IF(FT!B74&lt;&gt;"",FT!B74*100,"")</f>
        <v>53.781599999999997</v>
      </c>
      <c r="I74" s="50">
        <f t="shared" si="18"/>
        <v>1</v>
      </c>
      <c r="J74" t="str">
        <f>IF(FT!B74&lt;&gt;"",FT!E74,"")</f>
        <v>0 [29.204129]</v>
      </c>
      <c r="K74">
        <f>IF(FT!B74&lt;&gt;"",IF(FT!C74&lt;&gt;"",FT!C74,F74/$M$3*$M$4),"")</f>
        <v>29.2041</v>
      </c>
      <c r="Y74" s="75">
        <f t="shared" si="19"/>
        <v>11.179253519135951</v>
      </c>
    </row>
    <row r="75" spans="1:25">
      <c r="A75" s="50">
        <f t="shared" si="20"/>
        <v>73</v>
      </c>
      <c r="B75" s="50">
        <f t="shared" si="16"/>
        <v>1.397217137254902</v>
      </c>
      <c r="C75" s="50">
        <f>IF(FH!$C$2&gt;0,FH!A75/FH!$C$2,0)</f>
        <v>2.1573825197298183E-2</v>
      </c>
      <c r="D75" s="50">
        <f>IF(hist!$D$2&gt;0,hist!B75/hist!$D$2,0)</f>
        <v>0.31719760188104451</v>
      </c>
      <c r="E75" s="50">
        <f t="shared" si="17"/>
        <v>0.33999481325656594</v>
      </c>
      <c r="F75">
        <f t="shared" si="21"/>
        <v>73</v>
      </c>
      <c r="G75" s="50">
        <f>IF(FT!A75&lt;&gt;"",FT!A75*10,"")</f>
        <v>4.8014200000000002</v>
      </c>
      <c r="H75" s="50">
        <f>IF(FT!B75&lt;&gt;"",FT!B75*100,"")</f>
        <v>53.801100000000005</v>
      </c>
      <c r="I75" s="50">
        <f t="shared" si="18"/>
        <v>1</v>
      </c>
      <c r="J75" t="str">
        <f>IF(FT!B75&lt;&gt;"",FT!E75,"")</f>
        <v>0 [29.609387]</v>
      </c>
      <c r="K75">
        <f>IF(FT!B75&lt;&gt;"",IF(FT!C75&lt;&gt;"",FT!C75,F75/$M$3*$M$4),"")</f>
        <v>29.609400000000001</v>
      </c>
      <c r="Y75" s="75">
        <f t="shared" si="19"/>
        <v>11.205247614247453</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4.7931600000000003</v>
      </c>
      <c r="H76" s="50">
        <f>IF(FT!B76&lt;&gt;"",FT!B76*100,"")</f>
        <v>53.8247</v>
      </c>
      <c r="I76" s="50">
        <f t="shared" si="18"/>
        <v>1</v>
      </c>
      <c r="J76" t="str">
        <f>IF(FT!B76&lt;&gt;"",FT!E76,"")</f>
        <v>0 [30.035497]</v>
      </c>
      <c r="K76">
        <f>IF(FT!B76&lt;&gt;"",IF(FT!C76&lt;&gt;"",FT!C76,F76/$M$3*$M$4),"")</f>
        <v>30.035499999999999</v>
      </c>
      <c r="Y76" s="75">
        <f t="shared" si="19"/>
        <v>11.229481177344383</v>
      </c>
    </row>
    <row r="77" spans="1:25">
      <c r="A77" s="50">
        <f t="shared" si="20"/>
        <v>75</v>
      </c>
      <c r="B77" s="50">
        <f t="shared" si="16"/>
        <v>1.4354970588235296</v>
      </c>
      <c r="C77" s="50">
        <f>IF(FH!$C$2&gt;0,FH!A77/FH!$C$2,0)</f>
        <v>2.3795689752297566E-2</v>
      </c>
      <c r="D77" s="50">
        <f>IF(hist!$D$2&gt;0,hist!B77/hist!$D$2,0)</f>
        <v>0.30378159977653102</v>
      </c>
      <c r="E77" s="50">
        <f t="shared" si="17"/>
        <v>0.3856705913288771</v>
      </c>
      <c r="F77">
        <f t="shared" si="21"/>
        <v>75</v>
      </c>
      <c r="G77" s="50">
        <f>IF(FT!A77&lt;&gt;"",FT!A77*10,"")</f>
        <v>4.7889499999999998</v>
      </c>
      <c r="H77" s="50">
        <f>IF(FT!B77&lt;&gt;"",FT!B77*100,"")</f>
        <v>53.814799999999998</v>
      </c>
      <c r="I77" s="50">
        <f t="shared" si="18"/>
        <v>1</v>
      </c>
      <c r="J77" t="str">
        <f>IF(FT!B77&lt;&gt;"",FT!E77,"")</f>
        <v>0 [30.419470]</v>
      </c>
      <c r="K77">
        <f>IF(FT!B77&lt;&gt;"",IF(FT!C77&lt;&gt;"",FT!C77,F77/$M$3*$M$4),"")</f>
        <v>30.419499999999999</v>
      </c>
      <c r="Y77" s="75">
        <f t="shared" si="19"/>
        <v>11.237285835099552</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4.7853599999999998</v>
      </c>
      <c r="H78" s="50">
        <f>IF(FT!B78&lt;&gt;"",FT!B78*100,"")</f>
        <v>53.783899999999996</v>
      </c>
      <c r="I78" s="50">
        <f t="shared" si="18"/>
        <v>1</v>
      </c>
      <c r="J78" t="str">
        <f>IF(FT!B78&lt;&gt;"",FT!E78,"")</f>
        <v>0 [30.829208]</v>
      </c>
      <c r="K78">
        <f>IF(FT!B78&lt;&gt;"",IF(FT!C78&lt;&gt;"",FT!C78,F78/$M$3*$M$4),"")</f>
        <v>30.8292</v>
      </c>
      <c r="Y78" s="75">
        <f t="shared" si="19"/>
        <v>11.239258906330976</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4.7839200000000002</v>
      </c>
      <c r="H79" s="50">
        <f>IF(FT!B79&lt;&gt;"",FT!B79*100,"")</f>
        <v>53.753700000000002</v>
      </c>
      <c r="I79" s="50">
        <f t="shared" si="18"/>
        <v>1</v>
      </c>
      <c r="J79" t="str">
        <f>IF(FT!B79&lt;&gt;"",FT!E79,"")</f>
        <v>0 [31.241720]</v>
      </c>
      <c r="K79">
        <f>IF(FT!B79&lt;&gt;"",IF(FT!C79&lt;&gt;"",FT!C79,F79/$M$3*$M$4),"")</f>
        <v>31.241700000000002</v>
      </c>
      <c r="Y79" s="75">
        <f t="shared" si="19"/>
        <v>11.236329202829479</v>
      </c>
    </row>
    <row r="80" spans="1:25" ht="16.5" customHeight="1">
      <c r="A80" s="50">
        <f t="shared" si="20"/>
        <v>78</v>
      </c>
      <c r="B80" s="50">
        <f t="shared" si="16"/>
        <v>1.4929169411764709</v>
      </c>
      <c r="C80" s="50">
        <f>IF(FH!$C$2&gt;0,FH!A80/FH!$C$2,0)</f>
        <v>8.6246801113775737E-2</v>
      </c>
      <c r="D80" s="50">
        <f>IF(hist!$D$2&gt;0,hist!B80/hist!$D$2,0)</f>
        <v>0.28869735665348978</v>
      </c>
      <c r="E80" s="50">
        <f t="shared" si="17"/>
        <v>0.45877587425781435</v>
      </c>
      <c r="F80">
        <f t="shared" si="21"/>
        <v>78</v>
      </c>
      <c r="G80" s="50">
        <f>IF(FT!A80&lt;&gt;"",FT!A80*10,"")</f>
        <v>4.7831400000000004</v>
      </c>
      <c r="H80" s="50">
        <f>IF(FT!B80&lt;&gt;"",FT!B80*100,"")</f>
        <v>53.768599999999999</v>
      </c>
      <c r="I80" s="50">
        <f t="shared" si="18"/>
        <v>1</v>
      </c>
      <c r="J80" t="str">
        <f>IF(FT!B80&lt;&gt;"",FT!E80,"")</f>
        <v>0 [31.640308]</v>
      </c>
      <c r="K80">
        <f>IF(FT!B80&lt;&gt;"",IF(FT!C80&lt;&gt;"",FT!C80,F80/$M$3*$M$4),"")</f>
        <v>31.6403</v>
      </c>
      <c r="Y80" s="75">
        <f t="shared" si="19"/>
        <v>11.241276650902963</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4.7812400000000004</v>
      </c>
      <c r="H81" s="50">
        <f>IF(FT!B81&lt;&gt;"",FT!B81*100,"")</f>
        <v>53.8033</v>
      </c>
      <c r="I81" s="50">
        <f t="shared" si="18"/>
        <v>1</v>
      </c>
      <c r="J81" t="str">
        <f>IF(FT!B81&lt;&gt;"",FT!E81,"")</f>
        <v>0 [32.047520]</v>
      </c>
      <c r="K81">
        <f>IF(FT!B81&lt;&gt;"",IF(FT!C81&lt;&gt;"",FT!C81,F81/$M$3*$M$4),"")</f>
        <v>32.047499999999999</v>
      </c>
      <c r="Y81" s="75">
        <f t="shared" si="19"/>
        <v>11.253001313466799</v>
      </c>
    </row>
    <row r="82" spans="1:25" ht="16.5" customHeight="1">
      <c r="A82" s="50">
        <f t="shared" si="20"/>
        <v>80</v>
      </c>
      <c r="B82" s="50">
        <f t="shared" si="16"/>
        <v>1.5311968627450983</v>
      </c>
      <c r="C82" s="50">
        <f>IF(FH!$C$2&gt;0,FH!A82/FH!$C$2,0)</f>
        <v>0.14998739223039492</v>
      </c>
      <c r="D82" s="50">
        <f>IF(hist!$D$2&gt;0,hist!B82/hist!$D$2,0)</f>
        <v>0.27438018761629013</v>
      </c>
      <c r="E82" s="50">
        <f t="shared" si="17"/>
        <v>0.50976310945753445</v>
      </c>
      <c r="F82">
        <f t="shared" si="21"/>
        <v>80</v>
      </c>
      <c r="G82" s="50">
        <f>IF(FT!A82&lt;&gt;"",FT!A82*10,"")</f>
        <v>4.7787899999999999</v>
      </c>
      <c r="H82" s="50">
        <f>IF(FT!B82&lt;&gt;"",FT!B82*100,"")</f>
        <v>53.828099999999999</v>
      </c>
      <c r="I82" s="50">
        <f t="shared" si="18"/>
        <v>1</v>
      </c>
      <c r="J82" t="str">
        <f>IF(FT!B82&lt;&gt;"",FT!E82,"")</f>
        <v>0 [32.464440]</v>
      </c>
      <c r="K82">
        <f>IF(FT!B82&lt;&gt;"",IF(FT!C82&lt;&gt;"",FT!C82,F82/$M$3*$M$4),"")</f>
        <v>32.464399999999998</v>
      </c>
      <c r="Y82" s="75">
        <f t="shared" si="19"/>
        <v>11.263960123797029</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4.7735599999999998</v>
      </c>
      <c r="H83" s="50">
        <f>IF(FT!B83&lt;&gt;"",FT!B83*100,"")</f>
        <v>53.914499999999997</v>
      </c>
      <c r="I83" s="50">
        <f t="shared" si="18"/>
        <v>1</v>
      </c>
      <c r="J83" t="str">
        <f>IF(FT!B83&lt;&gt;"",FT!E83,"")</f>
        <v>0 [32.847715]</v>
      </c>
      <c r="K83">
        <f>IF(FT!B83&lt;&gt;"",IF(FT!C83&lt;&gt;"",FT!C83,F83/$M$3*$M$4),"")</f>
        <v>32.847700000000003</v>
      </c>
      <c r="Y83" s="75">
        <f t="shared" si="19"/>
        <v>11.294400824541851</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4.7672400000000001</v>
      </c>
      <c r="H84" s="50">
        <f>IF(FT!B84&lt;&gt;"",FT!B84*100,"")</f>
        <v>54.05</v>
      </c>
      <c r="I84" s="50">
        <f t="shared" si="18"/>
        <v>1</v>
      </c>
      <c r="J84" t="str">
        <f>IF(FT!B84&lt;&gt;"",FT!E84,"")</f>
        <v>0 [33.263504]</v>
      </c>
      <c r="K84">
        <f>IF(FT!B84&lt;&gt;"",IF(FT!C84&lt;&gt;"",FT!C84,F84/$M$3*$M$4),"")</f>
        <v>33.263500000000001</v>
      </c>
      <c r="Y84" s="75">
        <f t="shared" si="19"/>
        <v>11.337797132093202</v>
      </c>
    </row>
    <row r="85" spans="1:25" ht="16.5" customHeight="1">
      <c r="A85" s="50">
        <f t="shared" si="20"/>
        <v>83</v>
      </c>
      <c r="B85" s="50">
        <f t="shared" si="16"/>
        <v>1.5886167450980393</v>
      </c>
      <c r="C85" s="50">
        <f>IF(FH!$C$2&gt;0,FH!A85/FH!$C$2,0)</f>
        <v>0.25891315660995856</v>
      </c>
      <c r="D85" s="50">
        <f>IF(hist!$D$2&gt;0,hist!B85/hist!$D$2,0)</f>
        <v>0.25796537378583151</v>
      </c>
      <c r="E85" s="50">
        <f t="shared" si="17"/>
        <v>0.58787886998856387</v>
      </c>
      <c r="F85">
        <f t="shared" si="21"/>
        <v>83</v>
      </c>
      <c r="G85" s="50">
        <f>IF(FT!A85&lt;&gt;"",FT!A85*10,"")</f>
        <v>4.7628300000000001</v>
      </c>
      <c r="H85" s="50">
        <f>IF(FT!B85&lt;&gt;"",FT!B85*100,"")</f>
        <v>54.197899999999997</v>
      </c>
      <c r="I85" s="50">
        <f t="shared" si="18"/>
        <v>1</v>
      </c>
      <c r="J85" t="str">
        <f>IF(FT!B85&lt;&gt;"",FT!E85,"")</f>
        <v>0 [33.667553]</v>
      </c>
      <c r="K85">
        <f>IF(FT!B85&lt;&gt;"",IF(FT!C85&lt;&gt;"",FT!C85,F85/$M$3*$M$4),"")</f>
        <v>33.6676</v>
      </c>
      <c r="Y85" s="75">
        <f t="shared" si="19"/>
        <v>11.37934799268502</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4.7553700000000001</v>
      </c>
      <c r="H86" s="50">
        <f>IF(FT!B86&lt;&gt;"",FT!B86*100,"")</f>
        <v>54.379100000000001</v>
      </c>
      <c r="I86" s="50">
        <f t="shared" si="18"/>
        <v>1</v>
      </c>
      <c r="J86" t="str">
        <f>IF(FT!B86&lt;&gt;"",FT!E86,"")</f>
        <v>0 [34.080235]</v>
      </c>
      <c r="K86">
        <f>IF(FT!B86&lt;&gt;"",IF(FT!C86&lt;&gt;"",FT!C86,F86/$M$3*$M$4),"")</f>
        <v>34.080199999999998</v>
      </c>
      <c r="Y86" s="75">
        <f t="shared" si="19"/>
        <v>11.435303667222529</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4.7457700000000003</v>
      </c>
      <c r="H87" s="50">
        <f>IF(FT!B87&lt;&gt;"",FT!B87*100,"")</f>
        <v>54.551600000000001</v>
      </c>
      <c r="I87" s="50">
        <f t="shared" si="18"/>
        <v>1</v>
      </c>
      <c r="J87" t="str">
        <f>IF(FT!B87&lt;&gt;"",FT!E87,"")</f>
        <v>0 [34.487848]</v>
      </c>
      <c r="K87">
        <f>IF(FT!B87&lt;&gt;"",IF(FT!C87&lt;&gt;"",FT!C87,F87/$M$3*$M$4),"")</f>
        <v>34.4878</v>
      </c>
      <c r="Y87" s="75">
        <f t="shared" si="19"/>
        <v>11.494783775867772</v>
      </c>
    </row>
    <row r="88" spans="1:25" ht="16.5" customHeight="1">
      <c r="A88" s="50">
        <f t="shared" si="20"/>
        <v>86</v>
      </c>
      <c r="B88" s="50">
        <f t="shared" si="16"/>
        <v>1.6460366274509806</v>
      </c>
      <c r="C88" s="50">
        <f>IF(FH!$C$2&gt;0,FH!A88/FH!$C$2,0)</f>
        <v>0.37641756932932036</v>
      </c>
      <c r="D88" s="50">
        <f>IF(hist!$D$2&gt;0,hist!B88/hist!$D$2,0)</f>
        <v>0.24292424106191979</v>
      </c>
      <c r="E88" s="50">
        <f t="shared" si="17"/>
        <v>0.6654700860229924</v>
      </c>
      <c r="F88">
        <f t="shared" si="21"/>
        <v>86</v>
      </c>
      <c r="G88" s="50">
        <f>IF(FT!A88&lt;&gt;"",FT!A88*10,"")</f>
        <v>4.7375499999999997</v>
      </c>
      <c r="H88" s="50">
        <f>IF(FT!B88&lt;&gt;"",FT!B88*100,"")</f>
        <v>54.678099999999993</v>
      </c>
      <c r="I88" s="50">
        <f t="shared" si="18"/>
        <v>1</v>
      </c>
      <c r="J88" t="str">
        <f>IF(FT!B88&lt;&gt;"",FT!E88,"")</f>
        <v>0 [34.896365]</v>
      </c>
      <c r="K88">
        <f>IF(FT!B88&lt;&gt;"",IF(FT!C88&lt;&gt;"",FT!C88,F88/$M$3*$M$4),"")</f>
        <v>34.8964</v>
      </c>
      <c r="Y88" s="75">
        <f t="shared" si="19"/>
        <v>11.541429641903514</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4.7271400000000003</v>
      </c>
      <c r="H89" s="50">
        <f>IF(FT!B89&lt;&gt;"",FT!B89*100,"")</f>
        <v>54.818999999999996</v>
      </c>
      <c r="I89" s="50">
        <f t="shared" si="18"/>
        <v>1</v>
      </c>
      <c r="J89" t="str">
        <f>IF(FT!B89&lt;&gt;"",FT!E89,"")</f>
        <v>0 [35.307020]</v>
      </c>
      <c r="K89">
        <f>IF(FT!B89&lt;&gt;"",IF(FT!C89&lt;&gt;"",FT!C89,F89/$M$3*$M$4),"")</f>
        <v>35.307000000000002</v>
      </c>
      <c r="Y89" s="75">
        <f t="shared" si="19"/>
        <v>11.596652521397715</v>
      </c>
    </row>
    <row r="90" spans="1:25" ht="16.5" customHeight="1">
      <c r="A90" s="50">
        <f t="shared" si="20"/>
        <v>88</v>
      </c>
      <c r="B90" s="50">
        <f t="shared" si="16"/>
        <v>1.6843165490196079</v>
      </c>
      <c r="C90" s="50">
        <f>IF(FH!$C$2&gt;0,FH!A90/FH!$C$2,0)</f>
        <v>0.48701828931343999</v>
      </c>
      <c r="D90" s="50">
        <f>IF(hist!$D$2&gt;0,hist!B90/hist!$D$2,0)</f>
        <v>0.22986740709881093</v>
      </c>
      <c r="E90" s="50">
        <f t="shared" si="17"/>
        <v>0.71537561029732732</v>
      </c>
      <c r="F90">
        <f t="shared" si="21"/>
        <v>88</v>
      </c>
      <c r="G90" s="50">
        <f>IF(FT!A90&lt;&gt;"",FT!A90*10,"")</f>
        <v>4.7172999999999998</v>
      </c>
      <c r="H90" s="50">
        <f>IF(FT!B90&lt;&gt;"",FT!B90*100,"")</f>
        <v>54.908000000000001</v>
      </c>
      <c r="I90" s="50">
        <f t="shared" si="18"/>
        <v>1</v>
      </c>
      <c r="J90" t="str">
        <f>IF(FT!B90&lt;&gt;"",FT!E90,"")</f>
        <v>0 [35.699487]</v>
      </c>
      <c r="K90">
        <f>IF(FT!B90&lt;&gt;"",IF(FT!C90&lt;&gt;"",FT!C90,F90/$M$3*$M$4),"")</f>
        <v>35.6995</v>
      </c>
      <c r="Y90" s="75">
        <f t="shared" si="19"/>
        <v>11.639709155661079</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4.7077499999999999</v>
      </c>
      <c r="H91" s="50">
        <f>IF(FT!B91&lt;&gt;"",FT!B91*100,"")</f>
        <v>54.919300000000007</v>
      </c>
      <c r="I91" s="50">
        <f t="shared" si="18"/>
        <v>1</v>
      </c>
      <c r="J91" t="str">
        <f>IF(FT!B91&lt;&gt;"",FT!E91,"")</f>
        <v>0 [36.098592]</v>
      </c>
      <c r="K91">
        <f>IF(FT!B91&lt;&gt;"",IF(FT!C91&lt;&gt;"",FT!C91,F91/$M$3*$M$4),"")</f>
        <v>36.098599999999998</v>
      </c>
      <c r="Y91" s="75">
        <f t="shared" si="19"/>
        <v>11.665721416812705</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4.6972300000000002</v>
      </c>
      <c r="H92" s="50">
        <f>IF(FT!B92&lt;&gt;"",FT!B92*100,"")</f>
        <v>54.946399999999997</v>
      </c>
      <c r="I92" s="50">
        <f t="shared" si="18"/>
        <v>1</v>
      </c>
      <c r="J92" t="str">
        <f>IF(FT!B92&lt;&gt;"",FT!E92,"")</f>
        <v>0 [36.516452]</v>
      </c>
      <c r="K92">
        <f>IF(FT!B92&lt;&gt;"",IF(FT!C92&lt;&gt;"",FT!C92,F92/$M$3*$M$4),"")</f>
        <v>36.516500000000001</v>
      </c>
      <c r="Y92" s="75">
        <f t="shared" si="19"/>
        <v>11.697617532034837</v>
      </c>
    </row>
    <row r="93" spans="1:25" ht="16.5" customHeight="1">
      <c r="A93" s="50">
        <f t="shared" si="20"/>
        <v>91</v>
      </c>
      <c r="B93" s="50">
        <f t="shared" si="16"/>
        <v>1.7417364313725492</v>
      </c>
      <c r="C93" s="50">
        <f>IF(FH!$C$2&gt;0,FH!A93/FH!$C$2,0)</f>
        <v>0.57792942868026165</v>
      </c>
      <c r="D93" s="50">
        <f>IF(hist!$D$2&gt;0,hist!B93/hist!$D$2,0)</f>
        <v>0.21383489687195614</v>
      </c>
      <c r="E93" s="50">
        <f t="shared" si="17"/>
        <v>0.78507331619082654</v>
      </c>
      <c r="F93">
        <f t="shared" si="21"/>
        <v>91</v>
      </c>
      <c r="G93" s="50">
        <f>IF(FT!A93&lt;&gt;"",FT!A93*10,"")</f>
        <v>4.6876899999999999</v>
      </c>
      <c r="H93" s="50">
        <f>IF(FT!B93&lt;&gt;"",FT!B93*100,"")</f>
        <v>54.995400000000004</v>
      </c>
      <c r="I93" s="50">
        <f t="shared" si="18"/>
        <v>1</v>
      </c>
      <c r="J93" t="str">
        <f>IF(FT!B93&lt;&gt;"",FT!E93,"")</f>
        <v>0 [36.911462]</v>
      </c>
      <c r="K93">
        <f>IF(FT!B93&lt;&gt;"",IF(FT!C93&lt;&gt;"",FT!C93,F93/$M$3*$M$4),"")</f>
        <v>36.911499999999997</v>
      </c>
      <c r="Y93" s="75">
        <f t="shared" si="19"/>
        <v>11.7318764679405</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4.6829999999999998</v>
      </c>
      <c r="H94" s="50">
        <f>IF(FT!B94&lt;&gt;"",FT!B94*100,"")</f>
        <v>55.027800000000006</v>
      </c>
      <c r="I94" s="50">
        <f t="shared" si="18"/>
        <v>1</v>
      </c>
      <c r="J94" t="str">
        <f>IF(FT!B94&lt;&gt;"",FT!E94,"")</f>
        <v>0 [37.327502]</v>
      </c>
      <c r="K94">
        <f>IF(FT!B94&lt;&gt;"",IF(FT!C94&lt;&gt;"",FT!C94,F94/$M$3*$M$4),"")</f>
        <v>37.327500000000001</v>
      </c>
      <c r="Y94" s="75">
        <f t="shared" si="19"/>
        <v>11.750544522741833</v>
      </c>
    </row>
    <row r="95" spans="1:25" ht="16.5" customHeight="1">
      <c r="A95" s="50">
        <f t="shared" si="20"/>
        <v>93</v>
      </c>
      <c r="B95" s="50">
        <f t="shared" si="16"/>
        <v>1.7800163529411765</v>
      </c>
      <c r="C95" s="50">
        <f>IF(FH!$C$2&gt;0,FH!A95/FH!$C$2,0)</f>
        <v>0.59567687627754262</v>
      </c>
      <c r="D95" s="50">
        <f>IF(hist!$D$2&gt;0,hist!B95/hist!$D$2,0)</f>
        <v>0.19848487234920068</v>
      </c>
      <c r="E95" s="50">
        <f t="shared" si="17"/>
        <v>0.82668376289138068</v>
      </c>
      <c r="F95">
        <f t="shared" si="21"/>
        <v>93</v>
      </c>
      <c r="G95" s="50">
        <f>IF(FT!A95&lt;&gt;"",FT!A95*10,"")</f>
        <v>4.67476</v>
      </c>
      <c r="H95" s="50">
        <f>IF(FT!B95&lt;&gt;"",FT!B95*100,"")</f>
        <v>55.144400000000005</v>
      </c>
      <c r="I95" s="50">
        <f t="shared" si="18"/>
        <v>1</v>
      </c>
      <c r="J95" t="str">
        <f>IF(FT!B95&lt;&gt;"",FT!E95,"")</f>
        <v>0 [37.731490]</v>
      </c>
      <c r="K95">
        <f>IF(FT!B95&lt;&gt;"",IF(FT!C95&lt;&gt;"",FT!C95,F95/$M$3*$M$4),"")</f>
        <v>37.731499999999997</v>
      </c>
      <c r="Y95" s="75">
        <f t="shared" si="19"/>
        <v>11.796199163165596</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4.67211</v>
      </c>
      <c r="H96" s="50">
        <f>IF(FT!B96&lt;&gt;"",FT!B96*100,"")</f>
        <v>55.164000000000001</v>
      </c>
      <c r="I96" s="50">
        <f t="shared" si="18"/>
        <v>1</v>
      </c>
      <c r="J96" t="str">
        <f>IF(FT!B96&lt;&gt;"",FT!E96,"")</f>
        <v>0 [38.127070]</v>
      </c>
      <c r="K96">
        <f>IF(FT!B96&lt;&gt;"",IF(FT!C96&lt;&gt;"",FT!C96,F96/$M$3*$M$4),"")</f>
        <v>38.127099999999999</v>
      </c>
      <c r="Y96" s="75">
        <f t="shared" si="19"/>
        <v>11.807085021542729</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4.6718700000000002</v>
      </c>
      <c r="H97" s="50">
        <f>IF(FT!B97&lt;&gt;"",FT!B97*100,"")</f>
        <v>55.210599999999999</v>
      </c>
      <c r="I97" s="50">
        <f t="shared" si="18"/>
        <v>1</v>
      </c>
      <c r="J97" t="str">
        <f>IF(FT!B97&lt;&gt;"",FT!E97,"")</f>
        <v>0 [38.532489]</v>
      </c>
      <c r="K97">
        <f>IF(FT!B97&lt;&gt;"",IF(FT!C97&lt;&gt;"",FT!C97,F97/$M$3*$M$4),"")</f>
        <v>38.532499999999999</v>
      </c>
      <c r="Y97" s="75">
        <f t="shared" si="19"/>
        <v>11.817666159375154</v>
      </c>
    </row>
    <row r="98" spans="1:25" ht="16.5" customHeight="1">
      <c r="A98" s="50">
        <f t="shared" si="20"/>
        <v>96</v>
      </c>
      <c r="B98" s="50">
        <f t="shared" si="16"/>
        <v>1.8374362352941178</v>
      </c>
      <c r="C98" s="50">
        <f>IF(FH!$C$2&gt;0,FH!A98/FH!$C$2,0)</f>
        <v>0.5643505925651715</v>
      </c>
      <c r="D98" s="50">
        <f>IF(hist!$D$2&gt;0,hist!B98/hist!$D$2,0)</f>
        <v>0.1845843450317273</v>
      </c>
      <c r="E98" s="50">
        <f t="shared" si="17"/>
        <v>0.87953047966406861</v>
      </c>
      <c r="F98">
        <f t="shared" si="21"/>
        <v>96</v>
      </c>
      <c r="G98" s="50">
        <f>IF(FT!A98&lt;&gt;"",FT!A98*10,"")</f>
        <v>4.6720100000000002</v>
      </c>
      <c r="H98" s="50">
        <f>IF(FT!B98&lt;&gt;"",FT!B98*100,"")</f>
        <v>55.134999999999998</v>
      </c>
      <c r="I98" s="50">
        <f t="shared" si="18"/>
        <v>1</v>
      </c>
      <c r="J98" t="str">
        <f>IF(FT!B98&lt;&gt;"",FT!E98,"")</f>
        <v>0 [38.946867]</v>
      </c>
      <c r="K98">
        <f>IF(FT!B98&lt;&gt;"",IF(FT!C98&lt;&gt;"",FT!C98,F98/$M$3*$M$4),"")</f>
        <v>38.946899999999999</v>
      </c>
      <c r="Y98" s="75">
        <f t="shared" si="19"/>
        <v>11.801130562648623</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4.68546</v>
      </c>
      <c r="H99" s="50">
        <f>IF(FT!B99&lt;&gt;"",FT!B99*100,"")</f>
        <v>54.990000000000009</v>
      </c>
      <c r="I99" s="50">
        <f t="shared" si="18"/>
        <v>1</v>
      </c>
      <c r="J99" t="str">
        <f>IF(FT!B99&lt;&gt;"",FT!E99,"")</f>
        <v>0 [39.358026]</v>
      </c>
      <c r="K99">
        <f>IF(FT!B99&lt;&gt;"",IF(FT!C99&lt;&gt;"",FT!C99,F99/$M$3*$M$4),"")</f>
        <v>39.357999999999997</v>
      </c>
      <c r="Y99" s="75">
        <f t="shared" si="19"/>
        <v>11.736307641085402</v>
      </c>
    </row>
    <row r="100" spans="1:25" ht="16.5" customHeight="1">
      <c r="A100" s="50">
        <f t="shared" si="20"/>
        <v>98</v>
      </c>
      <c r="B100" s="50">
        <f t="shared" si="16"/>
        <v>1.8757161568627454</v>
      </c>
      <c r="C100" s="50">
        <f>IF(FH!$C$2&gt;0,FH!A100/FH!$C$2,0)</f>
        <v>0.513078817337561</v>
      </c>
      <c r="D100" s="50">
        <f>IF(hist!$D$2&gt;0,hist!B100/hist!$D$2,0)</f>
        <v>0.16792129958295668</v>
      </c>
      <c r="E100" s="50">
        <f t="shared" si="17"/>
        <v>0.90720134477296976</v>
      </c>
      <c r="F100">
        <f t="shared" si="21"/>
        <v>98</v>
      </c>
      <c r="G100" s="50">
        <f>IF(FT!A100&lt;&gt;"",FT!A100*10,"")</f>
        <v>4.7013500000000006</v>
      </c>
      <c r="H100" s="50">
        <f>IF(FT!B100&lt;&gt;"",FT!B100*100,"")</f>
        <v>54.764699999999998</v>
      </c>
      <c r="I100" s="50">
        <f t="shared" si="18"/>
        <v>1</v>
      </c>
      <c r="J100" t="str">
        <f>IF(FT!B100&lt;&gt;"",FT!E100,"")</f>
        <v>0 [39.785323]</v>
      </c>
      <c r="K100">
        <f>IF(FT!B100&lt;&gt;"",IF(FT!C100&lt;&gt;"",FT!C100,F100/$M$3*$M$4),"")</f>
        <v>39.785299999999999</v>
      </c>
      <c r="Y100" s="75">
        <f t="shared" si="19"/>
        <v>11.648717921448092</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0.55793404258743629</v>
      </c>
      <c r="D103" s="50">
        <f>IF(hist!$D$2&gt;0,hist!B103/hist!$D$2,0)</f>
        <v>0.1537797118059909</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0.55958646515695343</v>
      </c>
      <c r="D106" s="50">
        <f>IF(hist!$D$2&gt;0,hist!B106/hist!$D$2,0)</f>
        <v>0.13985685741149431</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0.60706142398051433</v>
      </c>
      <c r="D108" s="50">
        <f>IF(hist!$D$2&gt;0,hist!B108/hist!$D$2,0)</f>
        <v>0.12610798836843254</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0.63978797487030103</v>
      </c>
      <c r="D111" s="50">
        <f>IF(hist!$D$2&gt;0,hist!B111/hist!$D$2,0)</f>
        <v>0.11394034680662821</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0.61655748874689509</v>
      </c>
      <c r="D113" s="50">
        <f>IF(hist!$D$2&gt;0,hist!B113/hist!$D$2,0)</f>
        <v>0.10291172517323954</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0.63145075190591926</v>
      </c>
      <c r="D116" s="50">
        <f>IF(hist!$D$2&gt;0,hist!B116/hist!$D$2,0)</f>
        <v>9.2968644877330933E-2</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0.60877286164179989</v>
      </c>
      <c r="D118" s="50">
        <f>IF(hist!$D$2&gt;0,hist!B118/hist!$D$2,0)</f>
        <v>8.3209949416992599E-2</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0.67540626525674252</v>
      </c>
      <c r="D121" s="50">
        <f>IF(hist!$D$2&gt;0,hist!B121/hist!$D$2,0)</f>
        <v>7.6032599931532371E-2</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0.78388673394387132</v>
      </c>
      <c r="D124" s="50">
        <f>IF(hist!$D$2&gt;0,hist!B124/hist!$D$2,0)</f>
        <v>6.9378875424610825E-2</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0.83381350157999501</v>
      </c>
      <c r="D126" s="50">
        <f>IF(hist!$D$2&gt;0,hist!B126/hist!$D$2,0)</f>
        <v>6.1946102300466023E-2</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0.8499246216327867</v>
      </c>
      <c r="D129" s="50">
        <f>IF(hist!$D$2&gt;0,hist!B129/hist!$D$2,0)</f>
        <v>5.5198182666678065E-2</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0.94529837493897317</v>
      </c>
      <c r="D131" s="50">
        <f>IF(hist!$D$2&gt;0,hist!B131/hist!$D$2,0)</f>
        <v>4.937378311954066E-2</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1</v>
      </c>
      <c r="D134" s="50">
        <f>IF(hist!$D$2&gt;0,hist!B134/hist!$D$2,0)</f>
        <v>4.2771132909579561E-2</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0.9651328107815208</v>
      </c>
      <c r="D136" s="50">
        <f>IF(hist!$D$2&gt;0,hist!B136/hist!$D$2,0)</f>
        <v>3.6594720733692472E-2</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0.92804450810921024</v>
      </c>
      <c r="D139" s="50">
        <f>IF(hist!$D$2&gt;0,hist!B139/hist!$D$2,0)</f>
        <v>3.0692888317467772E-2</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0.90233538813152858</v>
      </c>
      <c r="D142" s="50">
        <f>IF(hist!$D$2&gt;0,hist!B142/hist!$D$2,0)</f>
        <v>2.477349047367616E-2</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0.88845611154925341</v>
      </c>
      <c r="D144" s="50">
        <f>IF(hist!$D$2&gt;0,hist!B144/hist!$D$2,0)</f>
        <v>1.9892549442401982E-2</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0.83499916842370703</v>
      </c>
      <c r="D147" s="50">
        <f>IF(hist!$D$2&gt;0,hist!B147/hist!$D$2,0)</f>
        <v>1.5509672771939207E-2</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0.82145252235867228</v>
      </c>
      <c r="D149" s="50">
        <f>IF(hist!$D$2&gt;0,hist!B149/hist!$D$2,0)</f>
        <v>1.1890673154331472E-2</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0.73788178740617949</v>
      </c>
      <c r="D152" s="50">
        <f>IF(hist!$D$2&gt;0,hist!B152/hist!$D$2,0)</f>
        <v>8.7665460799368818E-3</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0.62671881454775669</v>
      </c>
      <c r="D154" s="50">
        <f>IF(hist!$D$2&gt;0,hist!B154/hist!$D$2,0)</f>
        <v>6.3807510868347534E-3</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0.51358849313010679</v>
      </c>
      <c r="D157" s="50">
        <f>IF(hist!$D$2&gt;0,hist!B157/hist!$D$2,0)</f>
        <v>4.3972398496549599E-3</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0.46014979103292508</v>
      </c>
      <c r="D160" s="50">
        <f>IF(hist!$D$2&gt;0,hist!B160/hist!$D$2,0)</f>
        <v>3.1416820711850425E-3</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0.40348671892184795</v>
      </c>
      <c r="D162" s="50">
        <f>IF(hist!$D$2&gt;0,hist!B162/hist!$D$2,0)</f>
        <v>1.8390345523642711E-3</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0.39971458155617434</v>
      </c>
      <c r="D165" s="50">
        <f>IF(hist!$D$2&gt;0,hist!B165/hist!$D$2,0)</f>
        <v>1.0655872621026733E-3</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0.39304909519134301</v>
      </c>
      <c r="D167" s="50">
        <f>IF(hist!$D$2&gt;0,hist!B167/hist!$D$2,0)</f>
        <v>5.7150745790086465E-4</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0.30233163262568874</v>
      </c>
      <c r="D170" s="50">
        <f>IF(hist!$D$2&gt;0,hist!B170/hist!$D$2,0)</f>
        <v>3.5758787877017808E-4</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2.4823683370025324E-4</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0.27175645008127985</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0.22724887737200433</v>
      </c>
      <c r="D175" s="50">
        <f>IF(hist!$D$2&gt;0,hist!B175/hist!$D$2,0)</f>
        <v>1.628296360055383E-4</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0.1913140514933501</v>
      </c>
      <c r="D178" s="50">
        <f>IF(hist!$D$2&gt;0,hist!B178/hist!$D$2,0)</f>
        <v>9.418469608993998E-5</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0.16337791655266024</v>
      </c>
      <c r="D180" s="50">
        <f>IF(hist!$D$2&gt;0,hist!B180/hist!$D$2,0)</f>
        <v>3.5918378756930988E-5</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0.12619143422768025</v>
      </c>
      <c r="D183" s="50">
        <f>IF(hist!$D$2&gt;0,hist!B183/hist!$D$2,0)</f>
        <v>1.1176576982155234E-5</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0.10510534193880672</v>
      </c>
      <c r="D185" s="50">
        <f>IF(hist!$D$2&gt;0,hist!B185/hist!$D$2,0)</f>
        <v>3.191817598263651E-6</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6.8081419366607124E-2</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4.5299072390057565E-2</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2.3947465838309378E-2</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1.5444732366558831E-2</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8.0800244644380417E-3</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4.0481402198580419E-3</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5.0290193301250584E-3</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2.3085791848406327E-3</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9.5378045312860473E-4</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45.854100000000003</v>
      </c>
      <c r="C5" s="49">
        <v>2.8999199999999998</v>
      </c>
      <c r="D5" s="49">
        <v>6.3242399999999996</v>
      </c>
      <c r="E5" s="49">
        <v>20</v>
      </c>
      <c r="F5" s="49">
        <v>38.346299999999999</v>
      </c>
      <c r="G5" s="49">
        <v>50</v>
      </c>
      <c r="H5" s="49">
        <v>51.279499999999999</v>
      </c>
    </row>
    <row r="6" spans="1:10">
      <c r="A6" t="s">
        <v>1111</v>
      </c>
      <c r="B6" s="49">
        <v>21.336500000000001</v>
      </c>
      <c r="C6" s="49">
        <v>5.2728099999999998</v>
      </c>
      <c r="D6" s="49">
        <v>24.712700000000002</v>
      </c>
      <c r="E6" s="49">
        <v>20</v>
      </c>
      <c r="F6" s="49">
        <v>8.9670900000000007</v>
      </c>
      <c r="G6" s="49">
        <v>40</v>
      </c>
      <c r="H6" s="49">
        <v>26.323599999999999</v>
      </c>
    </row>
    <row r="7" spans="1:10">
      <c r="A7" t="s">
        <v>1112</v>
      </c>
      <c r="B7" s="49">
        <v>12.329700000000001</v>
      </c>
      <c r="C7" s="49">
        <v>6.1687099999999999</v>
      </c>
      <c r="D7" s="49">
        <v>50.031399999999998</v>
      </c>
      <c r="E7" s="49">
        <v>15</v>
      </c>
      <c r="F7" s="49">
        <v>5.9231800000000003</v>
      </c>
      <c r="G7" s="49">
        <v>40</v>
      </c>
      <c r="H7" s="49">
        <v>36.041600000000003</v>
      </c>
    </row>
    <row r="8" spans="1:10">
      <c r="A8" t="s">
        <v>1113</v>
      </c>
      <c r="B8" s="49">
        <v>26.289000000000001</v>
      </c>
      <c r="C8" s="49">
        <v>2.5679500000000002</v>
      </c>
      <c r="D8" s="49">
        <v>9.7681400000000007</v>
      </c>
      <c r="E8" s="49">
        <v>20</v>
      </c>
      <c r="F8" s="49">
        <v>22.257200000000001</v>
      </c>
      <c r="G8" s="49">
        <v>50</v>
      </c>
      <c r="H8" s="49">
        <v>32.004399999999997</v>
      </c>
    </row>
    <row r="9" spans="1:10">
      <c r="A9" t="s">
        <v>1114</v>
      </c>
      <c r="B9" s="49">
        <v>75.656800000000004</v>
      </c>
      <c r="C9" s="49">
        <v>5.6989900000000002</v>
      </c>
      <c r="D9" s="49">
        <v>7.5326899999999997</v>
      </c>
      <c r="E9" s="49">
        <v>50</v>
      </c>
      <c r="F9" s="49">
        <v>54.2654</v>
      </c>
      <c r="G9" s="49">
        <v>100</v>
      </c>
      <c r="H9" s="49">
        <v>86.272000000000006</v>
      </c>
    </row>
    <row r="10" spans="1:10">
      <c r="A10" t="s">
        <v>1115</v>
      </c>
      <c r="B10" s="49">
        <v>74.990300000000005</v>
      </c>
      <c r="C10" s="49">
        <v>16.3123</v>
      </c>
      <c r="D10" s="49">
        <v>21.752500000000001</v>
      </c>
      <c r="E10" s="49">
        <v>40</v>
      </c>
      <c r="F10" s="49">
        <v>18.4665</v>
      </c>
      <c r="G10" s="49">
        <v>100</v>
      </c>
      <c r="H10" s="49">
        <v>84.354699999999994</v>
      </c>
    </row>
    <row r="11" spans="1:10">
      <c r="A11" t="s">
        <v>1116</v>
      </c>
      <c r="B11" s="49">
        <v>42.384799999999998</v>
      </c>
      <c r="C11" s="49">
        <v>5.7663200000000003</v>
      </c>
      <c r="D11" s="49">
        <v>13.604699999999999</v>
      </c>
      <c r="E11" s="49">
        <v>10</v>
      </c>
      <c r="F11" s="49">
        <v>37.372300000000003</v>
      </c>
      <c r="G11" s="49">
        <v>50</v>
      </c>
      <c r="H11" s="49">
        <v>55.770400000000002</v>
      </c>
    </row>
    <row r="12" spans="1:10">
      <c r="A12" t="s">
        <v>1117</v>
      </c>
      <c r="B12" s="49">
        <v>75.219099999999997</v>
      </c>
      <c r="C12" s="49">
        <v>9.1768000000000001</v>
      </c>
      <c r="D12" s="49">
        <v>12.200100000000001</v>
      </c>
      <c r="E12" s="49">
        <v>50</v>
      </c>
      <c r="F12" s="49">
        <v>46.838700000000003</v>
      </c>
      <c r="G12" s="49">
        <v>100</v>
      </c>
      <c r="H12" s="49">
        <v>83.458200000000005</v>
      </c>
    </row>
    <row r="13" spans="1:10">
      <c r="A13" t="s">
        <v>1118</v>
      </c>
      <c r="B13" s="49">
        <v>24.5715</v>
      </c>
      <c r="C13" s="49">
        <v>4.4019199999999996</v>
      </c>
      <c r="D13" s="49">
        <v>17.9147</v>
      </c>
      <c r="E13" s="49">
        <v>10</v>
      </c>
      <c r="F13" s="49">
        <v>18.805399999999999</v>
      </c>
      <c r="G13" s="49">
        <v>25</v>
      </c>
      <c r="H13" s="49">
        <v>34.815899999999999</v>
      </c>
      <c r="J13" s="49"/>
    </row>
    <row r="14" spans="1:10">
      <c r="A14" t="s">
        <v>1119</v>
      </c>
      <c r="B14" s="49">
        <v>44.019199999999998</v>
      </c>
      <c r="C14" s="49">
        <v>15.8033</v>
      </c>
      <c r="D14" s="49">
        <v>35.9011</v>
      </c>
      <c r="E14" s="49">
        <v>10</v>
      </c>
      <c r="F14" s="49">
        <v>3.1501999999999999</v>
      </c>
      <c r="G14" s="49">
        <v>50</v>
      </c>
      <c r="H14" s="49">
        <v>52.557099999999998</v>
      </c>
    </row>
    <row r="15" spans="1:10">
      <c r="A15" t="s">
        <v>1120</v>
      </c>
      <c r="B15" s="49">
        <v>-8.2074800000000005E-4</v>
      </c>
      <c r="C15" s="49">
        <v>0</v>
      </c>
      <c r="D15" s="49">
        <v>0</v>
      </c>
      <c r="E15" s="49">
        <v>0</v>
      </c>
      <c r="F15" s="49">
        <v>0</v>
      </c>
      <c r="G15" s="49">
        <v>0</v>
      </c>
      <c r="H15" s="49">
        <v>0</v>
      </c>
    </row>
    <row r="16" spans="1:10">
      <c r="A16" t="s">
        <v>1121</v>
      </c>
      <c r="B16" s="49">
        <v>0.11494699999999999</v>
      </c>
      <c r="C16" s="49">
        <v>0</v>
      </c>
      <c r="D16" s="49">
        <v>0</v>
      </c>
      <c r="E16" s="49">
        <v>0</v>
      </c>
      <c r="F16" s="49">
        <v>0</v>
      </c>
      <c r="G16" s="49">
        <v>0</v>
      </c>
      <c r="H16" s="49">
        <v>0</v>
      </c>
    </row>
    <row r="17" spans="1:8">
      <c r="A17" t="s">
        <v>1122</v>
      </c>
      <c r="B17" s="49">
        <v>19.9742</v>
      </c>
      <c r="C17" s="49">
        <v>0</v>
      </c>
      <c r="D17" s="49">
        <v>0</v>
      </c>
      <c r="E17" s="49">
        <v>0</v>
      </c>
      <c r="F17" s="49">
        <v>0</v>
      </c>
      <c r="G17" s="49">
        <v>0</v>
      </c>
      <c r="H17" s="49">
        <v>0</v>
      </c>
    </row>
    <row r="18" spans="1:8">
      <c r="A18" t="s">
        <v>1123</v>
      </c>
      <c r="B18" s="49">
        <v>0.67594500000000002</v>
      </c>
      <c r="C18" s="49">
        <v>0</v>
      </c>
      <c r="D18" s="49">
        <v>0</v>
      </c>
      <c r="E18" s="49">
        <v>0</v>
      </c>
      <c r="F18" s="49">
        <v>0</v>
      </c>
      <c r="G18" s="49">
        <v>0</v>
      </c>
      <c r="H18" s="49">
        <v>0</v>
      </c>
    </row>
    <row r="19" spans="1:8">
      <c r="A19" t="s">
        <v>1124</v>
      </c>
      <c r="B19" s="49">
        <v>0.34894799999999998</v>
      </c>
      <c r="C19" s="49">
        <v>0</v>
      </c>
      <c r="D19" s="49">
        <v>0</v>
      </c>
      <c r="E19" s="49">
        <v>0</v>
      </c>
      <c r="F19" s="49">
        <v>0</v>
      </c>
      <c r="G19" s="49">
        <v>0</v>
      </c>
      <c r="H19" s="49">
        <v>0</v>
      </c>
    </row>
    <row r="20" spans="1:8">
      <c r="A20" t="s">
        <v>1125</v>
      </c>
      <c r="B20" s="49">
        <v>4.6082499999999998E-2</v>
      </c>
      <c r="C20" s="49">
        <v>9.8734699999999995E-2</v>
      </c>
      <c r="D20" s="49">
        <v>2.14256</v>
      </c>
      <c r="E20" s="49">
        <v>0</v>
      </c>
      <c r="F20" s="49">
        <v>1.32497E-3</v>
      </c>
      <c r="G20" s="49">
        <v>0</v>
      </c>
      <c r="H20" s="49">
        <v>0.87615299999999996</v>
      </c>
    </row>
    <row r="21" spans="1:8">
      <c r="A21" t="s">
        <v>1126</v>
      </c>
      <c r="B21" s="49">
        <v>0.79112300000000002</v>
      </c>
      <c r="C21" s="49">
        <v>0.77703199999999994</v>
      </c>
      <c r="D21" s="49">
        <v>0.98218899999999998</v>
      </c>
      <c r="E21" s="49">
        <v>0</v>
      </c>
      <c r="F21" s="49">
        <v>5.0096799999999997E-2</v>
      </c>
      <c r="G21" s="49">
        <v>0</v>
      </c>
      <c r="H21" s="49">
        <v>5.1016500000000002</v>
      </c>
    </row>
    <row r="22" spans="1:8">
      <c r="A22" t="s">
        <v>1127</v>
      </c>
      <c r="B22" s="49">
        <v>92.839200000000005</v>
      </c>
      <c r="C22" s="49">
        <v>22.095099999999999</v>
      </c>
      <c r="D22" s="49">
        <v>0.23799300000000001</v>
      </c>
      <c r="E22" s="49">
        <v>0</v>
      </c>
      <c r="F22" s="49">
        <v>58.692100000000003</v>
      </c>
      <c r="G22" s="49">
        <v>0</v>
      </c>
      <c r="H22" s="49">
        <v>180.61</v>
      </c>
    </row>
    <row r="23" spans="1:8">
      <c r="A23" t="s">
        <v>1128</v>
      </c>
      <c r="B23" s="49">
        <v>57.569499999999998</v>
      </c>
      <c r="C23" s="49">
        <v>38.446800000000003</v>
      </c>
      <c r="D23" s="49">
        <v>0.66783400000000004</v>
      </c>
      <c r="E23" s="49">
        <v>0</v>
      </c>
      <c r="F23" s="49">
        <v>49.984400000000001</v>
      </c>
      <c r="G23" s="49">
        <v>0</v>
      </c>
      <c r="H23" s="49">
        <v>176.441</v>
      </c>
    </row>
    <row r="24" spans="1:8">
      <c r="A24" t="s">
        <v>1129</v>
      </c>
      <c r="B24" s="49">
        <v>5.3482099999999998E-2</v>
      </c>
      <c r="C24" s="49">
        <v>8.2697099999999996E-2</v>
      </c>
      <c r="D24" s="49">
        <v>1.54626</v>
      </c>
      <c r="E24" s="49">
        <v>0</v>
      </c>
      <c r="F24" s="49">
        <v>2.2540099999999999E-3</v>
      </c>
      <c r="G24" s="49">
        <v>0</v>
      </c>
      <c r="H24" s="49">
        <v>0.57565</v>
      </c>
    </row>
    <row r="25" spans="1:8">
      <c r="A25" t="s">
        <v>1130</v>
      </c>
      <c r="B25" s="49">
        <v>0.87427299999999997</v>
      </c>
      <c r="C25" s="49">
        <v>0.525922</v>
      </c>
      <c r="D25" s="49">
        <v>0.60155400000000003</v>
      </c>
      <c r="E25" s="49">
        <v>0</v>
      </c>
      <c r="F25" s="49">
        <v>0.26993600000000001</v>
      </c>
      <c r="G25" s="49">
        <v>0</v>
      </c>
      <c r="H25" s="49">
        <v>3.0051600000000001</v>
      </c>
    </row>
    <row r="26" spans="1:8">
      <c r="A26" t="s">
        <v>1131</v>
      </c>
      <c r="B26" s="49">
        <v>5.7620800000000002E-3</v>
      </c>
      <c r="C26" s="49">
        <v>6.5828500000000003E-3</v>
      </c>
      <c r="D26" s="49">
        <v>1.1424399999999999</v>
      </c>
      <c r="E26" s="49">
        <v>0</v>
      </c>
      <c r="F26" s="173">
        <v>2.4879999999999998E-4</v>
      </c>
      <c r="G26" s="49">
        <v>0</v>
      </c>
      <c r="H26" s="49">
        <v>5.5417899999999999E-2</v>
      </c>
    </row>
    <row r="27" spans="1:8">
      <c r="A27" t="s">
        <v>1132</v>
      </c>
      <c r="B27" s="173">
        <v>-3.9207700000000001E-5</v>
      </c>
      <c r="C27" s="49">
        <v>2.3102299999999999E-3</v>
      </c>
      <c r="D27" s="49">
        <v>-58.922800000000002</v>
      </c>
      <c r="E27" s="49">
        <v>0</v>
      </c>
      <c r="F27" s="49">
        <v>-1.7269799999999998E-2</v>
      </c>
      <c r="G27" s="49">
        <v>0</v>
      </c>
      <c r="H27" s="49">
        <v>2.1156700000000001E-2</v>
      </c>
    </row>
    <row r="28" spans="1:8">
      <c r="A28" t="s">
        <v>1133</v>
      </c>
      <c r="B28" s="49">
        <v>4.9070200000000001E-2</v>
      </c>
      <c r="C28" s="49">
        <v>2.86579E-2</v>
      </c>
      <c r="D28" s="49">
        <v>0.58401899999999995</v>
      </c>
      <c r="E28" s="49">
        <v>0</v>
      </c>
      <c r="F28" s="49">
        <v>6.4052900000000001E-3</v>
      </c>
      <c r="G28" s="49">
        <v>0</v>
      </c>
      <c r="H28" s="49">
        <v>0.164853</v>
      </c>
    </row>
    <row r="29" spans="1:8">
      <c r="A29" t="s">
        <v>1134</v>
      </c>
      <c r="B29" s="49">
        <v>85.999399999999994</v>
      </c>
      <c r="C29" s="49">
        <v>7.7839799999999997</v>
      </c>
      <c r="D29" s="49">
        <v>9.0511999999999995E-2</v>
      </c>
      <c r="E29" s="49">
        <v>0</v>
      </c>
      <c r="F29" s="49">
        <v>67.133799999999994</v>
      </c>
      <c r="G29" s="49">
        <v>0</v>
      </c>
      <c r="H29" s="49">
        <v>106.92700000000001</v>
      </c>
    </row>
    <row r="30" spans="1:8">
      <c r="A30" t="s">
        <v>1135</v>
      </c>
      <c r="B30" s="49">
        <v>46.662599999999998</v>
      </c>
      <c r="C30" s="49">
        <v>15.106299999999999</v>
      </c>
      <c r="D30" s="49">
        <v>0.32373499999999999</v>
      </c>
      <c r="E30" s="49">
        <v>0</v>
      </c>
      <c r="F30" s="49">
        <v>42.890500000000003</v>
      </c>
      <c r="G30" s="49">
        <v>0</v>
      </c>
      <c r="H30" s="49">
        <v>95.031599999999997</v>
      </c>
    </row>
    <row r="31" spans="1:8">
      <c r="A31" t="s">
        <v>1136</v>
      </c>
      <c r="B31" s="49">
        <v>327.11099999999999</v>
      </c>
      <c r="C31" s="49">
        <v>71.557500000000005</v>
      </c>
      <c r="D31" s="49">
        <v>0.21875600000000001</v>
      </c>
      <c r="E31" s="49">
        <v>0</v>
      </c>
      <c r="F31" s="49">
        <v>252.876</v>
      </c>
      <c r="G31" s="49">
        <v>0</v>
      </c>
      <c r="H31" s="49">
        <v>492.52600000000001</v>
      </c>
    </row>
    <row r="32" spans="1:8">
      <c r="A32" t="s">
        <v>1137</v>
      </c>
      <c r="B32" s="49">
        <v>0.123297</v>
      </c>
      <c r="C32" s="49">
        <v>6.1687100000000002E-2</v>
      </c>
      <c r="D32" s="49">
        <v>0.50031400000000004</v>
      </c>
      <c r="E32" s="49">
        <v>0.15</v>
      </c>
      <c r="F32" s="49">
        <v>5.9231800000000001E-2</v>
      </c>
      <c r="G32" s="49">
        <v>0.4</v>
      </c>
      <c r="H32" s="49">
        <v>0.36041600000000001</v>
      </c>
    </row>
    <row r="33" spans="1:8">
      <c r="A33" t="s">
        <v>1138</v>
      </c>
      <c r="B33" s="49">
        <v>0.37413099999999999</v>
      </c>
      <c r="C33" s="49">
        <v>5.1952199999999997E-2</v>
      </c>
      <c r="D33" s="49">
        <v>0.13886100000000001</v>
      </c>
      <c r="E33" s="49">
        <v>0</v>
      </c>
      <c r="F33" s="49">
        <v>0.173708</v>
      </c>
      <c r="G33" s="49">
        <v>0</v>
      </c>
      <c r="H33" s="49">
        <v>0.42427700000000002</v>
      </c>
    </row>
    <row r="34" spans="1:8">
      <c r="A34" t="s">
        <v>1139</v>
      </c>
      <c r="B34" s="49">
        <v>0.24571499999999999</v>
      </c>
      <c r="C34" s="49">
        <v>4.4019200000000001E-2</v>
      </c>
      <c r="D34" s="49">
        <v>0.179147</v>
      </c>
      <c r="E34" s="49">
        <v>0.1</v>
      </c>
      <c r="F34" s="49">
        <v>0.188054</v>
      </c>
      <c r="G34" s="49">
        <v>0.25</v>
      </c>
      <c r="H34" s="49">
        <v>0.348159</v>
      </c>
    </row>
    <row r="35" spans="1:8">
      <c r="A35" t="s">
        <v>1140</v>
      </c>
      <c r="B35" s="49">
        <v>9.2916299999999993E-2</v>
      </c>
      <c r="C35" s="49">
        <v>2.98865E-2</v>
      </c>
      <c r="D35" s="49">
        <v>0.32164999999999999</v>
      </c>
      <c r="E35" s="49">
        <v>0</v>
      </c>
      <c r="F35" s="49">
        <v>3.5304799999999997E-2</v>
      </c>
      <c r="G35" s="49">
        <v>0</v>
      </c>
      <c r="H35" s="49">
        <v>0.157278</v>
      </c>
    </row>
    <row r="36" spans="1:8">
      <c r="A36" t="s">
        <v>1141</v>
      </c>
      <c r="B36" s="49">
        <v>0.229049</v>
      </c>
      <c r="C36" s="49">
        <v>0.112167</v>
      </c>
      <c r="D36" s="49">
        <v>0.489705</v>
      </c>
      <c r="E36" s="49">
        <v>0</v>
      </c>
      <c r="F36" s="49">
        <v>2.7124800000000001E-2</v>
      </c>
      <c r="G36" s="49">
        <v>0</v>
      </c>
      <c r="H36" s="49">
        <v>0.58288300000000004</v>
      </c>
    </row>
    <row r="37" spans="1:8">
      <c r="A37" t="s">
        <v>1142</v>
      </c>
      <c r="B37" s="49">
        <v>0.44019200000000003</v>
      </c>
      <c r="C37" s="49">
        <v>0.15803300000000001</v>
      </c>
      <c r="D37" s="49">
        <v>0.35901100000000002</v>
      </c>
      <c r="E37" s="49">
        <v>0.1</v>
      </c>
      <c r="F37" s="49">
        <v>3.1502000000000002E-2</v>
      </c>
      <c r="G37" s="49">
        <v>0.5</v>
      </c>
      <c r="H37" s="49">
        <v>0.52557100000000001</v>
      </c>
    </row>
    <row r="38" spans="1:8">
      <c r="A38" t="s">
        <v>1143</v>
      </c>
      <c r="B38" s="49">
        <v>-2.0011399999999999</v>
      </c>
      <c r="C38" s="49">
        <v>44.953699999999998</v>
      </c>
      <c r="D38" s="49">
        <v>-22.463999999999999</v>
      </c>
      <c r="E38" s="49">
        <v>0</v>
      </c>
      <c r="F38" s="49">
        <v>-119.041</v>
      </c>
      <c r="G38" s="49">
        <v>0</v>
      </c>
      <c r="H38" s="49">
        <v>146.63300000000001</v>
      </c>
    </row>
    <row r="39" spans="1:8">
      <c r="A39" t="s">
        <v>1144</v>
      </c>
      <c r="B39" s="49">
        <v>-1.8997599999999999</v>
      </c>
      <c r="C39" s="49">
        <v>6.95831</v>
      </c>
      <c r="D39" s="49">
        <v>-3.6627299999999998</v>
      </c>
      <c r="E39" s="49">
        <v>0</v>
      </c>
      <c r="F39" s="49">
        <v>-26.876300000000001</v>
      </c>
      <c r="G39" s="49">
        <v>0</v>
      </c>
      <c r="H39" s="49">
        <v>16.649699999999999</v>
      </c>
    </row>
    <row r="40" spans="1:8">
      <c r="A40" t="s">
        <v>1145</v>
      </c>
      <c r="B40" s="49">
        <v>-5.4472899999999997</v>
      </c>
      <c r="C40" s="49">
        <v>17.377300000000002</v>
      </c>
      <c r="D40" s="49">
        <v>-3.19008</v>
      </c>
      <c r="E40" s="49">
        <v>0</v>
      </c>
      <c r="F40" s="49">
        <v>-64.786699999999996</v>
      </c>
      <c r="G40" s="49">
        <v>0</v>
      </c>
      <c r="H40" s="49">
        <v>37.145000000000003</v>
      </c>
    </row>
    <row r="41" spans="1:8">
      <c r="A41" t="s">
        <v>1146</v>
      </c>
      <c r="B41" s="49">
        <v>-2.8102100000000001E-2</v>
      </c>
      <c r="C41" s="49">
        <v>0.12742700000000001</v>
      </c>
      <c r="D41" s="49">
        <v>-4.5344100000000003</v>
      </c>
      <c r="E41" s="49">
        <v>0</v>
      </c>
      <c r="F41" s="49">
        <v>-0.49643399999999999</v>
      </c>
      <c r="G41" s="49">
        <v>0</v>
      </c>
      <c r="H41" s="49">
        <v>0.38145299999999999</v>
      </c>
    </row>
    <row r="42" spans="1:8">
      <c r="A42" t="s">
        <v>1147</v>
      </c>
      <c r="B42" s="49">
        <v>-8.6645600000000003E-2</v>
      </c>
      <c r="C42" s="49">
        <v>6.4271099999999998E-2</v>
      </c>
      <c r="D42" s="49">
        <v>-0.74177099999999996</v>
      </c>
      <c r="E42" s="49">
        <v>0</v>
      </c>
      <c r="F42" s="49">
        <v>-0.222806</v>
      </c>
      <c r="G42" s="49">
        <v>0</v>
      </c>
      <c r="H42" s="49">
        <v>9.3092499999999995E-2</v>
      </c>
    </row>
    <row r="43" spans="1:8">
      <c r="A43" t="s">
        <v>1148</v>
      </c>
      <c r="B43" s="49">
        <v>-0.11086799999999999</v>
      </c>
      <c r="C43" s="49">
        <v>0.13314799999999999</v>
      </c>
      <c r="D43" s="49">
        <v>-1.20096</v>
      </c>
      <c r="E43" s="49">
        <v>0</v>
      </c>
      <c r="F43" s="49">
        <v>-0.57538</v>
      </c>
      <c r="G43" s="49">
        <v>0</v>
      </c>
      <c r="H43" s="49">
        <v>0.19247900000000001</v>
      </c>
    </row>
    <row r="44" spans="1:8">
      <c r="A44" t="s">
        <v>1149</v>
      </c>
      <c r="B44" s="49">
        <v>10.4595</v>
      </c>
      <c r="C44" s="49">
        <v>28.276700000000002</v>
      </c>
      <c r="D44" s="49">
        <v>2.7034500000000001</v>
      </c>
      <c r="E44" s="49">
        <v>0</v>
      </c>
      <c r="F44" s="49">
        <v>-46.150100000000002</v>
      </c>
      <c r="G44" s="49">
        <v>0</v>
      </c>
      <c r="H44" s="49">
        <v>94.142700000000005</v>
      </c>
    </row>
    <row r="45" spans="1:8">
      <c r="A45" t="s">
        <v>1150</v>
      </c>
      <c r="B45" s="49">
        <v>32.899099999999997</v>
      </c>
      <c r="C45" s="49">
        <v>4.1419899999999998</v>
      </c>
      <c r="D45" s="49">
        <v>0.12590000000000001</v>
      </c>
      <c r="E45" s="49">
        <v>0</v>
      </c>
      <c r="F45" s="49">
        <v>23.772200000000002</v>
      </c>
      <c r="G45" s="49">
        <v>0</v>
      </c>
      <c r="H45" s="49">
        <v>41.485700000000001</v>
      </c>
    </row>
    <row r="46" spans="1:8">
      <c r="A46" t="s">
        <v>1151</v>
      </c>
      <c r="B46" s="49">
        <v>25.886800000000001</v>
      </c>
      <c r="C46" s="49">
        <v>2.7739500000000001</v>
      </c>
      <c r="D46" s="49">
        <v>0.107157</v>
      </c>
      <c r="E46" s="49">
        <v>0</v>
      </c>
      <c r="F46" s="49">
        <v>18.590699999999998</v>
      </c>
      <c r="G46" s="49">
        <v>0</v>
      </c>
      <c r="H46" s="49">
        <v>34.802300000000002</v>
      </c>
    </row>
    <row r="47" spans="1:8">
      <c r="A47" t="s">
        <v>1152</v>
      </c>
      <c r="B47" s="49">
        <v>3.7149399999999999</v>
      </c>
      <c r="C47" s="49">
        <v>1.2922499999999999</v>
      </c>
      <c r="D47" s="49">
        <v>0.34785100000000002</v>
      </c>
      <c r="E47" s="49">
        <v>0</v>
      </c>
      <c r="F47" s="49">
        <v>1.0301400000000001</v>
      </c>
      <c r="G47" s="49">
        <v>0</v>
      </c>
      <c r="H47" s="49">
        <v>8.0363699999999998</v>
      </c>
    </row>
    <row r="48" spans="1:8">
      <c r="A48" t="s">
        <v>1153</v>
      </c>
      <c r="B48" s="49">
        <v>1.6554800000000001</v>
      </c>
      <c r="C48" s="49">
        <v>0.65490700000000002</v>
      </c>
      <c r="D48" s="49">
        <v>0.39559899999999998</v>
      </c>
      <c r="E48" s="49">
        <v>0</v>
      </c>
      <c r="F48" s="49">
        <v>1.19109</v>
      </c>
      <c r="G48" s="49">
        <v>0</v>
      </c>
      <c r="H48" s="49">
        <v>3.4391400000000001</v>
      </c>
    </row>
    <row r="50" spans="1:4">
      <c r="A50" t="str">
        <f>lang!B7</f>
        <v>긍정감정</v>
      </c>
      <c r="B50" s="134">
        <f>SUM(B9:B12)</f>
        <v>268.25099999999998</v>
      </c>
      <c r="C50" s="134"/>
      <c r="D50" s="134">
        <f t="shared" ref="D50" si="0">SUM(D9:D12)</f>
        <v>55.08999</v>
      </c>
    </row>
    <row r="51" spans="1:4">
      <c r="A51" t="str">
        <f>lang!B8</f>
        <v>부정감정</v>
      </c>
      <c r="B51" s="134">
        <f>SUM(B5:B8)</f>
        <v>105.80930000000001</v>
      </c>
      <c r="C51" s="134"/>
      <c r="D51" s="134">
        <f t="shared" ref="D51" si="1">SUM(D5:D8)</f>
        <v>90.836480000000009</v>
      </c>
    </row>
    <row r="52" spans="1:4">
      <c r="A52" t="str">
        <f>lang!B9</f>
        <v>생리감정</v>
      </c>
      <c r="B52" s="134">
        <f>SUM(B13:B14)</f>
        <v>68.590699999999998</v>
      </c>
      <c r="C52" s="134"/>
      <c r="D52" s="134">
        <f t="shared" ref="D52" si="2">SUM(D13:D14)</f>
        <v>53.815799999999996</v>
      </c>
    </row>
    <row r="53" spans="1:4">
      <c r="B53" s="50">
        <f>SUM(B50:B52)</f>
        <v>442.65099999999995</v>
      </c>
      <c r="D53" s="50">
        <f>SUM(D50:D52)</f>
        <v>199.74226999999999</v>
      </c>
    </row>
    <row r="54" spans="1:4">
      <c r="A54" t="str">
        <f>lang!B7</f>
        <v>긍정감정</v>
      </c>
      <c r="B54" s="135">
        <f>IF(B$53&lt;&gt;0,B50/B$53,0)</f>
        <v>0.60601015246774548</v>
      </c>
      <c r="C54" s="135"/>
      <c r="D54" s="135">
        <f>IF(D$53&lt;&gt;0,D50/D$53,0)</f>
        <v>0.27580536658565064</v>
      </c>
    </row>
    <row r="55" spans="1:4">
      <c r="A55" t="str">
        <f>lang!B8</f>
        <v>부정감정</v>
      </c>
      <c r="B55" s="135">
        <f>IF(B$53&lt;&gt;0,B51/B$53,0)</f>
        <v>0.23903549297301943</v>
      </c>
      <c r="C55" s="135"/>
      <c r="D55" s="135">
        <f>IF(D$53&lt;&gt;0,D51/D$53,0)</f>
        <v>0.45476843734678701</v>
      </c>
    </row>
    <row r="56" spans="1:4">
      <c r="A56" t="str">
        <f>lang!B9</f>
        <v>생리감정</v>
      </c>
      <c r="B56" s="135">
        <f>IF(B$53&lt;&gt;0,B52/B$53,0)</f>
        <v>0.15495435455923517</v>
      </c>
      <c r="C56" s="135"/>
      <c r="D56" s="135">
        <f>IF(D$53&lt;&gt;0,D52/D$53,0)</f>
        <v>0.26942619606756246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18.639299999999999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6.7676799999999999E-3</v>
      </c>
      <c r="B23" s="49">
        <v>6.7676799999999999E-3</v>
      </c>
    </row>
    <row r="24" spans="1:2">
      <c r="A24" s="49">
        <v>0</v>
      </c>
      <c r="B24" s="49">
        <v>0</v>
      </c>
    </row>
    <row r="25" spans="1:2">
      <c r="A25" s="49">
        <v>0</v>
      </c>
      <c r="B25" s="49">
        <v>0</v>
      </c>
    </row>
    <row r="26" spans="1:2">
      <c r="A26" s="49">
        <v>0.01</v>
      </c>
      <c r="B26" s="49">
        <v>0.01</v>
      </c>
    </row>
    <row r="27" spans="1:2">
      <c r="A27" s="49">
        <v>0</v>
      </c>
      <c r="B27" s="49">
        <v>0</v>
      </c>
    </row>
    <row r="28" spans="1:2">
      <c r="A28" s="49">
        <v>8.9494900000000002E-2</v>
      </c>
      <c r="B28" s="49">
        <v>8.9494900000000002E-2</v>
      </c>
    </row>
    <row r="29" spans="1:2">
      <c r="A29" s="49">
        <v>0</v>
      </c>
      <c r="B29" s="49">
        <v>0</v>
      </c>
    </row>
    <row r="30" spans="1:2">
      <c r="A30" s="49">
        <v>0</v>
      </c>
      <c r="B30" s="49">
        <v>0</v>
      </c>
    </row>
    <row r="31" spans="1:2">
      <c r="A31" s="49">
        <v>5.6767699999999997E-2</v>
      </c>
      <c r="B31" s="49">
        <v>5.6767699999999997E-2</v>
      </c>
    </row>
    <row r="32" spans="1:2">
      <c r="A32" s="49">
        <v>0</v>
      </c>
      <c r="B32" s="49">
        <v>0</v>
      </c>
    </row>
    <row r="33" spans="1:2">
      <c r="A33" s="49">
        <v>0.13949500000000001</v>
      </c>
      <c r="B33" s="49">
        <v>0.13949500000000001</v>
      </c>
    </row>
    <row r="34" spans="1:2">
      <c r="A34" s="49">
        <v>0</v>
      </c>
      <c r="B34" s="49">
        <v>0</v>
      </c>
    </row>
    <row r="35" spans="1:2">
      <c r="A35" s="49">
        <v>0</v>
      </c>
      <c r="B35" s="49">
        <v>0</v>
      </c>
    </row>
    <row r="36" spans="1:2">
      <c r="A36" s="49">
        <v>0.14222199999999999</v>
      </c>
      <c r="B36" s="49">
        <v>0.14222199999999999</v>
      </c>
    </row>
    <row r="37" spans="1:2">
      <c r="A37" s="49">
        <v>0</v>
      </c>
      <c r="B37" s="49">
        <v>0</v>
      </c>
    </row>
    <row r="38" spans="1:2">
      <c r="A38" s="49">
        <v>0</v>
      </c>
      <c r="B38" s="49">
        <v>0</v>
      </c>
    </row>
    <row r="39" spans="1:2">
      <c r="A39" s="49">
        <v>8.5454500000000003E-2</v>
      </c>
      <c r="B39" s="49">
        <v>8.5454500000000003E-2</v>
      </c>
    </row>
    <row r="40" spans="1:2">
      <c r="A40" s="49">
        <v>0</v>
      </c>
      <c r="B40" s="49">
        <v>0</v>
      </c>
    </row>
    <row r="41" spans="1:2">
      <c r="A41" s="49">
        <v>0.11555600000000001</v>
      </c>
      <c r="B41" s="49">
        <v>0.11555600000000001</v>
      </c>
    </row>
    <row r="42" spans="1:2">
      <c r="A42" s="49">
        <v>0</v>
      </c>
      <c r="B42" s="49">
        <v>0</v>
      </c>
    </row>
    <row r="43" spans="1:2">
      <c r="A43" s="49">
        <v>0</v>
      </c>
      <c r="B43" s="49">
        <v>0</v>
      </c>
    </row>
    <row r="44" spans="1:2">
      <c r="A44" s="49">
        <v>7.8080800000000006E-2</v>
      </c>
      <c r="B44" s="49">
        <v>7.8080800000000006E-2</v>
      </c>
    </row>
    <row r="45" spans="1:2">
      <c r="A45" s="49">
        <v>0</v>
      </c>
      <c r="B45" s="49">
        <v>0</v>
      </c>
    </row>
    <row r="46" spans="1:2">
      <c r="A46" s="49">
        <v>6.0201999999999999E-2</v>
      </c>
      <c r="B46" s="49">
        <v>6.0201999999999999E-2</v>
      </c>
    </row>
    <row r="47" spans="1:2">
      <c r="A47" s="49">
        <v>0</v>
      </c>
      <c r="B47" s="49">
        <v>0</v>
      </c>
    </row>
    <row r="48" spans="1:2">
      <c r="A48" s="49">
        <v>0</v>
      </c>
      <c r="B48" s="49">
        <v>0</v>
      </c>
    </row>
    <row r="49" spans="1:2">
      <c r="A49" s="49">
        <v>6.6363599999999995E-2</v>
      </c>
      <c r="B49" s="49">
        <v>6.6363599999999995E-2</v>
      </c>
    </row>
    <row r="50" spans="1:2">
      <c r="A50" s="49">
        <v>0</v>
      </c>
      <c r="B50" s="49">
        <v>0</v>
      </c>
    </row>
    <row r="51" spans="1:2">
      <c r="A51" s="49">
        <v>0.234848</v>
      </c>
      <c r="B51" s="49">
        <v>0.234848</v>
      </c>
    </row>
    <row r="52" spans="1:2">
      <c r="A52" s="49">
        <v>0</v>
      </c>
      <c r="B52" s="49">
        <v>0</v>
      </c>
    </row>
    <row r="53" spans="1:2">
      <c r="A53" s="49">
        <v>0</v>
      </c>
      <c r="B53" s="49">
        <v>0</v>
      </c>
    </row>
    <row r="54" spans="1:2">
      <c r="A54" s="49">
        <v>0.109697</v>
      </c>
      <c r="B54" s="49">
        <v>0.109697</v>
      </c>
    </row>
    <row r="55" spans="1:2">
      <c r="A55" s="49">
        <v>0</v>
      </c>
      <c r="B55" s="49">
        <v>0</v>
      </c>
    </row>
    <row r="56" spans="1:2">
      <c r="A56" s="49">
        <v>0</v>
      </c>
      <c r="B56" s="49">
        <v>0</v>
      </c>
    </row>
    <row r="57" spans="1:2">
      <c r="A57" s="49">
        <v>8.4343399999999999E-2</v>
      </c>
      <c r="B57" s="49">
        <v>8.4343399999999999E-2</v>
      </c>
    </row>
    <row r="58" spans="1:2">
      <c r="A58" s="49">
        <v>0</v>
      </c>
      <c r="B58" s="49">
        <v>0</v>
      </c>
    </row>
    <row r="59" spans="1:2">
      <c r="A59" s="49">
        <v>0.21060599999999999</v>
      </c>
      <c r="B59" s="49">
        <v>0.21060599999999999</v>
      </c>
    </row>
    <row r="60" spans="1:2">
      <c r="A60" s="49">
        <v>0</v>
      </c>
      <c r="B60" s="49">
        <v>0</v>
      </c>
    </row>
    <row r="61" spans="1:2">
      <c r="A61" s="49">
        <v>0</v>
      </c>
      <c r="B61" s="49">
        <v>0</v>
      </c>
    </row>
    <row r="62" spans="1:2">
      <c r="A62" s="49">
        <v>0.216667</v>
      </c>
      <c r="B62" s="49">
        <v>0.216667</v>
      </c>
    </row>
    <row r="63" spans="1:2">
      <c r="A63" s="49">
        <v>0</v>
      </c>
      <c r="B63" s="49">
        <v>0</v>
      </c>
    </row>
    <row r="64" spans="1:2">
      <c r="A64" s="49">
        <v>0.23272699999999999</v>
      </c>
      <c r="B64" s="49">
        <v>0.23272699999999999</v>
      </c>
    </row>
    <row r="65" spans="1:2">
      <c r="A65" s="49">
        <v>0</v>
      </c>
      <c r="B65" s="49">
        <v>0</v>
      </c>
    </row>
    <row r="66" spans="1:2">
      <c r="A66" s="49">
        <v>0</v>
      </c>
      <c r="B66" s="49">
        <v>0</v>
      </c>
    </row>
    <row r="67" spans="1:2">
      <c r="A67" s="49">
        <v>0.46595999999999999</v>
      </c>
      <c r="B67" s="49">
        <v>0.46595999999999999</v>
      </c>
    </row>
    <row r="68" spans="1:2">
      <c r="A68" s="49">
        <v>0</v>
      </c>
      <c r="B68" s="49">
        <v>0</v>
      </c>
    </row>
    <row r="69" spans="1:2">
      <c r="A69" s="49">
        <v>0.50717199999999996</v>
      </c>
      <c r="B69" s="49">
        <v>0.50717199999999996</v>
      </c>
    </row>
    <row r="70" spans="1:2">
      <c r="A70" s="49">
        <v>0</v>
      </c>
      <c r="B70" s="49">
        <v>0</v>
      </c>
    </row>
    <row r="71" spans="1:2">
      <c r="A71" s="49">
        <v>0</v>
      </c>
      <c r="B71" s="49">
        <v>0</v>
      </c>
    </row>
    <row r="72" spans="1:2">
      <c r="A72" s="49">
        <v>0.49252499999999999</v>
      </c>
      <c r="B72" s="49">
        <v>0.49252499999999999</v>
      </c>
    </row>
    <row r="73" spans="1:2">
      <c r="A73" s="49">
        <v>0</v>
      </c>
      <c r="B73" s="49">
        <v>0</v>
      </c>
    </row>
    <row r="74" spans="1:2">
      <c r="A74" s="49">
        <v>0</v>
      </c>
      <c r="B74" s="49">
        <v>0</v>
      </c>
    </row>
    <row r="75" spans="1:2">
      <c r="A75" s="49">
        <v>0.40212100000000001</v>
      </c>
      <c r="B75" s="49">
        <v>0.40212100000000001</v>
      </c>
    </row>
    <row r="76" spans="1:2">
      <c r="A76" s="49">
        <v>0</v>
      </c>
      <c r="B76" s="49">
        <v>0</v>
      </c>
    </row>
    <row r="77" spans="1:2">
      <c r="A77" s="49">
        <v>0.44353500000000001</v>
      </c>
      <c r="B77" s="49">
        <v>0.44353500000000001</v>
      </c>
    </row>
    <row r="78" spans="1:2">
      <c r="A78" s="49">
        <v>0</v>
      </c>
      <c r="B78" s="49">
        <v>0</v>
      </c>
    </row>
    <row r="79" spans="1:2">
      <c r="A79" s="49">
        <v>0</v>
      </c>
      <c r="B79" s="49">
        <v>0</v>
      </c>
    </row>
    <row r="80" spans="1:2">
      <c r="A80" s="49">
        <v>1.60758</v>
      </c>
      <c r="B80" s="49">
        <v>1.60758</v>
      </c>
    </row>
    <row r="81" spans="1:2">
      <c r="A81" s="49">
        <v>0</v>
      </c>
      <c r="B81" s="49">
        <v>0</v>
      </c>
    </row>
    <row r="82" spans="1:2">
      <c r="A82" s="49">
        <v>2.7956599999999998</v>
      </c>
      <c r="B82" s="49">
        <v>2.7956599999999998</v>
      </c>
    </row>
    <row r="83" spans="1:2">
      <c r="A83" s="49">
        <v>0</v>
      </c>
      <c r="B83" s="49">
        <v>0</v>
      </c>
    </row>
    <row r="84" spans="1:2">
      <c r="A84" s="49">
        <v>0</v>
      </c>
      <c r="B84" s="49">
        <v>0</v>
      </c>
    </row>
    <row r="85" spans="1:2">
      <c r="A85" s="49">
        <v>4.8259600000000002</v>
      </c>
      <c r="B85" s="49">
        <v>4.8259600000000002</v>
      </c>
    </row>
    <row r="86" spans="1:2">
      <c r="A86" s="49">
        <v>0</v>
      </c>
      <c r="B86" s="49">
        <v>0</v>
      </c>
    </row>
    <row r="87" spans="1:2">
      <c r="A87" s="49">
        <v>0</v>
      </c>
      <c r="B87" s="49">
        <v>0</v>
      </c>
    </row>
    <row r="88" spans="1:2">
      <c r="A88" s="49">
        <v>7.0161600000000002</v>
      </c>
      <c r="B88" s="49">
        <v>7.0161600000000002</v>
      </c>
    </row>
    <row r="89" spans="1:2">
      <c r="A89" s="49">
        <v>0</v>
      </c>
      <c r="B89" s="49">
        <v>0</v>
      </c>
    </row>
    <row r="90" spans="1:2">
      <c r="A90" s="49">
        <v>9.0776800000000009</v>
      </c>
      <c r="B90" s="49">
        <v>9.0776800000000009</v>
      </c>
    </row>
    <row r="91" spans="1:2">
      <c r="A91" s="49">
        <v>0</v>
      </c>
      <c r="B91" s="49">
        <v>0</v>
      </c>
    </row>
    <row r="92" spans="1:2">
      <c r="A92" s="49">
        <v>0</v>
      </c>
      <c r="B92" s="49">
        <v>0</v>
      </c>
    </row>
    <row r="93" spans="1:2">
      <c r="A93" s="49">
        <v>10.7722</v>
      </c>
      <c r="B93" s="49">
        <v>10.7722</v>
      </c>
    </row>
    <row r="94" spans="1:2">
      <c r="A94" s="49">
        <v>0</v>
      </c>
      <c r="B94" s="49">
        <v>0</v>
      </c>
    </row>
    <row r="95" spans="1:2">
      <c r="A95" s="49">
        <v>11.103</v>
      </c>
      <c r="B95" s="49">
        <v>11.103</v>
      </c>
    </row>
    <row r="96" spans="1:2">
      <c r="A96" s="49">
        <v>0</v>
      </c>
      <c r="B96" s="49">
        <v>0</v>
      </c>
    </row>
    <row r="97" spans="1:2">
      <c r="A97" s="49">
        <v>0</v>
      </c>
      <c r="B97" s="49">
        <v>0</v>
      </c>
    </row>
    <row r="98" spans="1:2">
      <c r="A98" s="49">
        <v>10.5191</v>
      </c>
      <c r="B98" s="49">
        <v>10.5191</v>
      </c>
    </row>
    <row r="99" spans="1:2">
      <c r="A99" s="49">
        <v>0</v>
      </c>
      <c r="B99" s="49">
        <v>0</v>
      </c>
    </row>
    <row r="100" spans="1:2">
      <c r="A100" s="49">
        <v>9.5634300000000003</v>
      </c>
      <c r="B100" s="49">
        <v>9.5634300000000003</v>
      </c>
    </row>
    <row r="101" spans="1:2">
      <c r="A101" s="49">
        <v>0</v>
      </c>
      <c r="B101" s="49">
        <v>0</v>
      </c>
    </row>
    <row r="102" spans="1:2">
      <c r="A102" s="49">
        <v>0</v>
      </c>
      <c r="B102" s="49">
        <v>0</v>
      </c>
    </row>
    <row r="103" spans="1:2">
      <c r="A103" s="49">
        <v>10.3995</v>
      </c>
      <c r="B103" s="49">
        <v>10.3995</v>
      </c>
    </row>
    <row r="104" spans="1:2">
      <c r="A104" s="49">
        <v>0</v>
      </c>
      <c r="B104" s="49">
        <v>0</v>
      </c>
    </row>
    <row r="105" spans="1:2">
      <c r="A105" s="49">
        <v>0</v>
      </c>
      <c r="B105" s="49">
        <v>0</v>
      </c>
    </row>
    <row r="106" spans="1:2">
      <c r="A106" s="49">
        <v>10.430300000000001</v>
      </c>
      <c r="B106" s="49">
        <v>10.430300000000001</v>
      </c>
    </row>
    <row r="107" spans="1:2">
      <c r="A107" s="49">
        <v>0</v>
      </c>
      <c r="B107" s="49">
        <v>0</v>
      </c>
    </row>
    <row r="108" spans="1:2">
      <c r="A108" s="49">
        <v>11.315200000000001</v>
      </c>
      <c r="B108" s="49">
        <v>11.315200000000001</v>
      </c>
    </row>
    <row r="109" spans="1:2">
      <c r="A109" s="49">
        <v>0</v>
      </c>
      <c r="B109" s="49">
        <v>0</v>
      </c>
    </row>
    <row r="110" spans="1:2">
      <c r="A110" s="49">
        <v>0</v>
      </c>
      <c r="B110" s="49">
        <v>0</v>
      </c>
    </row>
    <row r="111" spans="1:2">
      <c r="A111" s="49">
        <v>11.9252</v>
      </c>
      <c r="B111" s="49">
        <v>11.9252</v>
      </c>
    </row>
    <row r="112" spans="1:2">
      <c r="A112" s="49">
        <v>0</v>
      </c>
      <c r="B112" s="49">
        <v>0</v>
      </c>
    </row>
    <row r="113" spans="1:2">
      <c r="A113" s="49">
        <v>11.4922</v>
      </c>
      <c r="B113" s="49">
        <v>11.4922</v>
      </c>
    </row>
    <row r="114" spans="1:2">
      <c r="A114" s="49">
        <v>0</v>
      </c>
      <c r="B114" s="49">
        <v>0</v>
      </c>
    </row>
    <row r="115" spans="1:2">
      <c r="A115" s="49">
        <v>0</v>
      </c>
      <c r="B115" s="49">
        <v>0</v>
      </c>
    </row>
    <row r="116" spans="1:2">
      <c r="A116" s="49">
        <v>11.7698</v>
      </c>
      <c r="B116" s="49">
        <v>11.7698</v>
      </c>
    </row>
    <row r="117" spans="1:2">
      <c r="A117" s="49">
        <v>0</v>
      </c>
      <c r="B117" s="49">
        <v>0</v>
      </c>
    </row>
    <row r="118" spans="1:2">
      <c r="A118" s="49">
        <v>11.347099999999999</v>
      </c>
      <c r="B118" s="49">
        <v>11.347099999999999</v>
      </c>
    </row>
    <row r="119" spans="1:2">
      <c r="A119" s="49">
        <v>0</v>
      </c>
      <c r="B119" s="49">
        <v>0</v>
      </c>
    </row>
    <row r="120" spans="1:2">
      <c r="A120" s="49">
        <v>0</v>
      </c>
      <c r="B120" s="49">
        <v>0</v>
      </c>
    </row>
    <row r="121" spans="1:2">
      <c r="A121" s="49">
        <v>12.5891</v>
      </c>
      <c r="B121" s="49">
        <v>12.5891</v>
      </c>
    </row>
    <row r="122" spans="1:2">
      <c r="A122" s="49">
        <v>0</v>
      </c>
      <c r="B122" s="49">
        <v>0</v>
      </c>
    </row>
    <row r="123" spans="1:2">
      <c r="A123" s="49">
        <v>0</v>
      </c>
      <c r="B123" s="49">
        <v>0</v>
      </c>
    </row>
    <row r="124" spans="1:2">
      <c r="A124" s="49">
        <v>14.6111</v>
      </c>
      <c r="B124" s="49">
        <v>14.6111</v>
      </c>
    </row>
    <row r="125" spans="1:2">
      <c r="A125" s="49">
        <v>0</v>
      </c>
      <c r="B125" s="49">
        <v>0</v>
      </c>
    </row>
    <row r="126" spans="1:2">
      <c r="A126" s="49">
        <v>15.541700000000001</v>
      </c>
      <c r="B126" s="49">
        <v>15.541700000000001</v>
      </c>
    </row>
    <row r="127" spans="1:2">
      <c r="A127" s="49">
        <v>0</v>
      </c>
      <c r="B127" s="49">
        <v>0</v>
      </c>
    </row>
    <row r="128" spans="1:2">
      <c r="A128" s="49">
        <v>0</v>
      </c>
      <c r="B128" s="49">
        <v>0</v>
      </c>
    </row>
    <row r="129" spans="1:2">
      <c r="A129" s="49">
        <v>15.842000000000001</v>
      </c>
      <c r="B129" s="49">
        <v>15.842000000000001</v>
      </c>
    </row>
    <row r="130" spans="1:2">
      <c r="A130" s="49">
        <v>0</v>
      </c>
      <c r="B130" s="49">
        <v>0</v>
      </c>
    </row>
    <row r="131" spans="1:2">
      <c r="A131" s="49">
        <v>17.619700000000002</v>
      </c>
      <c r="B131" s="49">
        <v>17.619700000000002</v>
      </c>
    </row>
    <row r="132" spans="1:2">
      <c r="A132" s="49">
        <v>0</v>
      </c>
      <c r="B132" s="49">
        <v>0</v>
      </c>
    </row>
    <row r="133" spans="1:2">
      <c r="A133" s="49">
        <v>0</v>
      </c>
      <c r="B133" s="49">
        <v>0</v>
      </c>
    </row>
    <row r="134" spans="1:2">
      <c r="A134" s="49">
        <v>18.639299999999999</v>
      </c>
      <c r="B134" s="49">
        <v>18.639299999999999</v>
      </c>
    </row>
    <row r="135" spans="1:2">
      <c r="A135" s="49">
        <v>0</v>
      </c>
      <c r="B135" s="49">
        <v>0</v>
      </c>
    </row>
    <row r="136" spans="1:2">
      <c r="A136" s="49">
        <v>17.9894</v>
      </c>
      <c r="B136" s="49">
        <v>17.9894</v>
      </c>
    </row>
    <row r="137" spans="1:2">
      <c r="A137" s="49">
        <v>0</v>
      </c>
      <c r="B137" s="49">
        <v>0</v>
      </c>
    </row>
    <row r="138" spans="1:2">
      <c r="A138" s="49">
        <v>0</v>
      </c>
      <c r="B138" s="49">
        <v>0</v>
      </c>
    </row>
    <row r="139" spans="1:2">
      <c r="A139" s="49">
        <v>17.298100000000002</v>
      </c>
      <c r="B139" s="49">
        <v>17.298100000000002</v>
      </c>
    </row>
    <row r="140" spans="1:2">
      <c r="A140" s="49">
        <v>0</v>
      </c>
      <c r="B140" s="49">
        <v>0</v>
      </c>
    </row>
    <row r="141" spans="1:2">
      <c r="A141" s="49">
        <v>0</v>
      </c>
      <c r="B141" s="49">
        <v>0</v>
      </c>
    </row>
    <row r="142" spans="1:2">
      <c r="A142" s="49">
        <v>16.818899999999999</v>
      </c>
      <c r="B142" s="49">
        <v>16.818899999999999</v>
      </c>
    </row>
    <row r="143" spans="1:2">
      <c r="A143" s="49">
        <v>0</v>
      </c>
      <c r="B143" s="49">
        <v>0</v>
      </c>
    </row>
    <row r="144" spans="1:2">
      <c r="A144" s="49">
        <v>16.560199999999998</v>
      </c>
      <c r="B144" s="49">
        <v>16.560199999999998</v>
      </c>
    </row>
    <row r="145" spans="1:2">
      <c r="A145" s="49">
        <v>0</v>
      </c>
      <c r="B145" s="49">
        <v>0</v>
      </c>
    </row>
    <row r="146" spans="1:2">
      <c r="A146" s="49">
        <v>0</v>
      </c>
      <c r="B146" s="49">
        <v>0</v>
      </c>
    </row>
    <row r="147" spans="1:2">
      <c r="A147" s="49">
        <v>15.563800000000001</v>
      </c>
      <c r="B147" s="49">
        <v>15.563800000000001</v>
      </c>
    </row>
    <row r="148" spans="1:2">
      <c r="A148" s="49">
        <v>0</v>
      </c>
      <c r="B148" s="49">
        <v>0</v>
      </c>
    </row>
    <row r="149" spans="1:2">
      <c r="A149" s="49">
        <v>15.311299999999999</v>
      </c>
      <c r="B149" s="49">
        <v>15.311299999999999</v>
      </c>
    </row>
    <row r="150" spans="1:2">
      <c r="A150" s="49">
        <v>0</v>
      </c>
      <c r="B150" s="49">
        <v>0</v>
      </c>
    </row>
    <row r="151" spans="1:2">
      <c r="A151" s="49">
        <v>0</v>
      </c>
      <c r="B151" s="49">
        <v>0</v>
      </c>
    </row>
    <row r="152" spans="1:2">
      <c r="A152" s="49">
        <v>13.7536</v>
      </c>
      <c r="B152" s="49">
        <v>13.7536</v>
      </c>
    </row>
    <row r="153" spans="1:2">
      <c r="A153" s="49">
        <v>0</v>
      </c>
      <c r="B153" s="49">
        <v>0</v>
      </c>
    </row>
    <row r="154" spans="1:2">
      <c r="A154" s="49">
        <v>11.6816</v>
      </c>
      <c r="B154" s="49">
        <v>11.6816</v>
      </c>
    </row>
    <row r="155" spans="1:2">
      <c r="A155" s="49">
        <v>0</v>
      </c>
      <c r="B155" s="49">
        <v>0</v>
      </c>
    </row>
    <row r="156" spans="1:2">
      <c r="A156" s="49">
        <v>0</v>
      </c>
      <c r="B156" s="49">
        <v>0</v>
      </c>
    </row>
    <row r="157" spans="1:2">
      <c r="A157" s="49">
        <v>9.5729299999999995</v>
      </c>
      <c r="B157" s="49">
        <v>9.5729299999999995</v>
      </c>
    </row>
    <row r="158" spans="1:2">
      <c r="A158" s="49">
        <v>0</v>
      </c>
      <c r="B158" s="49">
        <v>0</v>
      </c>
    </row>
    <row r="159" spans="1:2">
      <c r="A159" s="49">
        <v>0</v>
      </c>
      <c r="B159" s="49">
        <v>0</v>
      </c>
    </row>
    <row r="160" spans="1:2">
      <c r="A160" s="49">
        <v>8.5768699999999995</v>
      </c>
      <c r="B160" s="49">
        <v>8.5768699999999995</v>
      </c>
    </row>
    <row r="161" spans="1:2">
      <c r="A161" s="49">
        <v>0</v>
      </c>
      <c r="B161" s="49">
        <v>0</v>
      </c>
    </row>
    <row r="162" spans="1:2">
      <c r="A162" s="49">
        <v>7.5207100000000002</v>
      </c>
      <c r="B162" s="49">
        <v>7.5207100000000002</v>
      </c>
    </row>
    <row r="163" spans="1:2">
      <c r="A163" s="49">
        <v>0</v>
      </c>
      <c r="B163" s="49">
        <v>0</v>
      </c>
    </row>
    <row r="164" spans="1:2">
      <c r="A164" s="49">
        <v>0</v>
      </c>
      <c r="B164" s="49">
        <v>0</v>
      </c>
    </row>
    <row r="165" spans="1:2">
      <c r="A165" s="49">
        <v>7.4504000000000001</v>
      </c>
      <c r="B165" s="49">
        <v>7.4504000000000001</v>
      </c>
    </row>
    <row r="166" spans="1:2">
      <c r="A166" s="49">
        <v>0</v>
      </c>
      <c r="B166" s="49">
        <v>0</v>
      </c>
    </row>
    <row r="167" spans="1:2">
      <c r="A167" s="49">
        <v>7.3261599999999998</v>
      </c>
      <c r="B167" s="49">
        <v>7.3261599999999998</v>
      </c>
    </row>
    <row r="168" spans="1:2">
      <c r="A168" s="49">
        <v>0</v>
      </c>
      <c r="B168" s="49">
        <v>0</v>
      </c>
    </row>
    <row r="169" spans="1:2">
      <c r="A169" s="49">
        <v>0</v>
      </c>
      <c r="B169" s="49">
        <v>0</v>
      </c>
    </row>
    <row r="170" spans="1:2">
      <c r="A170" s="49">
        <v>5.6352500000000001</v>
      </c>
      <c r="B170" s="49">
        <v>5.6352500000000001</v>
      </c>
    </row>
    <row r="171" spans="1:2">
      <c r="A171" s="49">
        <v>0</v>
      </c>
      <c r="B171" s="49">
        <v>0</v>
      </c>
    </row>
    <row r="172" spans="1:2">
      <c r="A172" s="49">
        <v>0</v>
      </c>
      <c r="B172" s="49">
        <v>0</v>
      </c>
    </row>
    <row r="173" spans="1:2">
      <c r="A173" s="49">
        <v>5.0653499999999996</v>
      </c>
      <c r="B173" s="49">
        <v>5.0653499999999996</v>
      </c>
    </row>
    <row r="174" spans="1:2">
      <c r="A174" s="49">
        <v>0</v>
      </c>
      <c r="B174" s="49">
        <v>0</v>
      </c>
    </row>
    <row r="175" spans="1:2">
      <c r="A175" s="49">
        <v>4.23576</v>
      </c>
      <c r="B175" s="49">
        <v>4.23576</v>
      </c>
    </row>
    <row r="176" spans="1:2">
      <c r="A176" s="49">
        <v>0</v>
      </c>
      <c r="B176" s="49">
        <v>0</v>
      </c>
    </row>
    <row r="177" spans="1:2">
      <c r="A177" s="49">
        <v>0</v>
      </c>
      <c r="B177" s="49">
        <v>0</v>
      </c>
    </row>
    <row r="178" spans="1:2">
      <c r="A178" s="49">
        <v>3.56596</v>
      </c>
      <c r="B178" s="49">
        <v>3.56596</v>
      </c>
    </row>
    <row r="179" spans="1:2">
      <c r="A179" s="49">
        <v>0</v>
      </c>
      <c r="B179" s="49">
        <v>0</v>
      </c>
    </row>
    <row r="180" spans="1:2">
      <c r="A180" s="49">
        <v>3.0452499999999998</v>
      </c>
      <c r="B180" s="49">
        <v>3.0452499999999998</v>
      </c>
    </row>
    <row r="181" spans="1:2">
      <c r="A181" s="49">
        <v>0</v>
      </c>
      <c r="B181" s="49">
        <v>0</v>
      </c>
    </row>
    <row r="182" spans="1:2">
      <c r="A182" s="49">
        <v>0</v>
      </c>
      <c r="B182" s="49">
        <v>0</v>
      </c>
    </row>
    <row r="183" spans="1:2">
      <c r="A183" s="49">
        <v>2.3521200000000002</v>
      </c>
      <c r="B183" s="49">
        <v>2.3521200000000002</v>
      </c>
    </row>
    <row r="184" spans="1:2">
      <c r="A184" s="49">
        <v>0</v>
      </c>
      <c r="B184" s="49">
        <v>0</v>
      </c>
    </row>
    <row r="185" spans="1:2">
      <c r="A185" s="49">
        <v>1.95909</v>
      </c>
      <c r="B185" s="49">
        <v>1.95909</v>
      </c>
    </row>
    <row r="186" spans="1:2">
      <c r="A186" s="49">
        <v>0</v>
      </c>
      <c r="B186" s="49">
        <v>0</v>
      </c>
    </row>
    <row r="187" spans="1:2">
      <c r="A187" s="49">
        <v>0</v>
      </c>
      <c r="B187" s="49">
        <v>0</v>
      </c>
    </row>
    <row r="188" spans="1:2">
      <c r="A188" s="49">
        <v>1.2689900000000001</v>
      </c>
      <c r="B188" s="49">
        <v>1.2689900000000001</v>
      </c>
    </row>
    <row r="189" spans="1:2">
      <c r="A189" s="49">
        <v>0</v>
      </c>
      <c r="B189" s="49">
        <v>0</v>
      </c>
    </row>
    <row r="190" spans="1:2">
      <c r="A190" s="49">
        <v>0</v>
      </c>
      <c r="B190" s="49">
        <v>0</v>
      </c>
    </row>
    <row r="191" spans="1:2">
      <c r="A191" s="49">
        <v>0.84434299999999995</v>
      </c>
      <c r="B191" s="49">
        <v>0.84434299999999995</v>
      </c>
    </row>
    <row r="192" spans="1:2">
      <c r="A192" s="49">
        <v>0</v>
      </c>
      <c r="B192" s="49">
        <v>0</v>
      </c>
    </row>
    <row r="193" spans="1:2">
      <c r="A193" s="49">
        <v>0.44636399999999998</v>
      </c>
      <c r="B193" s="49">
        <v>0.44636399999999998</v>
      </c>
    </row>
    <row r="194" spans="1:2">
      <c r="A194" s="49">
        <v>0</v>
      </c>
      <c r="B194" s="49">
        <v>0</v>
      </c>
    </row>
    <row r="195" spans="1:2">
      <c r="A195" s="49">
        <v>0</v>
      </c>
      <c r="B195" s="49">
        <v>0</v>
      </c>
    </row>
    <row r="196" spans="1:2">
      <c r="A196" s="49">
        <v>0.287879</v>
      </c>
      <c r="B196" s="49">
        <v>0.287879</v>
      </c>
    </row>
    <row r="197" spans="1:2">
      <c r="A197" s="49">
        <v>0</v>
      </c>
      <c r="B197" s="49">
        <v>0</v>
      </c>
    </row>
    <row r="198" spans="1:2">
      <c r="A198" s="49">
        <v>0.15060599999999999</v>
      </c>
      <c r="B198" s="49">
        <v>0.15060599999999999</v>
      </c>
    </row>
    <row r="199" spans="1:2">
      <c r="A199" s="49">
        <v>0</v>
      </c>
      <c r="B199" s="49">
        <v>0</v>
      </c>
    </row>
    <row r="200" spans="1:2">
      <c r="A200" s="49">
        <v>0</v>
      </c>
      <c r="B200" s="49">
        <v>0</v>
      </c>
    </row>
    <row r="201" spans="1:2">
      <c r="A201" s="49">
        <v>7.5454499999999994E-2</v>
      </c>
      <c r="B201" s="49">
        <v>7.5454499999999994E-2</v>
      </c>
    </row>
    <row r="202" spans="1:2">
      <c r="A202" s="49">
        <v>0</v>
      </c>
      <c r="B202" s="49">
        <v>0</v>
      </c>
    </row>
    <row r="203" spans="1:2">
      <c r="A203" s="49">
        <v>9.3737399999999999E-2</v>
      </c>
      <c r="B203" s="49">
        <v>9.3737399999999999E-2</v>
      </c>
    </row>
    <row r="204" spans="1:2">
      <c r="A204" s="49">
        <v>0</v>
      </c>
      <c r="B204" s="49">
        <v>0</v>
      </c>
    </row>
    <row r="205" spans="1:2">
      <c r="A205" s="49">
        <v>0</v>
      </c>
      <c r="B205" s="49">
        <v>0</v>
      </c>
    </row>
    <row r="206" spans="1:2">
      <c r="A206" s="49">
        <v>4.30303E-2</v>
      </c>
      <c r="B206" s="49">
        <v>4.30303E-2</v>
      </c>
    </row>
    <row r="207" spans="1:2">
      <c r="A207" s="49">
        <v>0</v>
      </c>
      <c r="B207" s="49">
        <v>0</v>
      </c>
    </row>
    <row r="208" spans="1:2">
      <c r="A208" s="49">
        <v>0</v>
      </c>
      <c r="B208" s="49">
        <v>0</v>
      </c>
    </row>
    <row r="209" spans="1:2">
      <c r="A209" s="49">
        <v>1.77778E-2</v>
      </c>
      <c r="B209" s="49">
        <v>1.77778E-2</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0.60867000000000004</v>
      </c>
      <c r="B2" s="49">
        <v>0.55603100000000005</v>
      </c>
      <c r="C2">
        <v>0</v>
      </c>
      <c r="D2">
        <v>0</v>
      </c>
      <c r="E2" t="s">
        <v>1161</v>
      </c>
      <c r="F2" s="49">
        <f>IF(A2&lt;&gt;"",1,"")</f>
        <v>1</v>
      </c>
      <c r="G2">
        <f>IF($H8&gt;0,LOOKUP(COUNT(A2:A1000)*$H8,F2:F1000,A2:A1000),LOOKUP(1,F2:F1000,A2:A1000))</f>
        <v>0.59287199999999995</v>
      </c>
      <c r="H2">
        <f>IF($H8&gt;0,LOOKUP(COUNT(B2:B1000)*$H8,F2:F1000,B2:B1000),LOOKUP(1,F2:F1000,B2:B1000))</f>
        <v>0.584341</v>
      </c>
      <c r="J2" s="49">
        <f>IF(A2&lt;&gt;"",A2*10,"")</f>
        <v>6.0867000000000004</v>
      </c>
      <c r="K2" s="49">
        <f>IF(B2&lt;&gt;"",B2*100,"")</f>
        <v>55.603100000000005</v>
      </c>
      <c r="L2" s="49">
        <f>IF(F2&lt;&gt;"",IF(K2&lt;&gt;0,K2/J2,0),"")</f>
        <v>9.1351799825849813</v>
      </c>
    </row>
    <row r="3" spans="1:12">
      <c r="A3" s="49">
        <v>0.60652300000000003</v>
      </c>
      <c r="B3" s="49">
        <v>0.55996599999999996</v>
      </c>
      <c r="C3">
        <v>0.34576400000000002</v>
      </c>
      <c r="D3">
        <v>0</v>
      </c>
      <c r="E3" t="s">
        <v>2560</v>
      </c>
      <c r="F3" s="49">
        <f>IF(A3&lt;&gt;"",F2+1,"")</f>
        <v>2</v>
      </c>
      <c r="G3">
        <f>IF($H9&gt;0,LOOKUP(COUNT(A2:A1000)*$H9,F2:F1000,A2:A1000),LOOKUP(1,F2:F1000,A2:A1000))</f>
        <v>0.47172999999999998</v>
      </c>
      <c r="H3">
        <f>IF($H9&gt;0,LOOKUP(COUNT(B2:B1000)*$H9,F2:F1000,B2:B1000),LOOKUP(1,F2:F1000,B2:B1000))</f>
        <v>0.54908000000000001</v>
      </c>
      <c r="J3" s="49">
        <f t="shared" ref="J3:J66" si="0">IF(A3&lt;&gt;"",A3*10,"")</f>
        <v>6.0652300000000006</v>
      </c>
      <c r="K3" s="49">
        <f t="shared" ref="K3:K66" si="1">IF(B3&lt;&gt;"",B3*100,"")</f>
        <v>55.996599999999994</v>
      </c>
      <c r="L3" s="49">
        <f t="shared" ref="L3:L66" si="2">IF(F3&lt;&gt;"",IF(K3&lt;&gt;0,K3/J3,0),"")</f>
        <v>9.2323951441247889</v>
      </c>
    </row>
    <row r="4" spans="1:12">
      <c r="A4" s="49">
        <v>0.60445000000000004</v>
      </c>
      <c r="B4" s="49">
        <v>0.564473</v>
      </c>
      <c r="C4">
        <v>0.75883900000000004</v>
      </c>
      <c r="D4">
        <v>0</v>
      </c>
      <c r="E4" t="s">
        <v>2561</v>
      </c>
      <c r="F4" s="49">
        <f t="shared" ref="F4:F67" si="3">IF(A4&lt;&gt;"",F3+1,"")</f>
        <v>3</v>
      </c>
      <c r="G4" s="71" t="s">
        <v>209</v>
      </c>
      <c r="H4" s="23">
        <f>IF(ISERROR(G3-G2)=FALSE,(G3-G2)*10,0)</f>
        <v>-1.2114199999999997</v>
      </c>
      <c r="J4" s="49">
        <f t="shared" si="0"/>
        <v>6.0445000000000002</v>
      </c>
      <c r="K4" s="49">
        <f t="shared" si="1"/>
        <v>56.447299999999998</v>
      </c>
      <c r="L4" s="49">
        <f t="shared" si="2"/>
        <v>9.3386218876664735</v>
      </c>
    </row>
    <row r="5" spans="1:12">
      <c r="A5" s="49">
        <v>0.60248400000000002</v>
      </c>
      <c r="B5" s="49">
        <v>0.56823400000000002</v>
      </c>
      <c r="C5">
        <v>1.1589700000000001</v>
      </c>
      <c r="D5">
        <v>0</v>
      </c>
      <c r="E5" t="s">
        <v>2562</v>
      </c>
      <c r="F5" s="49">
        <f t="shared" si="3"/>
        <v>4</v>
      </c>
      <c r="G5" s="71" t="s">
        <v>210</v>
      </c>
      <c r="H5" s="23">
        <f>IF(ISERROR(H3-H2)=FALSE,H3-H2,0)</f>
        <v>-3.5260999999999987E-2</v>
      </c>
      <c r="J5" s="49">
        <f t="shared" si="0"/>
        <v>6.0248400000000002</v>
      </c>
      <c r="K5" s="49">
        <f t="shared" si="1"/>
        <v>56.823399999999999</v>
      </c>
      <c r="L5" s="49">
        <f t="shared" si="2"/>
        <v>9.4315201731498259</v>
      </c>
    </row>
    <row r="6" spans="1:12">
      <c r="A6" s="49">
        <v>0.60044600000000004</v>
      </c>
      <c r="B6" s="49">
        <v>0.57204200000000005</v>
      </c>
      <c r="C6">
        <v>1.58382</v>
      </c>
      <c r="D6">
        <v>0</v>
      </c>
      <c r="E6" t="s">
        <v>2563</v>
      </c>
      <c r="F6" s="49">
        <f t="shared" si="3"/>
        <v>5</v>
      </c>
      <c r="G6" s="71" t="s">
        <v>211</v>
      </c>
      <c r="H6" s="23">
        <f>IF(H4&lt;&gt;0,H5/H4,0)</f>
        <v>2.9107163494081323E-2</v>
      </c>
      <c r="J6" s="49">
        <f t="shared" si="0"/>
        <v>6.0044599999999999</v>
      </c>
      <c r="K6" s="49">
        <f t="shared" si="1"/>
        <v>57.204200000000007</v>
      </c>
      <c r="L6" s="49">
        <f t="shared" si="2"/>
        <v>9.5269516326197543</v>
      </c>
    </row>
    <row r="7" spans="1:12">
      <c r="A7" s="49">
        <v>0.59843800000000003</v>
      </c>
      <c r="B7" s="49">
        <v>0.57494599999999996</v>
      </c>
      <c r="C7">
        <v>1.9840599999999999</v>
      </c>
      <c r="D7">
        <v>0</v>
      </c>
      <c r="E7" t="s">
        <v>2564</v>
      </c>
      <c r="F7" s="49">
        <f t="shared" si="3"/>
        <v>6</v>
      </c>
      <c r="G7" s="71" t="s">
        <v>212</v>
      </c>
      <c r="H7" s="23">
        <f>DEGREES(ATAN(H6))</f>
        <v>1.6672468826313878</v>
      </c>
      <c r="J7" s="49">
        <f t="shared" si="0"/>
        <v>5.9843799999999998</v>
      </c>
      <c r="K7" s="49">
        <f t="shared" si="1"/>
        <v>57.494599999999998</v>
      </c>
      <c r="L7" s="49">
        <f t="shared" si="2"/>
        <v>9.6074447144065047</v>
      </c>
    </row>
    <row r="8" spans="1:12">
      <c r="A8" s="49">
        <v>0.59645199999999998</v>
      </c>
      <c r="B8" s="49">
        <v>0.57841900000000002</v>
      </c>
      <c r="C8">
        <v>2.4165299999999998</v>
      </c>
      <c r="D8">
        <v>0</v>
      </c>
      <c r="E8" t="s">
        <v>2565</v>
      </c>
      <c r="F8" s="49">
        <f t="shared" si="3"/>
        <v>7</v>
      </c>
      <c r="G8" s="71" t="s">
        <v>213</v>
      </c>
      <c r="H8" s="72">
        <v>0.1</v>
      </c>
      <c r="J8" s="49">
        <f t="shared" si="0"/>
        <v>5.9645200000000003</v>
      </c>
      <c r="K8" s="49">
        <f t="shared" si="1"/>
        <v>57.841900000000003</v>
      </c>
      <c r="L8" s="49">
        <f t="shared" si="2"/>
        <v>9.6976621756654353</v>
      </c>
    </row>
    <row r="9" spans="1:12">
      <c r="A9" s="49">
        <v>0.59450800000000004</v>
      </c>
      <c r="B9" s="49">
        <v>0.58164000000000005</v>
      </c>
      <c r="C9">
        <v>2.7850600000000001</v>
      </c>
      <c r="D9">
        <v>0</v>
      </c>
      <c r="E9" t="s">
        <v>2566</v>
      </c>
      <c r="F9" s="49">
        <f t="shared" si="3"/>
        <v>8</v>
      </c>
      <c r="G9" s="71" t="s">
        <v>214</v>
      </c>
      <c r="H9" s="72">
        <v>0.9</v>
      </c>
      <c r="J9" s="49">
        <f t="shared" si="0"/>
        <v>5.9450800000000008</v>
      </c>
      <c r="K9" s="49">
        <f t="shared" si="1"/>
        <v>58.164000000000001</v>
      </c>
      <c r="L9" s="49">
        <f t="shared" si="2"/>
        <v>9.783552113680555</v>
      </c>
    </row>
    <row r="10" spans="1:12">
      <c r="A10" s="49">
        <v>0.59287199999999995</v>
      </c>
      <c r="B10" s="49">
        <v>0.584341</v>
      </c>
      <c r="C10">
        <v>3.2112400000000001</v>
      </c>
      <c r="D10">
        <v>0</v>
      </c>
      <c r="E10" t="s">
        <v>2567</v>
      </c>
      <c r="F10" s="49">
        <f t="shared" si="3"/>
        <v>9</v>
      </c>
      <c r="G10" t="s">
        <v>215</v>
      </c>
      <c r="J10" s="49">
        <f t="shared" si="0"/>
        <v>5.9287199999999993</v>
      </c>
      <c r="K10" s="49">
        <f t="shared" si="1"/>
        <v>58.434100000000001</v>
      </c>
      <c r="L10" s="49">
        <f t="shared" si="2"/>
        <v>9.856107220445562</v>
      </c>
    </row>
    <row r="11" spans="1:12">
      <c r="A11" s="49">
        <v>0.59115099999999998</v>
      </c>
      <c r="B11" s="49">
        <v>0.58743199999999995</v>
      </c>
      <c r="C11">
        <v>3.6028699999999998</v>
      </c>
      <c r="D11">
        <v>0</v>
      </c>
      <c r="E11" t="s">
        <v>2568</v>
      </c>
      <c r="F11" s="49">
        <f t="shared" si="3"/>
        <v>10</v>
      </c>
      <c r="G11" s="71" t="s">
        <v>216</v>
      </c>
      <c r="H11" s="73">
        <f>MIN(B2:B1000)</f>
        <v>0.48442400000000002</v>
      </c>
      <c r="J11" s="49">
        <f t="shared" si="0"/>
        <v>5.9115099999999998</v>
      </c>
      <c r="K11" s="49">
        <f t="shared" si="1"/>
        <v>58.743199999999995</v>
      </c>
      <c r="L11" s="49">
        <f t="shared" si="2"/>
        <v>9.937088831787479</v>
      </c>
    </row>
    <row r="12" spans="1:12">
      <c r="A12" s="49">
        <v>0.58963100000000002</v>
      </c>
      <c r="B12" s="49">
        <v>0.59050899999999995</v>
      </c>
      <c r="C12">
        <v>4.0286600000000004</v>
      </c>
      <c r="D12">
        <v>0</v>
      </c>
      <c r="E12" t="s">
        <v>2569</v>
      </c>
      <c r="F12" s="49">
        <f t="shared" si="3"/>
        <v>11</v>
      </c>
      <c r="G12" s="71" t="s">
        <v>218</v>
      </c>
      <c r="H12" s="73">
        <f>MAX(B2:B1000)</f>
        <v>0.59849799999999997</v>
      </c>
      <c r="J12" s="49">
        <f t="shared" si="0"/>
        <v>5.8963099999999997</v>
      </c>
      <c r="K12" s="49">
        <f t="shared" si="1"/>
        <v>59.050899999999999</v>
      </c>
      <c r="L12" s="49">
        <f t="shared" si="2"/>
        <v>10.014890668909878</v>
      </c>
    </row>
    <row r="13" spans="1:12">
      <c r="A13" s="49">
        <v>0.58809500000000003</v>
      </c>
      <c r="B13" s="49">
        <v>0.59344399999999997</v>
      </c>
      <c r="C13">
        <v>4.4253900000000002</v>
      </c>
      <c r="D13">
        <v>0</v>
      </c>
      <c r="E13" t="s">
        <v>2570</v>
      </c>
      <c r="F13" s="49">
        <f t="shared" si="3"/>
        <v>12</v>
      </c>
      <c r="G13" s="71" t="s">
        <v>220</v>
      </c>
      <c r="H13">
        <f>MATCH($H$11,B2:B1000,0)</f>
        <v>44</v>
      </c>
      <c r="J13" s="49">
        <f t="shared" si="0"/>
        <v>5.8809500000000003</v>
      </c>
      <c r="K13" s="49">
        <f t="shared" si="1"/>
        <v>59.3444</v>
      </c>
      <c r="L13" s="49">
        <f t="shared" si="2"/>
        <v>10.090954692694208</v>
      </c>
    </row>
    <row r="14" spans="1:12">
      <c r="A14" s="49">
        <v>0.58687500000000004</v>
      </c>
      <c r="B14" s="49">
        <v>0.59617299999999995</v>
      </c>
      <c r="C14">
        <v>4.8353999999999999</v>
      </c>
      <c r="D14">
        <v>0</v>
      </c>
      <c r="E14" t="s">
        <v>2571</v>
      </c>
      <c r="F14" s="49">
        <f t="shared" si="3"/>
        <v>13</v>
      </c>
      <c r="G14" s="71" t="s">
        <v>221</v>
      </c>
      <c r="H14">
        <f>MATCH($H$12,B2:B1000,0)</f>
        <v>15</v>
      </c>
      <c r="J14" s="49">
        <f t="shared" si="0"/>
        <v>5.8687500000000004</v>
      </c>
      <c r="K14" s="49">
        <f t="shared" si="1"/>
        <v>59.617299999999993</v>
      </c>
      <c r="L14" s="49">
        <f t="shared" si="2"/>
        <v>10.158432374866878</v>
      </c>
    </row>
    <row r="15" spans="1:12">
      <c r="A15" s="49">
        <v>0.58541900000000002</v>
      </c>
      <c r="B15" s="49">
        <v>0.59821500000000005</v>
      </c>
      <c r="C15">
        <v>5.2273300000000003</v>
      </c>
      <c r="D15">
        <v>0</v>
      </c>
      <c r="E15" t="s">
        <v>2572</v>
      </c>
      <c r="F15" s="49">
        <f t="shared" si="3"/>
        <v>14</v>
      </c>
      <c r="G15">
        <f>LOOKUP($H13,F2:F1000,A2:A1000)</f>
        <v>0.51619599999999999</v>
      </c>
      <c r="H15">
        <f>LOOKUP($H13,F2:F1000,B2:B1000)</f>
        <v>0.48442400000000002</v>
      </c>
      <c r="J15" s="49">
        <f t="shared" si="0"/>
        <v>5.85419</v>
      </c>
      <c r="K15" s="49">
        <f t="shared" si="1"/>
        <v>59.821500000000007</v>
      </c>
      <c r="L15" s="49">
        <f t="shared" si="2"/>
        <v>10.218578488228092</v>
      </c>
    </row>
    <row r="16" spans="1:12">
      <c r="A16" s="49">
        <v>0.58377999999999997</v>
      </c>
      <c r="B16" s="49">
        <v>0.59849799999999997</v>
      </c>
      <c r="C16">
        <v>5.6361699999999999</v>
      </c>
      <c r="D16">
        <v>0</v>
      </c>
      <c r="E16" t="s">
        <v>2573</v>
      </c>
      <c r="F16" s="49">
        <f t="shared" si="3"/>
        <v>15</v>
      </c>
      <c r="G16">
        <f>LOOKUP($H14,F2:F1000,A2:A1000)</f>
        <v>0.58377999999999997</v>
      </c>
      <c r="H16">
        <f>LOOKUP($H14,F2:F1000,B2:B1000)</f>
        <v>0.59849799999999997</v>
      </c>
      <c r="J16" s="49">
        <f t="shared" si="0"/>
        <v>5.8377999999999997</v>
      </c>
      <c r="K16" s="49">
        <f t="shared" si="1"/>
        <v>59.849799999999995</v>
      </c>
      <c r="L16" s="49">
        <f t="shared" si="2"/>
        <v>10.252115522970982</v>
      </c>
    </row>
    <row r="17" spans="1:12">
      <c r="A17" s="49">
        <v>0.58204199999999995</v>
      </c>
      <c r="B17" s="49">
        <v>0.59724100000000002</v>
      </c>
      <c r="C17">
        <v>6.04617</v>
      </c>
      <c r="D17">
        <v>0</v>
      </c>
      <c r="E17" t="s">
        <v>2574</v>
      </c>
      <c r="F17" s="49">
        <f t="shared" si="3"/>
        <v>16</v>
      </c>
      <c r="J17" s="49">
        <f t="shared" si="0"/>
        <v>5.8204199999999995</v>
      </c>
      <c r="K17" s="49">
        <f t="shared" si="1"/>
        <v>59.7241</v>
      </c>
      <c r="L17" s="49">
        <f t="shared" si="2"/>
        <v>10.261132358145977</v>
      </c>
    </row>
    <row r="18" spans="1:12">
      <c r="A18" s="49">
        <v>0.58036600000000005</v>
      </c>
      <c r="B18" s="49">
        <v>0.59608700000000003</v>
      </c>
      <c r="C18">
        <v>6.4478200000000001</v>
      </c>
      <c r="D18">
        <v>0</v>
      </c>
      <c r="E18" t="s">
        <v>2575</v>
      </c>
      <c r="F18" s="49">
        <f t="shared" si="3"/>
        <v>17</v>
      </c>
      <c r="J18" s="49">
        <f t="shared" si="0"/>
        <v>5.8036600000000007</v>
      </c>
      <c r="K18" s="49">
        <f t="shared" si="1"/>
        <v>59.608700000000006</v>
      </c>
      <c r="L18" s="49">
        <f t="shared" si="2"/>
        <v>10.270880789019342</v>
      </c>
    </row>
    <row r="19" spans="1:12">
      <c r="A19" s="49">
        <v>0.57886499999999996</v>
      </c>
      <c r="B19" s="49">
        <v>0.59552300000000002</v>
      </c>
      <c r="C19">
        <v>6.8586499999999999</v>
      </c>
      <c r="D19">
        <v>0</v>
      </c>
      <c r="E19" t="s">
        <v>2576</v>
      </c>
      <c r="F19" s="49">
        <f t="shared" si="3"/>
        <v>18</v>
      </c>
      <c r="J19" s="49">
        <f t="shared" si="0"/>
        <v>5.7886499999999996</v>
      </c>
      <c r="K19" s="49">
        <f t="shared" si="1"/>
        <v>59.552300000000002</v>
      </c>
      <c r="L19" s="49">
        <f t="shared" si="2"/>
        <v>10.287770032736477</v>
      </c>
    </row>
    <row r="20" spans="1:12">
      <c r="A20" s="49">
        <v>0.57772900000000005</v>
      </c>
      <c r="B20" s="49">
        <v>0.59601300000000001</v>
      </c>
      <c r="C20">
        <v>7.2613000000000003</v>
      </c>
      <c r="D20">
        <v>0</v>
      </c>
      <c r="E20" t="s">
        <v>2577</v>
      </c>
      <c r="F20" s="49">
        <f t="shared" si="3"/>
        <v>19</v>
      </c>
      <c r="J20" s="49">
        <f t="shared" si="0"/>
        <v>5.7772900000000007</v>
      </c>
      <c r="K20" s="49">
        <f t="shared" si="1"/>
        <v>59.601300000000002</v>
      </c>
      <c r="L20" s="49">
        <f t="shared" si="2"/>
        <v>10.31648056441688</v>
      </c>
    </row>
    <row r="21" spans="1:12">
      <c r="A21" s="49">
        <v>0.57671399999999995</v>
      </c>
      <c r="B21" s="49">
        <v>0.59546100000000002</v>
      </c>
      <c r="C21">
        <v>7.6951999999999998</v>
      </c>
      <c r="D21">
        <v>0</v>
      </c>
      <c r="E21" t="s">
        <v>2578</v>
      </c>
      <c r="F21" s="49">
        <f t="shared" si="3"/>
        <v>20</v>
      </c>
      <c r="J21" s="49">
        <f t="shared" si="0"/>
        <v>5.7671399999999995</v>
      </c>
      <c r="K21" s="49">
        <f t="shared" si="1"/>
        <v>59.546100000000003</v>
      </c>
      <c r="L21" s="49">
        <f t="shared" si="2"/>
        <v>10.325065803847316</v>
      </c>
    </row>
    <row r="22" spans="1:12">
      <c r="A22" s="49">
        <v>0.57568699999999995</v>
      </c>
      <c r="B22" s="49">
        <v>0.59086700000000003</v>
      </c>
      <c r="C22">
        <v>8.0772300000000001</v>
      </c>
      <c r="D22">
        <v>0</v>
      </c>
      <c r="E22" t="s">
        <v>2579</v>
      </c>
      <c r="F22" s="49">
        <f t="shared" si="3"/>
        <v>21</v>
      </c>
      <c r="J22" s="49">
        <f t="shared" si="0"/>
        <v>5.7568699999999993</v>
      </c>
      <c r="K22" s="49">
        <f t="shared" si="1"/>
        <v>59.0867</v>
      </c>
      <c r="L22" s="49">
        <f t="shared" si="2"/>
        <v>10.263684953803024</v>
      </c>
    </row>
    <row r="23" spans="1:12">
      <c r="A23" s="49">
        <v>0.57413000000000003</v>
      </c>
      <c r="B23" s="49">
        <v>0.58599999999999997</v>
      </c>
      <c r="C23">
        <v>8.4951000000000008</v>
      </c>
      <c r="D23">
        <v>0</v>
      </c>
      <c r="E23" t="s">
        <v>2580</v>
      </c>
      <c r="F23" s="49">
        <f t="shared" si="3"/>
        <v>22</v>
      </c>
      <c r="J23" s="49">
        <f t="shared" si="0"/>
        <v>5.7413000000000007</v>
      </c>
      <c r="K23" s="49">
        <f t="shared" si="1"/>
        <v>58.599999999999994</v>
      </c>
      <c r="L23" s="49">
        <f t="shared" si="2"/>
        <v>10.206747600717605</v>
      </c>
    </row>
    <row r="24" spans="1:12">
      <c r="A24" s="49">
        <v>0.57199599999999995</v>
      </c>
      <c r="B24" s="49">
        <v>0.58127600000000001</v>
      </c>
      <c r="C24">
        <v>8.8840699999999995</v>
      </c>
      <c r="D24">
        <v>0</v>
      </c>
      <c r="E24" t="s">
        <v>2581</v>
      </c>
      <c r="F24" s="49">
        <f t="shared" si="3"/>
        <v>23</v>
      </c>
      <c r="G24" t="s">
        <v>245</v>
      </c>
      <c r="H24">
        <f>COUNT(A2:A2000)</f>
        <v>99</v>
      </c>
      <c r="J24" s="49">
        <f t="shared" si="0"/>
        <v>5.7199599999999995</v>
      </c>
      <c r="K24" s="49">
        <f t="shared" si="1"/>
        <v>58.127600000000001</v>
      </c>
      <c r="L24" s="49">
        <f t="shared" si="2"/>
        <v>10.162238896775502</v>
      </c>
    </row>
    <row r="25" spans="1:12">
      <c r="A25" s="49">
        <v>0.56962800000000002</v>
      </c>
      <c r="B25" s="49">
        <v>0.57740400000000003</v>
      </c>
      <c r="C25">
        <v>9.3017500000000002</v>
      </c>
      <c r="D25">
        <v>0</v>
      </c>
      <c r="E25" t="s">
        <v>2582</v>
      </c>
      <c r="F25" s="49">
        <f t="shared" si="3"/>
        <v>24</v>
      </c>
      <c r="J25" s="49">
        <f t="shared" si="0"/>
        <v>5.6962799999999998</v>
      </c>
      <c r="K25" s="49">
        <f t="shared" si="1"/>
        <v>57.740400000000001</v>
      </c>
      <c r="L25" s="49">
        <f t="shared" si="2"/>
        <v>10.136510143462049</v>
      </c>
    </row>
    <row r="26" spans="1:12">
      <c r="A26" s="49">
        <v>0.566859</v>
      </c>
      <c r="B26" s="49">
        <v>0.57298400000000005</v>
      </c>
      <c r="C26">
        <v>9.7068200000000004</v>
      </c>
      <c r="D26">
        <v>0</v>
      </c>
      <c r="E26" t="s">
        <v>2583</v>
      </c>
      <c r="F26" s="49">
        <f t="shared" si="3"/>
        <v>25</v>
      </c>
      <c r="J26" s="49">
        <f t="shared" si="0"/>
        <v>5.66859</v>
      </c>
      <c r="K26" s="49">
        <f t="shared" si="1"/>
        <v>57.298400000000008</v>
      </c>
      <c r="L26" s="49">
        <f t="shared" si="2"/>
        <v>10.108051561323011</v>
      </c>
    </row>
    <row r="27" spans="1:12">
      <c r="A27" s="49">
        <v>0.56382299999999996</v>
      </c>
      <c r="B27" s="49">
        <v>0.56878899999999999</v>
      </c>
      <c r="C27">
        <v>10.1098</v>
      </c>
      <c r="D27">
        <v>0</v>
      </c>
      <c r="E27" t="s">
        <v>2584</v>
      </c>
      <c r="F27" s="49">
        <f t="shared" si="3"/>
        <v>26</v>
      </c>
      <c r="J27" s="49">
        <f t="shared" si="0"/>
        <v>5.6382300000000001</v>
      </c>
      <c r="K27" s="49">
        <f t="shared" si="1"/>
        <v>56.878900000000002</v>
      </c>
      <c r="L27" s="49">
        <f t="shared" si="2"/>
        <v>10.088077286666206</v>
      </c>
    </row>
    <row r="28" spans="1:12">
      <c r="A28" s="49">
        <v>0.56081199999999998</v>
      </c>
      <c r="B28" s="49">
        <v>0.56369999999999998</v>
      </c>
      <c r="C28">
        <v>10.525499999999999</v>
      </c>
      <c r="D28">
        <v>0</v>
      </c>
      <c r="E28" t="s">
        <v>2585</v>
      </c>
      <c r="F28" s="49">
        <f t="shared" si="3"/>
        <v>27</v>
      </c>
      <c r="J28" s="49">
        <f t="shared" si="0"/>
        <v>5.6081199999999995</v>
      </c>
      <c r="K28" s="49">
        <f t="shared" si="1"/>
        <v>56.37</v>
      </c>
      <c r="L28" s="49">
        <f t="shared" si="2"/>
        <v>10.051496758271934</v>
      </c>
    </row>
    <row r="29" spans="1:12">
      <c r="A29" s="49">
        <v>0.55776099999999995</v>
      </c>
      <c r="B29" s="49">
        <v>0.55877900000000003</v>
      </c>
      <c r="C29">
        <v>10.920999999999999</v>
      </c>
      <c r="D29">
        <v>0</v>
      </c>
      <c r="E29" t="s">
        <v>2586</v>
      </c>
      <c r="F29" s="49">
        <f t="shared" si="3"/>
        <v>28</v>
      </c>
      <c r="J29" s="49">
        <f t="shared" si="0"/>
        <v>5.57761</v>
      </c>
      <c r="K29" s="49">
        <f t="shared" si="1"/>
        <v>55.877900000000004</v>
      </c>
      <c r="L29" s="49">
        <f t="shared" si="2"/>
        <v>10.018251545016595</v>
      </c>
    </row>
    <row r="30" spans="1:12">
      <c r="A30" s="49">
        <v>0.55481899999999995</v>
      </c>
      <c r="B30" s="49">
        <v>0.554369</v>
      </c>
      <c r="C30">
        <v>11.3264</v>
      </c>
      <c r="D30">
        <v>0</v>
      </c>
      <c r="E30" t="s">
        <v>2587</v>
      </c>
      <c r="F30" s="49">
        <f t="shared" si="3"/>
        <v>29</v>
      </c>
      <c r="J30" s="49">
        <f t="shared" si="0"/>
        <v>5.54819</v>
      </c>
      <c r="K30" s="49">
        <f t="shared" si="1"/>
        <v>55.436900000000001</v>
      </c>
      <c r="L30" s="49">
        <f t="shared" si="2"/>
        <v>9.9918892467633587</v>
      </c>
    </row>
    <row r="31" spans="1:12">
      <c r="A31" s="49">
        <v>0.55177799999999999</v>
      </c>
      <c r="B31" s="49">
        <v>0.54999500000000001</v>
      </c>
      <c r="C31">
        <v>11.7332</v>
      </c>
      <c r="D31">
        <v>0</v>
      </c>
      <c r="E31" t="s">
        <v>2588</v>
      </c>
      <c r="F31" s="49">
        <f t="shared" si="3"/>
        <v>30</v>
      </c>
      <c r="J31" s="49">
        <f t="shared" si="0"/>
        <v>5.5177800000000001</v>
      </c>
      <c r="K31" s="49">
        <f t="shared" si="1"/>
        <v>54.999499999999998</v>
      </c>
      <c r="L31" s="49">
        <f t="shared" si="2"/>
        <v>9.9676862796269514</v>
      </c>
    </row>
    <row r="32" spans="1:12">
      <c r="A32" s="49">
        <v>0.54959199999999997</v>
      </c>
      <c r="B32" s="49">
        <v>0.54666099999999995</v>
      </c>
      <c r="C32">
        <v>12.1305</v>
      </c>
      <c r="D32">
        <v>0</v>
      </c>
      <c r="E32" t="s">
        <v>2589</v>
      </c>
      <c r="F32" s="49">
        <f t="shared" si="3"/>
        <v>31</v>
      </c>
      <c r="J32" s="49">
        <f t="shared" si="0"/>
        <v>5.4959199999999999</v>
      </c>
      <c r="K32" s="49">
        <f t="shared" si="1"/>
        <v>54.666099999999993</v>
      </c>
      <c r="L32" s="49">
        <f t="shared" si="2"/>
        <v>9.9466695293963507</v>
      </c>
    </row>
    <row r="33" spans="1:12">
      <c r="A33" s="49">
        <v>0.54634199999999999</v>
      </c>
      <c r="B33" s="49">
        <v>0.53915000000000002</v>
      </c>
      <c r="C33">
        <v>12.544499999999999</v>
      </c>
      <c r="D33">
        <v>0</v>
      </c>
      <c r="E33" t="s">
        <v>2590</v>
      </c>
      <c r="F33" s="49">
        <f t="shared" si="3"/>
        <v>32</v>
      </c>
      <c r="J33" s="49">
        <f t="shared" si="0"/>
        <v>5.4634200000000002</v>
      </c>
      <c r="K33" s="49">
        <f t="shared" si="1"/>
        <v>53.914999999999999</v>
      </c>
      <c r="L33" s="49">
        <f t="shared" si="2"/>
        <v>9.8683608435741714</v>
      </c>
    </row>
    <row r="34" spans="1:12">
      <c r="A34" s="49">
        <v>0.54414499999999999</v>
      </c>
      <c r="B34" s="49">
        <v>0.53284299999999996</v>
      </c>
      <c r="C34">
        <v>12.948</v>
      </c>
      <c r="D34">
        <v>0</v>
      </c>
      <c r="E34" t="s">
        <v>2591</v>
      </c>
      <c r="F34" s="49">
        <f t="shared" si="3"/>
        <v>33</v>
      </c>
      <c r="J34" s="49">
        <f t="shared" si="0"/>
        <v>5.4414499999999997</v>
      </c>
      <c r="K34" s="49">
        <f t="shared" si="1"/>
        <v>53.284299999999995</v>
      </c>
      <c r="L34" s="49">
        <f t="shared" si="2"/>
        <v>9.7922980088028009</v>
      </c>
    </row>
    <row r="35" spans="1:12">
      <c r="A35" s="49">
        <v>0.54166899999999996</v>
      </c>
      <c r="B35" s="49">
        <v>0.52676199999999995</v>
      </c>
      <c r="C35">
        <v>13.3672</v>
      </c>
      <c r="D35">
        <v>0</v>
      </c>
      <c r="E35" t="s">
        <v>2592</v>
      </c>
      <c r="F35" s="49">
        <f t="shared" si="3"/>
        <v>34</v>
      </c>
      <c r="J35" s="49">
        <f t="shared" si="0"/>
        <v>5.4166899999999991</v>
      </c>
      <c r="K35" s="49">
        <f t="shared" si="1"/>
        <v>52.676199999999994</v>
      </c>
      <c r="L35" s="49">
        <f t="shared" si="2"/>
        <v>9.7247950316521727</v>
      </c>
    </row>
    <row r="36" spans="1:12">
      <c r="A36" s="49">
        <v>0.53927700000000001</v>
      </c>
      <c r="B36" s="49">
        <v>0.52049400000000001</v>
      </c>
      <c r="C36">
        <v>13.7491</v>
      </c>
      <c r="D36">
        <v>0</v>
      </c>
      <c r="E36" t="s">
        <v>2593</v>
      </c>
      <c r="F36" s="49">
        <f t="shared" si="3"/>
        <v>35</v>
      </c>
      <c r="J36" s="49">
        <f t="shared" si="0"/>
        <v>5.3927700000000005</v>
      </c>
      <c r="K36" s="49">
        <f t="shared" si="1"/>
        <v>52.049399999999999</v>
      </c>
      <c r="L36" s="49">
        <f t="shared" si="2"/>
        <v>9.6517003321113251</v>
      </c>
    </row>
    <row r="37" spans="1:12">
      <c r="A37" s="49">
        <v>0.53702799999999995</v>
      </c>
      <c r="B37" s="49">
        <v>0.51487400000000005</v>
      </c>
      <c r="C37">
        <v>14.169600000000001</v>
      </c>
      <c r="D37">
        <v>0</v>
      </c>
      <c r="E37" t="s">
        <v>2594</v>
      </c>
      <c r="F37" s="49">
        <f t="shared" si="3"/>
        <v>36</v>
      </c>
      <c r="J37" s="49">
        <f t="shared" si="0"/>
        <v>5.3702799999999993</v>
      </c>
      <c r="K37" s="49">
        <f t="shared" si="1"/>
        <v>51.487400000000008</v>
      </c>
      <c r="L37" s="49">
        <f t="shared" si="2"/>
        <v>9.5874702995002146</v>
      </c>
    </row>
    <row r="38" spans="1:12">
      <c r="A38" s="49">
        <v>0.53489699999999996</v>
      </c>
      <c r="B38" s="49">
        <v>0.50937600000000005</v>
      </c>
      <c r="C38">
        <v>14.571999999999999</v>
      </c>
      <c r="D38">
        <v>0</v>
      </c>
      <c r="E38" t="s">
        <v>2595</v>
      </c>
      <c r="F38" s="49">
        <f t="shared" si="3"/>
        <v>37</v>
      </c>
      <c r="J38" s="49">
        <f t="shared" si="0"/>
        <v>5.3489699999999996</v>
      </c>
      <c r="K38" s="49">
        <f t="shared" si="1"/>
        <v>50.937600000000003</v>
      </c>
      <c r="L38" s="49">
        <f t="shared" si="2"/>
        <v>9.5228801058895467</v>
      </c>
    </row>
    <row r="39" spans="1:12">
      <c r="A39" s="49">
        <v>0.53255699999999995</v>
      </c>
      <c r="B39" s="49">
        <v>0.50404800000000005</v>
      </c>
      <c r="C39">
        <v>14.9762</v>
      </c>
      <c r="D39">
        <v>0</v>
      </c>
      <c r="E39" t="s">
        <v>2596</v>
      </c>
      <c r="F39" s="49">
        <f t="shared" si="3"/>
        <v>38</v>
      </c>
      <c r="J39" s="49">
        <f t="shared" si="0"/>
        <v>5.325569999999999</v>
      </c>
      <c r="K39" s="49">
        <f t="shared" si="1"/>
        <v>50.404800000000009</v>
      </c>
      <c r="L39" s="49">
        <f t="shared" si="2"/>
        <v>9.4646770204879509</v>
      </c>
    </row>
    <row r="40" spans="1:12">
      <c r="A40" s="49">
        <v>0.53020999999999996</v>
      </c>
      <c r="B40" s="49">
        <v>0.49893100000000001</v>
      </c>
      <c r="C40">
        <v>15.386100000000001</v>
      </c>
      <c r="D40">
        <v>0</v>
      </c>
      <c r="E40" t="s">
        <v>2597</v>
      </c>
      <c r="F40" s="49">
        <f t="shared" si="3"/>
        <v>39</v>
      </c>
      <c r="J40" s="49">
        <f t="shared" si="0"/>
        <v>5.3020999999999994</v>
      </c>
      <c r="K40" s="49">
        <f t="shared" si="1"/>
        <v>49.893100000000004</v>
      </c>
      <c r="L40" s="49">
        <f t="shared" si="2"/>
        <v>9.4100639369306514</v>
      </c>
    </row>
    <row r="41" spans="1:12">
      <c r="A41" s="49">
        <v>0.52759999999999996</v>
      </c>
      <c r="B41" s="49">
        <v>0.49424600000000002</v>
      </c>
      <c r="C41">
        <v>15.794600000000001</v>
      </c>
      <c r="D41">
        <v>0</v>
      </c>
      <c r="E41" t="s">
        <v>2598</v>
      </c>
      <c r="F41" s="49">
        <f t="shared" si="3"/>
        <v>40</v>
      </c>
      <c r="J41" s="49">
        <f t="shared" si="0"/>
        <v>5.2759999999999998</v>
      </c>
      <c r="K41" s="49">
        <f t="shared" si="1"/>
        <v>49.424600000000005</v>
      </c>
      <c r="L41" s="49">
        <f t="shared" si="2"/>
        <v>9.3678165276724812</v>
      </c>
    </row>
    <row r="42" spans="1:12">
      <c r="A42" s="49">
        <v>0.524621</v>
      </c>
      <c r="B42" s="49">
        <v>0.49039100000000002</v>
      </c>
      <c r="C42">
        <v>16.2209</v>
      </c>
      <c r="D42">
        <v>0</v>
      </c>
      <c r="E42" t="s">
        <v>2599</v>
      </c>
      <c r="F42" s="49">
        <f t="shared" si="3"/>
        <v>41</v>
      </c>
      <c r="J42" s="49">
        <f t="shared" si="0"/>
        <v>5.2462099999999996</v>
      </c>
      <c r="K42" s="49">
        <f t="shared" si="1"/>
        <v>49.039100000000005</v>
      </c>
      <c r="L42" s="49">
        <f t="shared" si="2"/>
        <v>9.3475289780622592</v>
      </c>
    </row>
    <row r="43" spans="1:12">
      <c r="A43" s="49">
        <v>0.52169600000000005</v>
      </c>
      <c r="B43" s="49">
        <v>0.48721100000000001</v>
      </c>
      <c r="C43">
        <v>16.604900000000001</v>
      </c>
      <c r="D43">
        <v>0</v>
      </c>
      <c r="E43" t="s">
        <v>2600</v>
      </c>
      <c r="F43" s="49">
        <f t="shared" si="3"/>
        <v>42</v>
      </c>
      <c r="J43" s="49">
        <f t="shared" si="0"/>
        <v>5.2169600000000003</v>
      </c>
      <c r="K43" s="49">
        <f t="shared" si="1"/>
        <v>48.7211</v>
      </c>
      <c r="L43" s="49">
        <f t="shared" si="2"/>
        <v>9.3389828559160879</v>
      </c>
    </row>
    <row r="44" spans="1:12">
      <c r="A44" s="49">
        <v>0.51898699999999998</v>
      </c>
      <c r="B44" s="49">
        <v>0.48525699999999999</v>
      </c>
      <c r="C44">
        <v>17.0365</v>
      </c>
      <c r="D44">
        <v>0</v>
      </c>
      <c r="E44" t="s">
        <v>2601</v>
      </c>
      <c r="F44" s="49">
        <f t="shared" si="3"/>
        <v>43</v>
      </c>
      <c r="J44" s="49">
        <f t="shared" si="0"/>
        <v>5.18987</v>
      </c>
      <c r="K44" s="49">
        <f t="shared" si="1"/>
        <v>48.525700000000001</v>
      </c>
      <c r="L44" s="49">
        <f t="shared" si="2"/>
        <v>9.3500800598088194</v>
      </c>
    </row>
    <row r="45" spans="1:12">
      <c r="A45" s="49">
        <v>0.51619599999999999</v>
      </c>
      <c r="B45" s="49">
        <v>0.48442400000000002</v>
      </c>
      <c r="C45">
        <v>17.417999999999999</v>
      </c>
      <c r="D45">
        <v>0</v>
      </c>
      <c r="E45" t="s">
        <v>2602</v>
      </c>
      <c r="F45" s="49">
        <f t="shared" si="3"/>
        <v>44</v>
      </c>
      <c r="J45" s="49">
        <f t="shared" si="0"/>
        <v>5.1619599999999997</v>
      </c>
      <c r="K45" s="49">
        <f t="shared" si="1"/>
        <v>48.442399999999999</v>
      </c>
      <c r="L45" s="49">
        <f t="shared" si="2"/>
        <v>9.3844973614673499</v>
      </c>
    </row>
    <row r="46" spans="1:12">
      <c r="A46" s="49">
        <v>0.51349599999999995</v>
      </c>
      <c r="B46" s="49">
        <v>0.48503200000000002</v>
      </c>
      <c r="C46">
        <v>17.8507</v>
      </c>
      <c r="D46">
        <v>0</v>
      </c>
      <c r="E46" t="s">
        <v>2603</v>
      </c>
      <c r="F46" s="49">
        <f t="shared" si="3"/>
        <v>45</v>
      </c>
      <c r="J46" s="49">
        <f t="shared" si="0"/>
        <v>5.1349599999999995</v>
      </c>
      <c r="K46" s="49">
        <f t="shared" si="1"/>
        <v>48.5032</v>
      </c>
      <c r="L46" s="49">
        <f t="shared" si="2"/>
        <v>9.4456821474753454</v>
      </c>
    </row>
    <row r="47" spans="1:12">
      <c r="A47" s="49">
        <v>0.51076500000000002</v>
      </c>
      <c r="B47" s="49">
        <v>0.48735099999999998</v>
      </c>
      <c r="C47">
        <v>18.2256</v>
      </c>
      <c r="D47">
        <v>0</v>
      </c>
      <c r="E47" t="s">
        <v>2604</v>
      </c>
      <c r="F47" s="49">
        <f t="shared" si="3"/>
        <v>46</v>
      </c>
      <c r="J47" s="49">
        <f t="shared" si="0"/>
        <v>5.1076500000000005</v>
      </c>
      <c r="K47" s="49">
        <f t="shared" si="1"/>
        <v>48.735099999999996</v>
      </c>
      <c r="L47" s="49">
        <f t="shared" si="2"/>
        <v>9.5415895764196819</v>
      </c>
    </row>
    <row r="48" spans="1:12">
      <c r="A48" s="49">
        <v>0.50849</v>
      </c>
      <c r="B48" s="49">
        <v>0.48945300000000003</v>
      </c>
      <c r="C48">
        <v>18.641500000000001</v>
      </c>
      <c r="D48">
        <v>0</v>
      </c>
      <c r="E48" t="s">
        <v>2605</v>
      </c>
      <c r="F48" s="49">
        <f t="shared" si="3"/>
        <v>47</v>
      </c>
      <c r="J48" s="49">
        <f t="shared" si="0"/>
        <v>5.0849000000000002</v>
      </c>
      <c r="K48" s="49">
        <f t="shared" si="1"/>
        <v>48.945300000000003</v>
      </c>
      <c r="L48" s="49">
        <f t="shared" si="2"/>
        <v>9.6256170229503049</v>
      </c>
    </row>
    <row r="49" spans="1:12">
      <c r="A49" s="49">
        <v>0.50645600000000002</v>
      </c>
      <c r="B49" s="49">
        <v>0.491593</v>
      </c>
      <c r="C49">
        <v>19.031700000000001</v>
      </c>
      <c r="D49">
        <v>0</v>
      </c>
      <c r="E49" t="s">
        <v>2606</v>
      </c>
      <c r="F49" s="49">
        <f t="shared" si="3"/>
        <v>48</v>
      </c>
      <c r="J49" s="49">
        <f t="shared" si="0"/>
        <v>5.0645600000000002</v>
      </c>
      <c r="K49" s="49">
        <f t="shared" si="1"/>
        <v>49.159300000000002</v>
      </c>
      <c r="L49" s="49">
        <f t="shared" si="2"/>
        <v>9.7065292937589849</v>
      </c>
    </row>
    <row r="50" spans="1:12">
      <c r="A50" s="49">
        <v>0.50452699999999995</v>
      </c>
      <c r="B50" s="49">
        <v>0.49427500000000002</v>
      </c>
      <c r="C50">
        <v>19.444700000000001</v>
      </c>
      <c r="D50">
        <v>0</v>
      </c>
      <c r="E50" t="s">
        <v>2607</v>
      </c>
      <c r="F50" s="49">
        <f t="shared" si="3"/>
        <v>49</v>
      </c>
      <c r="J50" s="49">
        <f t="shared" si="0"/>
        <v>5.0452699999999995</v>
      </c>
      <c r="K50" s="49">
        <f t="shared" si="1"/>
        <v>49.427500000000002</v>
      </c>
      <c r="L50" s="49">
        <f t="shared" si="2"/>
        <v>9.7967997748386129</v>
      </c>
    </row>
    <row r="51" spans="1:12">
      <c r="A51" s="49">
        <v>0.50293299999999996</v>
      </c>
      <c r="B51" s="49">
        <v>0.49652299999999999</v>
      </c>
      <c r="C51">
        <v>19.906199999999998</v>
      </c>
      <c r="D51">
        <v>0</v>
      </c>
      <c r="E51" t="s">
        <v>2608</v>
      </c>
      <c r="F51" s="49">
        <f t="shared" si="3"/>
        <v>50</v>
      </c>
      <c r="J51" s="49">
        <f t="shared" si="0"/>
        <v>5.0293299999999999</v>
      </c>
      <c r="K51" s="49">
        <f t="shared" si="1"/>
        <v>49.652299999999997</v>
      </c>
      <c r="L51" s="49">
        <f t="shared" si="2"/>
        <v>9.872547635569747</v>
      </c>
    </row>
    <row r="52" spans="1:12">
      <c r="A52" s="49">
        <v>0.50154299999999996</v>
      </c>
      <c r="B52" s="49">
        <v>0.49840600000000002</v>
      </c>
      <c r="C52">
        <v>20.2622</v>
      </c>
      <c r="D52">
        <v>0</v>
      </c>
      <c r="E52" t="s">
        <v>2609</v>
      </c>
      <c r="F52" s="49">
        <f t="shared" si="3"/>
        <v>51</v>
      </c>
      <c r="J52" s="49">
        <f t="shared" si="0"/>
        <v>5.0154299999999994</v>
      </c>
      <c r="K52" s="49">
        <f t="shared" si="1"/>
        <v>49.840600000000002</v>
      </c>
      <c r="L52" s="49">
        <f t="shared" si="2"/>
        <v>9.9374530199803424</v>
      </c>
    </row>
    <row r="53" spans="1:12">
      <c r="A53" s="49">
        <v>0.50007900000000005</v>
      </c>
      <c r="B53" s="49">
        <v>0.50016400000000005</v>
      </c>
      <c r="C53">
        <v>20.6769</v>
      </c>
      <c r="D53">
        <v>0</v>
      </c>
      <c r="E53" t="s">
        <v>2610</v>
      </c>
      <c r="F53" s="49">
        <f t="shared" si="3"/>
        <v>52</v>
      </c>
      <c r="J53" s="49">
        <f t="shared" si="0"/>
        <v>5.0007900000000003</v>
      </c>
      <c r="K53" s="49">
        <f t="shared" si="1"/>
        <v>50.016400000000004</v>
      </c>
      <c r="L53" s="49">
        <f t="shared" si="2"/>
        <v>10.001699731442432</v>
      </c>
    </row>
    <row r="54" spans="1:12">
      <c r="A54" s="49">
        <v>0.49850100000000003</v>
      </c>
      <c r="B54" s="49">
        <v>0.50164900000000001</v>
      </c>
      <c r="C54">
        <v>21.0748</v>
      </c>
      <c r="D54">
        <v>0</v>
      </c>
      <c r="E54" t="s">
        <v>2611</v>
      </c>
      <c r="F54" s="49">
        <f t="shared" si="3"/>
        <v>53</v>
      </c>
      <c r="J54" s="49">
        <f t="shared" si="0"/>
        <v>4.9850099999999999</v>
      </c>
      <c r="K54" s="49">
        <f t="shared" si="1"/>
        <v>50.164900000000003</v>
      </c>
      <c r="L54" s="49">
        <f t="shared" si="2"/>
        <v>10.063149321666357</v>
      </c>
    </row>
    <row r="55" spans="1:12">
      <c r="A55" s="49">
        <v>0.49690099999999998</v>
      </c>
      <c r="B55" s="49">
        <v>0.50266599999999995</v>
      </c>
      <c r="C55">
        <v>21.4878</v>
      </c>
      <c r="D55">
        <v>0</v>
      </c>
      <c r="E55" t="s">
        <v>2612</v>
      </c>
      <c r="F55" s="49">
        <f t="shared" si="3"/>
        <v>54</v>
      </c>
      <c r="J55" s="49">
        <f t="shared" si="0"/>
        <v>4.9690099999999999</v>
      </c>
      <c r="K55" s="49">
        <f t="shared" si="1"/>
        <v>50.266599999999997</v>
      </c>
      <c r="L55" s="49">
        <f t="shared" si="2"/>
        <v>10.116019086296868</v>
      </c>
    </row>
    <row r="56" spans="1:12">
      <c r="A56" s="49">
        <v>0.49557600000000002</v>
      </c>
      <c r="B56" s="49">
        <v>0.50355799999999995</v>
      </c>
      <c r="C56">
        <v>21.8903</v>
      </c>
      <c r="D56">
        <v>0</v>
      </c>
      <c r="E56" t="s">
        <v>2613</v>
      </c>
      <c r="F56" s="49">
        <f t="shared" si="3"/>
        <v>55</v>
      </c>
      <c r="J56" s="49">
        <f t="shared" si="0"/>
        <v>4.9557599999999997</v>
      </c>
      <c r="K56" s="49">
        <f t="shared" si="1"/>
        <v>50.355799999999995</v>
      </c>
      <c r="L56" s="49">
        <f t="shared" si="2"/>
        <v>10.161065104040551</v>
      </c>
    </row>
    <row r="57" spans="1:12">
      <c r="A57" s="49">
        <v>0.494421</v>
      </c>
      <c r="B57" s="49">
        <v>0.50473000000000001</v>
      </c>
      <c r="C57">
        <v>22.334499999999998</v>
      </c>
      <c r="D57">
        <v>0</v>
      </c>
      <c r="E57" t="s">
        <v>2614</v>
      </c>
      <c r="F57" s="49">
        <f t="shared" si="3"/>
        <v>56</v>
      </c>
      <c r="J57" s="49">
        <f t="shared" si="0"/>
        <v>4.94421</v>
      </c>
      <c r="K57" s="49">
        <f t="shared" si="1"/>
        <v>50.472999999999999</v>
      </c>
      <c r="L57" s="49">
        <f t="shared" si="2"/>
        <v>10.208506515702204</v>
      </c>
    </row>
    <row r="58" spans="1:12">
      <c r="A58" s="49">
        <v>0.49343599999999999</v>
      </c>
      <c r="B58" s="49">
        <v>0.50580899999999995</v>
      </c>
      <c r="C58">
        <v>22.695</v>
      </c>
      <c r="D58">
        <v>0</v>
      </c>
      <c r="E58" t="s">
        <v>2615</v>
      </c>
      <c r="F58" s="49">
        <f t="shared" si="3"/>
        <v>57</v>
      </c>
      <c r="J58" s="49">
        <f t="shared" si="0"/>
        <v>4.9343599999999999</v>
      </c>
      <c r="K58" s="49">
        <f t="shared" si="1"/>
        <v>50.580899999999993</v>
      </c>
      <c r="L58" s="49">
        <f t="shared" si="2"/>
        <v>10.250751870556666</v>
      </c>
    </row>
    <row r="59" spans="1:12">
      <c r="A59" s="49">
        <v>0.49227799999999999</v>
      </c>
      <c r="B59" s="49">
        <v>0.50725799999999999</v>
      </c>
      <c r="C59">
        <v>23.102</v>
      </c>
      <c r="D59">
        <v>0</v>
      </c>
      <c r="E59" t="s">
        <v>2616</v>
      </c>
      <c r="F59" s="49">
        <f t="shared" si="3"/>
        <v>58</v>
      </c>
      <c r="J59" s="49">
        <f t="shared" si="0"/>
        <v>4.9227799999999995</v>
      </c>
      <c r="K59" s="49">
        <f t="shared" si="1"/>
        <v>50.7258</v>
      </c>
      <c r="L59" s="49">
        <f t="shared" si="2"/>
        <v>10.304299603069811</v>
      </c>
    </row>
    <row r="60" spans="1:12">
      <c r="A60" s="49">
        <v>0.490981</v>
      </c>
      <c r="B60" s="49">
        <v>0.50870400000000005</v>
      </c>
      <c r="C60">
        <v>23.520099999999999</v>
      </c>
      <c r="D60">
        <v>0</v>
      </c>
      <c r="E60" t="s">
        <v>2617</v>
      </c>
      <c r="F60" s="49">
        <f t="shared" si="3"/>
        <v>59</v>
      </c>
      <c r="J60" s="49">
        <f t="shared" si="0"/>
        <v>4.9098100000000002</v>
      </c>
      <c r="K60" s="49">
        <f t="shared" si="1"/>
        <v>50.870400000000004</v>
      </c>
      <c r="L60" s="49">
        <f t="shared" si="2"/>
        <v>10.360971198478149</v>
      </c>
    </row>
    <row r="61" spans="1:12">
      <c r="A61" s="49">
        <v>0.48985899999999999</v>
      </c>
      <c r="B61" s="49">
        <v>0.51072200000000001</v>
      </c>
      <c r="C61">
        <v>23.9176</v>
      </c>
      <c r="D61">
        <v>0</v>
      </c>
      <c r="E61" t="s">
        <v>2618</v>
      </c>
      <c r="F61" s="49">
        <f t="shared" si="3"/>
        <v>60</v>
      </c>
      <c r="J61" s="49">
        <f t="shared" si="0"/>
        <v>4.8985899999999996</v>
      </c>
      <c r="K61" s="49">
        <f t="shared" si="1"/>
        <v>51.072200000000002</v>
      </c>
      <c r="L61" s="49">
        <f t="shared" si="2"/>
        <v>10.425898064545105</v>
      </c>
    </row>
    <row r="62" spans="1:12">
      <c r="A62" s="49">
        <v>0.48887599999999998</v>
      </c>
      <c r="B62" s="49">
        <v>0.51283800000000002</v>
      </c>
      <c r="C62">
        <v>24.341200000000001</v>
      </c>
      <c r="D62">
        <v>0</v>
      </c>
      <c r="E62" t="s">
        <v>2619</v>
      </c>
      <c r="F62" s="49">
        <f t="shared" si="3"/>
        <v>61</v>
      </c>
      <c r="J62" s="49">
        <f t="shared" si="0"/>
        <v>4.8887599999999996</v>
      </c>
      <c r="K62" s="49">
        <f t="shared" si="1"/>
        <v>51.283799999999999</v>
      </c>
      <c r="L62" s="49">
        <f t="shared" si="2"/>
        <v>10.490144740179515</v>
      </c>
    </row>
    <row r="63" spans="1:12">
      <c r="A63" s="49">
        <v>0.48788300000000001</v>
      </c>
      <c r="B63" s="49">
        <v>0.51557500000000001</v>
      </c>
      <c r="C63">
        <v>24.744199999999999</v>
      </c>
      <c r="D63">
        <v>0</v>
      </c>
      <c r="E63" t="s">
        <v>2620</v>
      </c>
      <c r="F63" s="49">
        <f t="shared" si="3"/>
        <v>62</v>
      </c>
      <c r="J63" s="49">
        <f t="shared" si="0"/>
        <v>4.8788299999999998</v>
      </c>
      <c r="K63" s="49">
        <f t="shared" si="1"/>
        <v>51.557499999999997</v>
      </c>
      <c r="L63" s="49">
        <f t="shared" si="2"/>
        <v>10.567595099644793</v>
      </c>
    </row>
    <row r="64" spans="1:12">
      <c r="A64" s="49">
        <v>0.48726399999999997</v>
      </c>
      <c r="B64" s="49">
        <v>0.51834499999999994</v>
      </c>
      <c r="C64">
        <v>25.1294</v>
      </c>
      <c r="D64">
        <v>0</v>
      </c>
      <c r="E64" t="s">
        <v>2621</v>
      </c>
      <c r="F64" s="49">
        <f t="shared" si="3"/>
        <v>63</v>
      </c>
      <c r="J64" s="49">
        <f t="shared" si="0"/>
        <v>4.8726399999999996</v>
      </c>
      <c r="K64" s="49">
        <f t="shared" si="1"/>
        <v>51.834499999999991</v>
      </c>
      <c r="L64" s="49">
        <f t="shared" si="2"/>
        <v>10.637867767780914</v>
      </c>
    </row>
    <row r="65" spans="1:12">
      <c r="A65" s="49">
        <v>0.486788</v>
      </c>
      <c r="B65" s="49">
        <v>0.52123299999999995</v>
      </c>
      <c r="C65">
        <v>25.538499999999999</v>
      </c>
      <c r="D65">
        <v>0</v>
      </c>
      <c r="E65" t="s">
        <v>2622</v>
      </c>
      <c r="F65" s="49">
        <f t="shared" si="3"/>
        <v>64</v>
      </c>
      <c r="J65" s="49">
        <f t="shared" si="0"/>
        <v>4.8678799999999995</v>
      </c>
      <c r="K65" s="49">
        <f t="shared" si="1"/>
        <v>52.123299999999993</v>
      </c>
      <c r="L65" s="49">
        <f t="shared" si="2"/>
        <v>10.707597557869134</v>
      </c>
    </row>
    <row r="66" spans="1:12">
      <c r="A66" s="49">
        <v>0.48649399999999998</v>
      </c>
      <c r="B66" s="49">
        <v>0.52434700000000001</v>
      </c>
      <c r="C66">
        <v>25.948599999999999</v>
      </c>
      <c r="D66">
        <v>0</v>
      </c>
      <c r="E66" t="s">
        <v>2623</v>
      </c>
      <c r="F66" s="49">
        <f t="shared" si="3"/>
        <v>65</v>
      </c>
      <c r="J66" s="49">
        <f t="shared" si="0"/>
        <v>4.8649399999999998</v>
      </c>
      <c r="K66" s="49">
        <f t="shared" si="1"/>
        <v>52.434699999999999</v>
      </c>
      <c r="L66" s="49">
        <f t="shared" si="2"/>
        <v>10.778077427470842</v>
      </c>
    </row>
    <row r="67" spans="1:12">
      <c r="A67" s="49">
        <v>0.48641899999999999</v>
      </c>
      <c r="B67" s="49">
        <v>0.52707300000000001</v>
      </c>
      <c r="C67">
        <v>26.363900000000001</v>
      </c>
      <c r="D67">
        <v>0</v>
      </c>
      <c r="E67" t="s">
        <v>2624</v>
      </c>
      <c r="F67" s="49">
        <f t="shared" si="3"/>
        <v>66</v>
      </c>
      <c r="J67" s="49">
        <f t="shared" ref="J67:J130" si="4">IF(A67&lt;&gt;"",A67*10,"")</f>
        <v>4.8641899999999998</v>
      </c>
      <c r="K67" s="49">
        <f t="shared" ref="K67:K130" si="5">IF(B67&lt;&gt;"",B67*100,"")</f>
        <v>52.707300000000004</v>
      </c>
      <c r="L67" s="49">
        <f t="shared" ref="L67:L130" si="6">IF(F67&lt;&gt;"",IF(K67&lt;&gt;0,K67/J67,0),"")</f>
        <v>10.835781497022117</v>
      </c>
    </row>
    <row r="68" spans="1:12">
      <c r="A68" s="49">
        <v>0.48622399999999999</v>
      </c>
      <c r="B68" s="49">
        <v>0.52965200000000001</v>
      </c>
      <c r="C68">
        <v>26.764600000000002</v>
      </c>
      <c r="D68">
        <v>0</v>
      </c>
      <c r="E68" t="s">
        <v>2625</v>
      </c>
      <c r="F68" s="49">
        <f t="shared" ref="F68:F131" si="7">IF(A68&lt;&gt;"",F67+1,"")</f>
        <v>67</v>
      </c>
      <c r="J68" s="49">
        <f t="shared" si="4"/>
        <v>4.8622399999999999</v>
      </c>
      <c r="K68" s="49">
        <f t="shared" si="5"/>
        <v>52.965200000000003</v>
      </c>
      <c r="L68" s="49">
        <f t="shared" si="6"/>
        <v>10.893168580736452</v>
      </c>
    </row>
    <row r="69" spans="1:12">
      <c r="A69" s="49">
        <v>0.48571599999999998</v>
      </c>
      <c r="B69" s="49">
        <v>0.53170600000000001</v>
      </c>
      <c r="C69">
        <v>27.187999999999999</v>
      </c>
      <c r="D69">
        <v>0</v>
      </c>
      <c r="E69" t="s">
        <v>2626</v>
      </c>
      <c r="F69" s="49">
        <f t="shared" si="7"/>
        <v>68</v>
      </c>
      <c r="J69" s="49">
        <f t="shared" si="4"/>
        <v>4.8571599999999995</v>
      </c>
      <c r="K69" s="49">
        <f t="shared" si="5"/>
        <v>53.1706</v>
      </c>
      <c r="L69" s="49">
        <f t="shared" si="6"/>
        <v>10.946849599354357</v>
      </c>
    </row>
    <row r="70" spans="1:12">
      <c r="A70" s="49">
        <v>0.48522500000000002</v>
      </c>
      <c r="B70" s="49">
        <v>0.53367399999999998</v>
      </c>
      <c r="C70">
        <v>27.5763</v>
      </c>
      <c r="D70">
        <v>0</v>
      </c>
      <c r="E70" t="s">
        <v>2627</v>
      </c>
      <c r="F70" s="49">
        <f t="shared" si="7"/>
        <v>69</v>
      </c>
      <c r="J70" s="49">
        <f t="shared" si="4"/>
        <v>4.8522499999999997</v>
      </c>
      <c r="K70" s="49">
        <f t="shared" si="5"/>
        <v>53.367399999999996</v>
      </c>
      <c r="L70" s="49">
        <f t="shared" si="6"/>
        <v>10.998485238806738</v>
      </c>
    </row>
    <row r="71" spans="1:12">
      <c r="A71" s="49">
        <v>0.48438900000000001</v>
      </c>
      <c r="B71" s="49">
        <v>0.53552</v>
      </c>
      <c r="C71">
        <v>27.9924</v>
      </c>
      <c r="D71">
        <v>0</v>
      </c>
      <c r="E71" t="s">
        <v>2628</v>
      </c>
      <c r="F71" s="49">
        <f t="shared" si="7"/>
        <v>70</v>
      </c>
      <c r="J71" s="49">
        <f t="shared" si="4"/>
        <v>4.84389</v>
      </c>
      <c r="K71" s="49">
        <f t="shared" si="5"/>
        <v>53.552</v>
      </c>
      <c r="L71" s="49">
        <f t="shared" si="6"/>
        <v>11.055577232348382</v>
      </c>
    </row>
    <row r="72" spans="1:12">
      <c r="A72" s="49">
        <v>0.48332199999999997</v>
      </c>
      <c r="B72" s="49">
        <v>0.53653499999999998</v>
      </c>
      <c r="C72">
        <v>28.386700000000001</v>
      </c>
      <c r="D72">
        <v>0</v>
      </c>
      <c r="E72" t="s">
        <v>2629</v>
      </c>
      <c r="F72" s="49">
        <f t="shared" si="7"/>
        <v>71</v>
      </c>
      <c r="J72" s="49">
        <f t="shared" si="4"/>
        <v>4.8332199999999998</v>
      </c>
      <c r="K72" s="49">
        <f t="shared" si="5"/>
        <v>53.653500000000001</v>
      </c>
      <c r="L72" s="49">
        <f t="shared" si="6"/>
        <v>11.100984436876452</v>
      </c>
    </row>
    <row r="73" spans="1:12">
      <c r="A73" s="49">
        <v>0.482213</v>
      </c>
      <c r="B73" s="49">
        <v>0.53740600000000005</v>
      </c>
      <c r="C73">
        <v>28.819900000000001</v>
      </c>
      <c r="D73">
        <v>0</v>
      </c>
      <c r="E73" t="s">
        <v>2630</v>
      </c>
      <c r="F73" s="49">
        <f t="shared" si="7"/>
        <v>72</v>
      </c>
      <c r="J73" s="49">
        <f t="shared" si="4"/>
        <v>4.8221299999999996</v>
      </c>
      <c r="K73" s="49">
        <f t="shared" si="5"/>
        <v>53.740600000000008</v>
      </c>
      <c r="L73" s="49">
        <f t="shared" si="6"/>
        <v>11.144577188918593</v>
      </c>
    </row>
    <row r="74" spans="1:12">
      <c r="A74" s="49">
        <v>0.48108400000000001</v>
      </c>
      <c r="B74" s="49">
        <v>0.53781599999999996</v>
      </c>
      <c r="C74">
        <v>29.2041</v>
      </c>
      <c r="D74">
        <v>0</v>
      </c>
      <c r="E74" t="s">
        <v>2631</v>
      </c>
      <c r="F74" s="49">
        <f t="shared" si="7"/>
        <v>73</v>
      </c>
      <c r="J74" s="49">
        <f t="shared" si="4"/>
        <v>4.8108399999999998</v>
      </c>
      <c r="K74" s="49">
        <f t="shared" si="5"/>
        <v>53.781599999999997</v>
      </c>
      <c r="L74" s="49">
        <f t="shared" si="6"/>
        <v>11.179253519135951</v>
      </c>
    </row>
    <row r="75" spans="1:12">
      <c r="A75" s="49">
        <v>0.48014200000000001</v>
      </c>
      <c r="B75" s="49">
        <v>0.53801100000000002</v>
      </c>
      <c r="C75">
        <v>29.609400000000001</v>
      </c>
      <c r="D75">
        <v>0</v>
      </c>
      <c r="E75" t="s">
        <v>2632</v>
      </c>
      <c r="F75" s="49">
        <f t="shared" si="7"/>
        <v>74</v>
      </c>
      <c r="J75" s="49">
        <f t="shared" si="4"/>
        <v>4.8014200000000002</v>
      </c>
      <c r="K75" s="49">
        <f t="shared" si="5"/>
        <v>53.801100000000005</v>
      </c>
      <c r="L75" s="49">
        <f t="shared" si="6"/>
        <v>11.205247614247453</v>
      </c>
    </row>
    <row r="76" spans="1:12">
      <c r="A76" s="49">
        <v>0.47931600000000002</v>
      </c>
      <c r="B76" s="49">
        <v>0.53824700000000003</v>
      </c>
      <c r="C76">
        <v>30.035499999999999</v>
      </c>
      <c r="D76">
        <v>0</v>
      </c>
      <c r="E76" t="s">
        <v>2633</v>
      </c>
      <c r="F76" s="49">
        <f t="shared" si="7"/>
        <v>75</v>
      </c>
      <c r="J76" s="49">
        <f t="shared" si="4"/>
        <v>4.7931600000000003</v>
      </c>
      <c r="K76" s="49">
        <f t="shared" si="5"/>
        <v>53.8247</v>
      </c>
      <c r="L76" s="49">
        <f t="shared" si="6"/>
        <v>11.229481177344383</v>
      </c>
    </row>
    <row r="77" spans="1:12">
      <c r="A77" s="49">
        <v>0.47889500000000002</v>
      </c>
      <c r="B77" s="49">
        <v>0.53814799999999996</v>
      </c>
      <c r="C77">
        <v>30.419499999999999</v>
      </c>
      <c r="D77">
        <v>0</v>
      </c>
      <c r="E77" t="s">
        <v>2634</v>
      </c>
      <c r="F77" s="49">
        <f t="shared" si="7"/>
        <v>76</v>
      </c>
      <c r="J77" s="49">
        <f t="shared" si="4"/>
        <v>4.7889499999999998</v>
      </c>
      <c r="K77" s="49">
        <f t="shared" si="5"/>
        <v>53.814799999999998</v>
      </c>
      <c r="L77" s="49">
        <f t="shared" si="6"/>
        <v>11.237285835099552</v>
      </c>
    </row>
    <row r="78" spans="1:12">
      <c r="A78" s="49">
        <v>0.47853600000000002</v>
      </c>
      <c r="B78" s="49">
        <v>0.53783899999999996</v>
      </c>
      <c r="C78">
        <v>30.8292</v>
      </c>
      <c r="D78">
        <v>0</v>
      </c>
      <c r="E78" t="s">
        <v>2635</v>
      </c>
      <c r="F78" s="49">
        <f t="shared" si="7"/>
        <v>77</v>
      </c>
      <c r="J78" s="49">
        <f t="shared" si="4"/>
        <v>4.7853599999999998</v>
      </c>
      <c r="K78" s="49">
        <f t="shared" si="5"/>
        <v>53.783899999999996</v>
      </c>
      <c r="L78" s="49">
        <f t="shared" si="6"/>
        <v>11.239258906330976</v>
      </c>
    </row>
    <row r="79" spans="1:12">
      <c r="A79" s="49">
        <v>0.47839199999999998</v>
      </c>
      <c r="B79" s="49">
        <v>0.53753700000000004</v>
      </c>
      <c r="C79">
        <v>31.241700000000002</v>
      </c>
      <c r="D79">
        <v>0</v>
      </c>
      <c r="E79" t="s">
        <v>2636</v>
      </c>
      <c r="F79" s="49">
        <f t="shared" si="7"/>
        <v>78</v>
      </c>
      <c r="J79" s="49">
        <f t="shared" si="4"/>
        <v>4.7839200000000002</v>
      </c>
      <c r="K79" s="49">
        <f t="shared" si="5"/>
        <v>53.753700000000002</v>
      </c>
      <c r="L79" s="49">
        <f t="shared" si="6"/>
        <v>11.236329202829479</v>
      </c>
    </row>
    <row r="80" spans="1:12">
      <c r="A80" s="49">
        <v>0.47831400000000002</v>
      </c>
      <c r="B80" s="49">
        <v>0.537686</v>
      </c>
      <c r="C80">
        <v>31.6403</v>
      </c>
      <c r="D80">
        <v>0</v>
      </c>
      <c r="E80" t="s">
        <v>2637</v>
      </c>
      <c r="F80" s="49">
        <f t="shared" si="7"/>
        <v>79</v>
      </c>
      <c r="J80" s="49">
        <f t="shared" si="4"/>
        <v>4.7831400000000004</v>
      </c>
      <c r="K80" s="49">
        <f t="shared" si="5"/>
        <v>53.768599999999999</v>
      </c>
      <c r="L80" s="49">
        <f t="shared" si="6"/>
        <v>11.241276650902963</v>
      </c>
    </row>
    <row r="81" spans="1:12">
      <c r="A81" s="49">
        <v>0.47812399999999999</v>
      </c>
      <c r="B81" s="49">
        <v>0.53803299999999998</v>
      </c>
      <c r="C81">
        <v>32.047499999999999</v>
      </c>
      <c r="D81">
        <v>0</v>
      </c>
      <c r="E81" t="s">
        <v>2638</v>
      </c>
      <c r="F81" s="49">
        <f t="shared" si="7"/>
        <v>80</v>
      </c>
      <c r="J81" s="49">
        <f t="shared" si="4"/>
        <v>4.7812400000000004</v>
      </c>
      <c r="K81" s="49">
        <f t="shared" si="5"/>
        <v>53.8033</v>
      </c>
      <c r="L81" s="49">
        <f t="shared" si="6"/>
        <v>11.253001313466799</v>
      </c>
    </row>
    <row r="82" spans="1:12">
      <c r="A82" s="49">
        <v>0.477879</v>
      </c>
      <c r="B82" s="49">
        <v>0.53828100000000001</v>
      </c>
      <c r="C82">
        <v>32.464399999999998</v>
      </c>
      <c r="D82">
        <v>0</v>
      </c>
      <c r="E82" t="s">
        <v>2639</v>
      </c>
      <c r="F82" s="49">
        <f t="shared" si="7"/>
        <v>81</v>
      </c>
      <c r="J82" s="49">
        <f t="shared" si="4"/>
        <v>4.7787899999999999</v>
      </c>
      <c r="K82" s="49">
        <f t="shared" si="5"/>
        <v>53.828099999999999</v>
      </c>
      <c r="L82" s="49">
        <f t="shared" si="6"/>
        <v>11.263960123797029</v>
      </c>
    </row>
    <row r="83" spans="1:12">
      <c r="A83" s="49">
        <v>0.477356</v>
      </c>
      <c r="B83" s="49">
        <v>0.53914499999999999</v>
      </c>
      <c r="C83">
        <v>32.847700000000003</v>
      </c>
      <c r="D83">
        <v>0</v>
      </c>
      <c r="E83" t="s">
        <v>2640</v>
      </c>
      <c r="F83" s="49">
        <f t="shared" si="7"/>
        <v>82</v>
      </c>
      <c r="J83" s="49">
        <f t="shared" si="4"/>
        <v>4.7735599999999998</v>
      </c>
      <c r="K83" s="49">
        <f t="shared" si="5"/>
        <v>53.914499999999997</v>
      </c>
      <c r="L83" s="49">
        <f t="shared" si="6"/>
        <v>11.294400824541851</v>
      </c>
    </row>
    <row r="84" spans="1:12">
      <c r="A84" s="49">
        <v>0.47672399999999998</v>
      </c>
      <c r="B84" s="49">
        <v>0.54049999999999998</v>
      </c>
      <c r="C84">
        <v>33.263500000000001</v>
      </c>
      <c r="D84">
        <v>0</v>
      </c>
      <c r="E84" t="s">
        <v>2641</v>
      </c>
      <c r="F84" s="49">
        <f t="shared" si="7"/>
        <v>83</v>
      </c>
      <c r="J84" s="49">
        <f t="shared" si="4"/>
        <v>4.7672400000000001</v>
      </c>
      <c r="K84" s="49">
        <f t="shared" si="5"/>
        <v>54.05</v>
      </c>
      <c r="L84" s="49">
        <f t="shared" si="6"/>
        <v>11.337797132093202</v>
      </c>
    </row>
    <row r="85" spans="1:12">
      <c r="A85" s="49">
        <v>0.47628300000000001</v>
      </c>
      <c r="B85" s="49">
        <v>0.54197899999999999</v>
      </c>
      <c r="C85">
        <v>33.6676</v>
      </c>
      <c r="D85">
        <v>0</v>
      </c>
      <c r="E85" t="s">
        <v>2642</v>
      </c>
      <c r="F85" s="49">
        <f t="shared" si="7"/>
        <v>84</v>
      </c>
      <c r="J85" s="49">
        <f t="shared" si="4"/>
        <v>4.7628300000000001</v>
      </c>
      <c r="K85" s="49">
        <f t="shared" si="5"/>
        <v>54.197899999999997</v>
      </c>
      <c r="L85" s="49">
        <f t="shared" si="6"/>
        <v>11.37934799268502</v>
      </c>
    </row>
    <row r="86" spans="1:12">
      <c r="A86" s="49">
        <v>0.47553699999999999</v>
      </c>
      <c r="B86" s="49">
        <v>0.54379100000000002</v>
      </c>
      <c r="C86">
        <v>34.080199999999998</v>
      </c>
      <c r="D86">
        <v>0</v>
      </c>
      <c r="E86" t="s">
        <v>2643</v>
      </c>
      <c r="F86" s="49">
        <f t="shared" si="7"/>
        <v>85</v>
      </c>
      <c r="J86" s="49">
        <f t="shared" si="4"/>
        <v>4.7553700000000001</v>
      </c>
      <c r="K86" s="49">
        <f t="shared" si="5"/>
        <v>54.379100000000001</v>
      </c>
      <c r="L86" s="49">
        <f t="shared" si="6"/>
        <v>11.435303667222529</v>
      </c>
    </row>
    <row r="87" spans="1:12">
      <c r="A87" s="49">
        <v>0.47457700000000003</v>
      </c>
      <c r="B87" s="49">
        <v>0.545516</v>
      </c>
      <c r="C87">
        <v>34.4878</v>
      </c>
      <c r="D87">
        <v>0</v>
      </c>
      <c r="E87" t="s">
        <v>2644</v>
      </c>
      <c r="F87" s="49">
        <f t="shared" si="7"/>
        <v>86</v>
      </c>
      <c r="J87" s="49">
        <f t="shared" si="4"/>
        <v>4.7457700000000003</v>
      </c>
      <c r="K87" s="49">
        <f t="shared" si="5"/>
        <v>54.551600000000001</v>
      </c>
      <c r="L87" s="49">
        <f t="shared" si="6"/>
        <v>11.494783775867772</v>
      </c>
    </row>
    <row r="88" spans="1:12">
      <c r="A88" s="49">
        <v>0.47375499999999998</v>
      </c>
      <c r="B88" s="49">
        <v>0.54678099999999996</v>
      </c>
      <c r="C88">
        <v>34.8964</v>
      </c>
      <c r="D88">
        <v>0</v>
      </c>
      <c r="E88" t="s">
        <v>2645</v>
      </c>
      <c r="F88" s="49">
        <f t="shared" si="7"/>
        <v>87</v>
      </c>
      <c r="J88" s="49">
        <f t="shared" si="4"/>
        <v>4.7375499999999997</v>
      </c>
      <c r="K88" s="49">
        <f t="shared" si="5"/>
        <v>54.678099999999993</v>
      </c>
      <c r="L88" s="49">
        <f t="shared" si="6"/>
        <v>11.541429641903514</v>
      </c>
    </row>
    <row r="89" spans="1:12">
      <c r="A89" s="49">
        <v>0.47271400000000002</v>
      </c>
      <c r="B89" s="49">
        <v>0.54818999999999996</v>
      </c>
      <c r="C89">
        <v>35.307000000000002</v>
      </c>
      <c r="D89">
        <v>0</v>
      </c>
      <c r="E89" t="s">
        <v>2646</v>
      </c>
      <c r="F89" s="49">
        <f t="shared" si="7"/>
        <v>88</v>
      </c>
      <c r="J89" s="49">
        <f t="shared" si="4"/>
        <v>4.7271400000000003</v>
      </c>
      <c r="K89" s="49">
        <f t="shared" si="5"/>
        <v>54.818999999999996</v>
      </c>
      <c r="L89" s="49">
        <f t="shared" si="6"/>
        <v>11.596652521397715</v>
      </c>
    </row>
    <row r="90" spans="1:12">
      <c r="A90" s="49">
        <v>0.47172999999999998</v>
      </c>
      <c r="B90" s="49">
        <v>0.54908000000000001</v>
      </c>
      <c r="C90">
        <v>35.6995</v>
      </c>
      <c r="D90">
        <v>0</v>
      </c>
      <c r="E90" t="s">
        <v>2647</v>
      </c>
      <c r="F90" s="49">
        <f t="shared" si="7"/>
        <v>89</v>
      </c>
      <c r="J90" s="49">
        <f t="shared" si="4"/>
        <v>4.7172999999999998</v>
      </c>
      <c r="K90" s="49">
        <f t="shared" si="5"/>
        <v>54.908000000000001</v>
      </c>
      <c r="L90" s="49">
        <f t="shared" si="6"/>
        <v>11.639709155661079</v>
      </c>
    </row>
    <row r="91" spans="1:12">
      <c r="A91" s="49">
        <v>0.470775</v>
      </c>
      <c r="B91" s="49">
        <v>0.54919300000000004</v>
      </c>
      <c r="C91">
        <v>36.098599999999998</v>
      </c>
      <c r="D91">
        <v>0</v>
      </c>
      <c r="E91" t="s">
        <v>2648</v>
      </c>
      <c r="F91" s="49">
        <f t="shared" si="7"/>
        <v>90</v>
      </c>
      <c r="J91" s="49">
        <f t="shared" si="4"/>
        <v>4.7077499999999999</v>
      </c>
      <c r="K91" s="49">
        <f t="shared" si="5"/>
        <v>54.919300000000007</v>
      </c>
      <c r="L91" s="49">
        <f t="shared" si="6"/>
        <v>11.665721416812705</v>
      </c>
    </row>
    <row r="92" spans="1:12">
      <c r="A92" s="49">
        <v>0.469723</v>
      </c>
      <c r="B92" s="49">
        <v>0.54946399999999995</v>
      </c>
      <c r="C92">
        <v>36.516500000000001</v>
      </c>
      <c r="D92">
        <v>0</v>
      </c>
      <c r="E92" t="s">
        <v>2649</v>
      </c>
      <c r="F92" s="49">
        <f t="shared" si="7"/>
        <v>91</v>
      </c>
      <c r="J92" s="49">
        <f t="shared" si="4"/>
        <v>4.6972300000000002</v>
      </c>
      <c r="K92" s="49">
        <f t="shared" si="5"/>
        <v>54.946399999999997</v>
      </c>
      <c r="L92" s="49">
        <f t="shared" si="6"/>
        <v>11.697617532034837</v>
      </c>
    </row>
    <row r="93" spans="1:12">
      <c r="A93" s="49">
        <v>0.46876899999999999</v>
      </c>
      <c r="B93" s="49">
        <v>0.54995400000000005</v>
      </c>
      <c r="C93">
        <v>36.911499999999997</v>
      </c>
      <c r="D93">
        <v>0</v>
      </c>
      <c r="E93" t="s">
        <v>2650</v>
      </c>
      <c r="F93" s="49">
        <f t="shared" si="7"/>
        <v>92</v>
      </c>
      <c r="J93" s="49">
        <f t="shared" si="4"/>
        <v>4.6876899999999999</v>
      </c>
      <c r="K93" s="49">
        <f t="shared" si="5"/>
        <v>54.995400000000004</v>
      </c>
      <c r="L93" s="49">
        <f t="shared" si="6"/>
        <v>11.7318764679405</v>
      </c>
    </row>
    <row r="94" spans="1:12">
      <c r="A94" s="49">
        <v>0.46829999999999999</v>
      </c>
      <c r="B94" s="49">
        <v>0.55027800000000004</v>
      </c>
      <c r="C94">
        <v>37.327500000000001</v>
      </c>
      <c r="D94">
        <v>0</v>
      </c>
      <c r="E94" t="s">
        <v>2651</v>
      </c>
      <c r="F94" s="49">
        <f t="shared" si="7"/>
        <v>93</v>
      </c>
      <c r="J94" s="49">
        <f t="shared" si="4"/>
        <v>4.6829999999999998</v>
      </c>
      <c r="K94" s="49">
        <f t="shared" si="5"/>
        <v>55.027800000000006</v>
      </c>
      <c r="L94" s="49">
        <f t="shared" si="6"/>
        <v>11.750544522741833</v>
      </c>
    </row>
    <row r="95" spans="1:12">
      <c r="A95" s="49">
        <v>0.467476</v>
      </c>
      <c r="B95" s="49">
        <v>0.55144400000000005</v>
      </c>
      <c r="C95">
        <v>37.731499999999997</v>
      </c>
      <c r="D95">
        <v>0</v>
      </c>
      <c r="E95" t="s">
        <v>2652</v>
      </c>
      <c r="F95" s="49">
        <f t="shared" si="7"/>
        <v>94</v>
      </c>
      <c r="J95" s="49">
        <f t="shared" si="4"/>
        <v>4.67476</v>
      </c>
      <c r="K95" s="49">
        <f t="shared" si="5"/>
        <v>55.144400000000005</v>
      </c>
      <c r="L95" s="49">
        <f t="shared" si="6"/>
        <v>11.796199163165596</v>
      </c>
    </row>
    <row r="96" spans="1:12">
      <c r="A96" s="49">
        <v>0.46721099999999999</v>
      </c>
      <c r="B96" s="49">
        <v>0.55164000000000002</v>
      </c>
      <c r="C96">
        <v>38.127099999999999</v>
      </c>
      <c r="D96">
        <v>0</v>
      </c>
      <c r="E96" t="s">
        <v>2653</v>
      </c>
      <c r="F96" s="49">
        <f t="shared" si="7"/>
        <v>95</v>
      </c>
      <c r="J96" s="49">
        <f t="shared" si="4"/>
        <v>4.67211</v>
      </c>
      <c r="K96" s="49">
        <f t="shared" si="5"/>
        <v>55.164000000000001</v>
      </c>
      <c r="L96" s="49">
        <f t="shared" si="6"/>
        <v>11.807085021542729</v>
      </c>
    </row>
    <row r="97" spans="1:12">
      <c r="A97" s="49">
        <v>0.46718700000000002</v>
      </c>
      <c r="B97" s="49">
        <v>0.55210599999999999</v>
      </c>
      <c r="C97">
        <v>38.532499999999999</v>
      </c>
      <c r="D97">
        <v>0</v>
      </c>
      <c r="E97" t="s">
        <v>2654</v>
      </c>
      <c r="F97" s="49">
        <f t="shared" si="7"/>
        <v>96</v>
      </c>
      <c r="J97" s="49">
        <f t="shared" si="4"/>
        <v>4.6718700000000002</v>
      </c>
      <c r="K97" s="49">
        <f t="shared" si="5"/>
        <v>55.210599999999999</v>
      </c>
      <c r="L97" s="49">
        <f t="shared" si="6"/>
        <v>11.817666159375154</v>
      </c>
    </row>
    <row r="98" spans="1:12">
      <c r="A98" s="49">
        <v>0.46720099999999998</v>
      </c>
      <c r="B98" s="49">
        <v>0.55135000000000001</v>
      </c>
      <c r="C98">
        <v>38.946899999999999</v>
      </c>
      <c r="D98">
        <v>0</v>
      </c>
      <c r="E98" t="s">
        <v>2655</v>
      </c>
      <c r="F98" s="49">
        <f t="shared" si="7"/>
        <v>97</v>
      </c>
      <c r="J98" s="49">
        <f t="shared" si="4"/>
        <v>4.6720100000000002</v>
      </c>
      <c r="K98" s="49">
        <f t="shared" si="5"/>
        <v>55.134999999999998</v>
      </c>
      <c r="L98" s="49">
        <f t="shared" si="6"/>
        <v>11.801130562648623</v>
      </c>
    </row>
    <row r="99" spans="1:12">
      <c r="A99" s="49">
        <v>0.46854600000000002</v>
      </c>
      <c r="B99" s="49">
        <v>0.54990000000000006</v>
      </c>
      <c r="C99">
        <v>39.357999999999997</v>
      </c>
      <c r="D99">
        <v>0</v>
      </c>
      <c r="E99" t="s">
        <v>2656</v>
      </c>
      <c r="F99" s="49">
        <f t="shared" si="7"/>
        <v>98</v>
      </c>
      <c r="J99" s="49">
        <f t="shared" si="4"/>
        <v>4.68546</v>
      </c>
      <c r="K99" s="49">
        <f t="shared" si="5"/>
        <v>54.990000000000009</v>
      </c>
      <c r="L99" s="49">
        <f t="shared" si="6"/>
        <v>11.736307641085402</v>
      </c>
    </row>
    <row r="100" spans="1:12">
      <c r="A100" s="49">
        <v>0.47013500000000003</v>
      </c>
      <c r="B100" s="49">
        <v>0.54764699999999999</v>
      </c>
      <c r="C100">
        <v>39.785299999999999</v>
      </c>
      <c r="D100">
        <v>0</v>
      </c>
      <c r="E100" t="s">
        <v>2657</v>
      </c>
      <c r="F100" s="49">
        <f t="shared" si="7"/>
        <v>99</v>
      </c>
      <c r="J100" s="49">
        <f t="shared" si="4"/>
        <v>4.7013500000000006</v>
      </c>
      <c r="K100" s="49">
        <f t="shared" si="5"/>
        <v>54.764699999999998</v>
      </c>
      <c r="L100" s="49">
        <f t="shared" si="6"/>
        <v>11.648717921448092</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45854.597060185188</v>
      </c>
      <c r="B2" t="s">
        <v>2658</v>
      </c>
      <c r="C2" s="49"/>
      <c r="D2" s="49"/>
      <c r="E2" s="49">
        <v>4.8806900000000004</v>
      </c>
      <c r="F2" s="49">
        <v>2.4512999999999998</v>
      </c>
      <c r="G2" s="49">
        <v>0.49058299999999999</v>
      </c>
      <c r="H2" s="49">
        <v>0</v>
      </c>
      <c r="I2" s="49">
        <v>18.639299999999999</v>
      </c>
      <c r="J2" s="49">
        <v>132</v>
      </c>
      <c r="K2" s="49">
        <v>132</v>
      </c>
      <c r="L2" s="49">
        <v>100</v>
      </c>
      <c r="M2" s="521" t="s">
        <v>1549</v>
      </c>
      <c r="O2" s="565" t="str">
        <f>IF(FH_info!B2="","",TRIM(MID(SUBSTITUTE(FH_info!B2,"^",REPT(" ",LEN(FH_info!B2))),LEN(FH_info!B2)*2-LEN(FH_info!B2)+1,LEN(FH_info!B2))))</f>
        <v>46Yz</v>
      </c>
      <c r="P2" s="565" t="str">
        <f>IF(FH_info!O2="","",TRIM(MID(SUBSTITUTE(FH_info!O2," ",REPT(" ",LEN(FH_info!O2))),LEN(FH_info!O2)*1-LEN(FH_info!O2)+1,LEN(FH_info!O2))))</f>
        <v>46Yz</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18.639294</v>
      </c>
      <c r="D2">
        <f>MAX(B2:B257)</f>
        <v>191.74028000000001</v>
      </c>
      <c r="G2" t="s">
        <v>1590</v>
      </c>
      <c r="H2">
        <v>4.8806940000000001</v>
      </c>
      <c r="I2">
        <v>18.639294</v>
      </c>
      <c r="J2">
        <v>0</v>
      </c>
      <c r="K2">
        <v>132</v>
      </c>
      <c r="L2">
        <v>132</v>
      </c>
      <c r="M2">
        <v>2.4513039999999999</v>
      </c>
      <c r="N2">
        <v>0.49058299999999999</v>
      </c>
      <c r="O2">
        <v>0.240672</v>
      </c>
    </row>
    <row r="3" spans="1:15">
      <c r="A3">
        <v>0</v>
      </c>
      <c r="B3">
        <v>0</v>
      </c>
      <c r="G3" t="s">
        <v>1591</v>
      </c>
      <c r="H3">
        <v>4.8806940000000001</v>
      </c>
      <c r="I3">
        <v>191.74028000000001</v>
      </c>
      <c r="J3">
        <v>0</v>
      </c>
      <c r="K3">
        <v>8</v>
      </c>
      <c r="L3">
        <v>8</v>
      </c>
      <c r="M3">
        <v>0.87155800000000005</v>
      </c>
      <c r="N3">
        <v>0.63368500000000005</v>
      </c>
      <c r="O3">
        <v>0.401557</v>
      </c>
    </row>
    <row r="4" spans="1:15">
      <c r="A4">
        <v>0</v>
      </c>
      <c r="B4">
        <v>0</v>
      </c>
    </row>
    <row r="5" spans="1:15">
      <c r="A5">
        <v>0</v>
      </c>
      <c r="B5">
        <v>97.638503999999998</v>
      </c>
    </row>
    <row r="6" spans="1:15">
      <c r="A6">
        <v>0</v>
      </c>
      <c r="B6">
        <v>0</v>
      </c>
    </row>
    <row r="7" spans="1:15">
      <c r="A7">
        <v>0</v>
      </c>
      <c r="B7">
        <v>0</v>
      </c>
    </row>
    <row r="8" spans="1:15">
      <c r="A8">
        <v>0</v>
      </c>
      <c r="B8">
        <v>140.10682700000001</v>
      </c>
    </row>
    <row r="9" spans="1:15">
      <c r="A9">
        <v>0</v>
      </c>
      <c r="B9">
        <v>0</v>
      </c>
    </row>
    <row r="10" spans="1:15">
      <c r="A10">
        <v>0</v>
      </c>
      <c r="B10">
        <v>191.74028000000001</v>
      </c>
    </row>
    <row r="11" spans="1:15">
      <c r="A11">
        <v>0</v>
      </c>
      <c r="B11">
        <v>0</v>
      </c>
    </row>
    <row r="12" spans="1:15">
      <c r="A12">
        <v>0</v>
      </c>
      <c r="B12">
        <v>0</v>
      </c>
    </row>
    <row r="13" spans="1:15">
      <c r="A13">
        <v>0</v>
      </c>
      <c r="B13">
        <v>165.682266</v>
      </c>
    </row>
    <row r="14" spans="1:15">
      <c r="A14">
        <v>0</v>
      </c>
      <c r="B14">
        <v>0</v>
      </c>
    </row>
    <row r="15" spans="1:15">
      <c r="A15">
        <v>0</v>
      </c>
      <c r="B15">
        <v>147.92837499999999</v>
      </c>
    </row>
    <row r="16" spans="1:15">
      <c r="A16">
        <v>0</v>
      </c>
      <c r="B16">
        <v>0</v>
      </c>
    </row>
    <row r="17" spans="1:2">
      <c r="A17">
        <v>0</v>
      </c>
      <c r="B17">
        <v>0</v>
      </c>
    </row>
    <row r="18" spans="1:2">
      <c r="A18">
        <v>0</v>
      </c>
      <c r="B18">
        <v>126.430672</v>
      </c>
    </row>
    <row r="19" spans="1:2">
      <c r="A19">
        <v>0</v>
      </c>
      <c r="B19">
        <v>0</v>
      </c>
    </row>
    <row r="20" spans="1:2">
      <c r="A20">
        <v>0</v>
      </c>
      <c r="B20">
        <v>0</v>
      </c>
    </row>
    <row r="21" spans="1:2">
      <c r="A21">
        <v>0</v>
      </c>
      <c r="B21">
        <v>122.27578699999999</v>
      </c>
    </row>
    <row r="22" spans="1:2">
      <c r="A22">
        <v>0</v>
      </c>
      <c r="B22">
        <v>0</v>
      </c>
    </row>
    <row r="23" spans="1:2">
      <c r="A23">
        <v>6.7679999999999997E-3</v>
      </c>
      <c r="B23">
        <v>110.246094</v>
      </c>
    </row>
    <row r="24" spans="1:2">
      <c r="A24">
        <v>0</v>
      </c>
      <c r="B24">
        <v>0</v>
      </c>
    </row>
    <row r="25" spans="1:2">
      <c r="A25">
        <v>0</v>
      </c>
      <c r="B25">
        <v>0</v>
      </c>
    </row>
    <row r="26" spans="1:2">
      <c r="A26">
        <v>0.01</v>
      </c>
      <c r="B26">
        <v>99.857208</v>
      </c>
    </row>
    <row r="27" spans="1:2">
      <c r="A27">
        <v>0</v>
      </c>
      <c r="B27">
        <v>0</v>
      </c>
    </row>
    <row r="28" spans="1:2">
      <c r="A28">
        <v>8.9495000000000005E-2</v>
      </c>
      <c r="B28">
        <v>95.271041999999994</v>
      </c>
    </row>
    <row r="29" spans="1:2">
      <c r="A29">
        <v>0</v>
      </c>
      <c r="B29">
        <v>0</v>
      </c>
    </row>
    <row r="30" spans="1:2">
      <c r="A30">
        <v>0</v>
      </c>
      <c r="B30">
        <v>0</v>
      </c>
    </row>
    <row r="31" spans="1:2">
      <c r="A31">
        <v>5.6767999999999999E-2</v>
      </c>
      <c r="B31">
        <v>92.725891000000004</v>
      </c>
    </row>
    <row r="32" spans="1:2">
      <c r="A32">
        <v>0</v>
      </c>
      <c r="B32">
        <v>0</v>
      </c>
    </row>
    <row r="33" spans="1:2">
      <c r="A33">
        <v>0.13949500000000001</v>
      </c>
      <c r="B33">
        <v>89.739365000000006</v>
      </c>
    </row>
    <row r="34" spans="1:2">
      <c r="A34">
        <v>0</v>
      </c>
      <c r="B34">
        <v>0</v>
      </c>
    </row>
    <row r="35" spans="1:2">
      <c r="A35">
        <v>0</v>
      </c>
      <c r="B35">
        <v>0</v>
      </c>
    </row>
    <row r="36" spans="1:2">
      <c r="A36">
        <v>0.14222199999999999</v>
      </c>
      <c r="B36">
        <v>86.199577000000005</v>
      </c>
    </row>
    <row r="37" spans="1:2">
      <c r="A37">
        <v>0</v>
      </c>
      <c r="B37">
        <v>0</v>
      </c>
    </row>
    <row r="38" spans="1:2">
      <c r="A38">
        <v>0</v>
      </c>
      <c r="B38">
        <v>0</v>
      </c>
    </row>
    <row r="39" spans="1:2">
      <c r="A39">
        <v>8.5455000000000003E-2</v>
      </c>
      <c r="B39">
        <v>84.727271999999999</v>
      </c>
    </row>
    <row r="40" spans="1:2">
      <c r="A40">
        <v>0</v>
      </c>
      <c r="B40">
        <v>0</v>
      </c>
    </row>
    <row r="41" spans="1:2">
      <c r="A41">
        <v>0.11555600000000001</v>
      </c>
      <c r="B41">
        <v>83.022034000000005</v>
      </c>
    </row>
    <row r="42" spans="1:2">
      <c r="A42">
        <v>0</v>
      </c>
      <c r="B42">
        <v>0</v>
      </c>
    </row>
    <row r="43" spans="1:2">
      <c r="A43">
        <v>0</v>
      </c>
      <c r="B43">
        <v>0</v>
      </c>
    </row>
    <row r="44" spans="1:2">
      <c r="A44">
        <v>7.8080999999999998E-2</v>
      </c>
      <c r="B44">
        <v>82.346039000000005</v>
      </c>
    </row>
    <row r="45" spans="1:2">
      <c r="A45">
        <v>0</v>
      </c>
      <c r="B45">
        <v>0</v>
      </c>
    </row>
    <row r="46" spans="1:2">
      <c r="A46">
        <v>6.0201999999999999E-2</v>
      </c>
      <c r="B46">
        <v>82.089684000000005</v>
      </c>
    </row>
    <row r="47" spans="1:2">
      <c r="A47">
        <v>0</v>
      </c>
      <c r="B47">
        <v>0</v>
      </c>
    </row>
    <row r="48" spans="1:2">
      <c r="A48">
        <v>0</v>
      </c>
      <c r="B48">
        <v>0</v>
      </c>
    </row>
    <row r="49" spans="1:2">
      <c r="A49">
        <v>6.6364000000000006E-2</v>
      </c>
      <c r="B49">
        <v>79.217017999999996</v>
      </c>
    </row>
    <row r="50" spans="1:2">
      <c r="A50">
        <v>0</v>
      </c>
      <c r="B50">
        <v>0</v>
      </c>
    </row>
    <row r="51" spans="1:2">
      <c r="A51">
        <v>0.234848</v>
      </c>
      <c r="B51">
        <v>77.119072000000003</v>
      </c>
    </row>
    <row r="52" spans="1:2">
      <c r="A52">
        <v>0</v>
      </c>
      <c r="B52">
        <v>0</v>
      </c>
    </row>
    <row r="53" spans="1:2">
      <c r="A53">
        <v>0</v>
      </c>
      <c r="B53">
        <v>0</v>
      </c>
    </row>
    <row r="54" spans="1:2">
      <c r="A54">
        <v>0.109697</v>
      </c>
      <c r="B54">
        <v>74.772575000000003</v>
      </c>
    </row>
    <row r="55" spans="1:2">
      <c r="A55">
        <v>0</v>
      </c>
      <c r="B55">
        <v>0</v>
      </c>
    </row>
    <row r="56" spans="1:2">
      <c r="A56">
        <v>0</v>
      </c>
      <c r="B56">
        <v>0</v>
      </c>
    </row>
    <row r="57" spans="1:2">
      <c r="A57">
        <v>8.4343000000000001E-2</v>
      </c>
      <c r="B57">
        <v>72.406647000000007</v>
      </c>
    </row>
    <row r="58" spans="1:2">
      <c r="A58">
        <v>0</v>
      </c>
      <c r="B58">
        <v>0</v>
      </c>
    </row>
    <row r="59" spans="1:2">
      <c r="A59">
        <v>0.21060599999999999</v>
      </c>
      <c r="B59">
        <v>70.803032000000002</v>
      </c>
    </row>
    <row r="60" spans="1:2">
      <c r="A60">
        <v>0</v>
      </c>
      <c r="B60">
        <v>0</v>
      </c>
    </row>
    <row r="61" spans="1:2">
      <c r="A61">
        <v>0</v>
      </c>
      <c r="B61">
        <v>0</v>
      </c>
    </row>
    <row r="62" spans="1:2">
      <c r="A62">
        <v>0.216667</v>
      </c>
      <c r="B62">
        <v>69.910315999999995</v>
      </c>
    </row>
    <row r="63" spans="1:2">
      <c r="A63">
        <v>0</v>
      </c>
      <c r="B63">
        <v>0</v>
      </c>
    </row>
    <row r="64" spans="1:2">
      <c r="A64">
        <v>0.23272699999999999</v>
      </c>
      <c r="B64">
        <v>68.459900000000005</v>
      </c>
    </row>
    <row r="65" spans="1:2">
      <c r="A65">
        <v>0</v>
      </c>
      <c r="B65">
        <v>0</v>
      </c>
    </row>
    <row r="66" spans="1:2">
      <c r="A66">
        <v>0</v>
      </c>
      <c r="B66">
        <v>0</v>
      </c>
    </row>
    <row r="67" spans="1:2">
      <c r="A67">
        <v>0.46595999999999999</v>
      </c>
      <c r="B67">
        <v>66.795837000000006</v>
      </c>
    </row>
    <row r="68" spans="1:2">
      <c r="A68">
        <v>0</v>
      </c>
      <c r="B68">
        <v>0</v>
      </c>
    </row>
    <row r="69" spans="1:2">
      <c r="A69">
        <v>0.50717199999999996</v>
      </c>
      <c r="B69">
        <v>65.469543000000002</v>
      </c>
    </row>
    <row r="70" spans="1:2">
      <c r="A70">
        <v>0</v>
      </c>
      <c r="B70">
        <v>0</v>
      </c>
    </row>
    <row r="71" spans="1:2">
      <c r="A71">
        <v>0</v>
      </c>
      <c r="B71">
        <v>0</v>
      </c>
    </row>
    <row r="72" spans="1:2">
      <c r="A72">
        <v>0.49252499999999999</v>
      </c>
      <c r="B72">
        <v>62.913071000000002</v>
      </c>
    </row>
    <row r="73" spans="1:2">
      <c r="A73">
        <v>0</v>
      </c>
      <c r="B73">
        <v>0</v>
      </c>
    </row>
    <row r="74" spans="1:2">
      <c r="A74">
        <v>0</v>
      </c>
      <c r="B74">
        <v>0</v>
      </c>
    </row>
    <row r="75" spans="1:2">
      <c r="A75">
        <v>0.40212100000000001</v>
      </c>
      <c r="B75">
        <v>60.819557000000003</v>
      </c>
    </row>
    <row r="76" spans="1:2">
      <c r="A76">
        <v>0</v>
      </c>
      <c r="B76">
        <v>0</v>
      </c>
    </row>
    <row r="77" spans="1:2">
      <c r="A77">
        <v>0.44353500000000001</v>
      </c>
      <c r="B77">
        <v>58.247169</v>
      </c>
    </row>
    <row r="78" spans="1:2">
      <c r="A78">
        <v>0</v>
      </c>
      <c r="B78">
        <v>0</v>
      </c>
    </row>
    <row r="79" spans="1:2">
      <c r="A79">
        <v>0</v>
      </c>
      <c r="B79">
        <v>0</v>
      </c>
    </row>
    <row r="80" spans="1:2">
      <c r="A80">
        <v>1.6075759999999999</v>
      </c>
      <c r="B80">
        <v>55.354911999999999</v>
      </c>
    </row>
    <row r="81" spans="1:2">
      <c r="A81">
        <v>0</v>
      </c>
      <c r="B81">
        <v>0</v>
      </c>
    </row>
    <row r="82" spans="1:2">
      <c r="A82">
        <v>2.7956560000000001</v>
      </c>
      <c r="B82">
        <v>52.609734000000003</v>
      </c>
    </row>
    <row r="83" spans="1:2">
      <c r="A83">
        <v>0</v>
      </c>
      <c r="B83">
        <v>0</v>
      </c>
    </row>
    <row r="84" spans="1:2">
      <c r="A84">
        <v>0</v>
      </c>
      <c r="B84">
        <v>0</v>
      </c>
    </row>
    <row r="85" spans="1:2">
      <c r="A85">
        <v>4.8259600000000002</v>
      </c>
      <c r="B85">
        <v>49.462353</v>
      </c>
    </row>
    <row r="86" spans="1:2">
      <c r="A86">
        <v>0</v>
      </c>
      <c r="B86">
        <v>0</v>
      </c>
    </row>
    <row r="87" spans="1:2">
      <c r="A87">
        <v>0</v>
      </c>
      <c r="B87">
        <v>0</v>
      </c>
    </row>
    <row r="88" spans="1:2">
      <c r="A88">
        <v>7.0161610000000003</v>
      </c>
      <c r="B88">
        <v>46.578361999999998</v>
      </c>
    </row>
    <row r="89" spans="1:2">
      <c r="A89">
        <v>0</v>
      </c>
      <c r="B89">
        <v>0</v>
      </c>
    </row>
    <row r="90" spans="1:2">
      <c r="A90">
        <v>9.0776769999999996</v>
      </c>
      <c r="B90">
        <v>44.074840999999999</v>
      </c>
    </row>
    <row r="91" spans="1:2">
      <c r="A91">
        <v>0</v>
      </c>
      <c r="B91">
        <v>0</v>
      </c>
    </row>
    <row r="92" spans="1:2">
      <c r="A92">
        <v>0</v>
      </c>
      <c r="B92">
        <v>0</v>
      </c>
    </row>
    <row r="93" spans="1:2">
      <c r="A93">
        <v>10.772221999999999</v>
      </c>
      <c r="B93">
        <v>41.000762999999999</v>
      </c>
    </row>
    <row r="94" spans="1:2">
      <c r="A94">
        <v>0</v>
      </c>
      <c r="B94">
        <v>0</v>
      </c>
    </row>
    <row r="95" spans="1:2">
      <c r="A95">
        <v>11.10303</v>
      </c>
      <c r="B95">
        <v>38.057544999999998</v>
      </c>
    </row>
    <row r="96" spans="1:2">
      <c r="A96">
        <v>0</v>
      </c>
      <c r="B96">
        <v>0</v>
      </c>
    </row>
    <row r="97" spans="1:2">
      <c r="A97">
        <v>0</v>
      </c>
      <c r="B97">
        <v>0</v>
      </c>
    </row>
    <row r="98" spans="1:2">
      <c r="A98">
        <v>10.519091</v>
      </c>
      <c r="B98">
        <v>35.392254000000001</v>
      </c>
    </row>
    <row r="99" spans="1:2">
      <c r="A99">
        <v>0</v>
      </c>
      <c r="B99">
        <v>0</v>
      </c>
    </row>
    <row r="100" spans="1:2">
      <c r="A100">
        <v>9.5634350000000001</v>
      </c>
      <c r="B100">
        <v>32.197277</v>
      </c>
    </row>
    <row r="101" spans="1:2">
      <c r="A101">
        <v>0</v>
      </c>
      <c r="B101">
        <v>0</v>
      </c>
    </row>
    <row r="102" spans="1:2">
      <c r="A102">
        <v>0</v>
      </c>
      <c r="B102">
        <v>0</v>
      </c>
    </row>
    <row r="103" spans="1:2">
      <c r="A103">
        <v>10.399495</v>
      </c>
      <c r="B103">
        <v>29.485765000000001</v>
      </c>
    </row>
    <row r="104" spans="1:2">
      <c r="A104">
        <v>0</v>
      </c>
      <c r="B104">
        <v>0</v>
      </c>
    </row>
    <row r="105" spans="1:2">
      <c r="A105">
        <v>0</v>
      </c>
      <c r="B105">
        <v>0</v>
      </c>
    </row>
    <row r="106" spans="1:2">
      <c r="A106">
        <v>10.430303</v>
      </c>
      <c r="B106">
        <v>26.816192999999998</v>
      </c>
    </row>
    <row r="107" spans="1:2">
      <c r="A107">
        <v>0</v>
      </c>
      <c r="B107">
        <v>0</v>
      </c>
    </row>
    <row r="108" spans="1:2">
      <c r="A108">
        <v>11.315151</v>
      </c>
      <c r="B108">
        <v>24.179981000000002</v>
      </c>
    </row>
    <row r="109" spans="1:2">
      <c r="A109">
        <v>0</v>
      </c>
      <c r="B109">
        <v>0</v>
      </c>
    </row>
    <row r="110" spans="1:2">
      <c r="A110">
        <v>0</v>
      </c>
      <c r="B110">
        <v>0</v>
      </c>
    </row>
    <row r="111" spans="1:2">
      <c r="A111">
        <v>11.925151</v>
      </c>
      <c r="B111">
        <v>21.846954</v>
      </c>
    </row>
    <row r="112" spans="1:2">
      <c r="A112">
        <v>0</v>
      </c>
      <c r="B112">
        <v>0</v>
      </c>
    </row>
    <row r="113" spans="1:2">
      <c r="A113">
        <v>11.492222</v>
      </c>
      <c r="B113">
        <v>19.732323000000001</v>
      </c>
    </row>
    <row r="114" spans="1:2">
      <c r="A114">
        <v>0</v>
      </c>
      <c r="B114">
        <v>0</v>
      </c>
    </row>
    <row r="115" spans="1:2">
      <c r="A115">
        <v>0</v>
      </c>
      <c r="B115">
        <v>0</v>
      </c>
    </row>
    <row r="116" spans="1:2">
      <c r="A116">
        <v>11.769797000000001</v>
      </c>
      <c r="B116">
        <v>17.825834</v>
      </c>
    </row>
    <row r="117" spans="1:2">
      <c r="A117">
        <v>0</v>
      </c>
      <c r="B117">
        <v>0</v>
      </c>
    </row>
    <row r="118" spans="1:2">
      <c r="A118">
        <v>11.347071</v>
      </c>
      <c r="B118">
        <v>15.954699</v>
      </c>
    </row>
    <row r="119" spans="1:2">
      <c r="A119">
        <v>0</v>
      </c>
      <c r="B119">
        <v>0</v>
      </c>
    </row>
    <row r="120" spans="1:2">
      <c r="A120">
        <v>0</v>
      </c>
      <c r="B120">
        <v>0</v>
      </c>
    </row>
    <row r="121" spans="1:2">
      <c r="A121">
        <v>12.589090000000001</v>
      </c>
      <c r="B121">
        <v>14.578512</v>
      </c>
    </row>
    <row r="122" spans="1:2">
      <c r="A122">
        <v>0</v>
      </c>
      <c r="B122">
        <v>0</v>
      </c>
    </row>
    <row r="123" spans="1:2">
      <c r="A123">
        <v>0</v>
      </c>
      <c r="B123">
        <v>0</v>
      </c>
    </row>
    <row r="124" spans="1:2">
      <c r="A124">
        <v>14.611110999999999</v>
      </c>
      <c r="B124">
        <v>13.302725000000001</v>
      </c>
    </row>
    <row r="125" spans="1:2">
      <c r="A125">
        <v>0</v>
      </c>
      <c r="B125">
        <v>0</v>
      </c>
    </row>
    <row r="126" spans="1:2">
      <c r="A126">
        <v>15.541717999999999</v>
      </c>
      <c r="B126">
        <v>11.877563</v>
      </c>
    </row>
    <row r="127" spans="1:2">
      <c r="A127">
        <v>0</v>
      </c>
      <c r="B127">
        <v>0</v>
      </c>
    </row>
    <row r="128" spans="1:2">
      <c r="A128">
        <v>0</v>
      </c>
      <c r="B128">
        <v>0</v>
      </c>
    </row>
    <row r="129" spans="1:2">
      <c r="A129">
        <v>15.84202</v>
      </c>
      <c r="B129">
        <v>10.583715</v>
      </c>
    </row>
    <row r="130" spans="1:2">
      <c r="A130">
        <v>0</v>
      </c>
      <c r="B130">
        <v>0</v>
      </c>
    </row>
    <row r="131" spans="1:2">
      <c r="A131">
        <v>17.619698</v>
      </c>
      <c r="B131">
        <v>9.4669430000000006</v>
      </c>
    </row>
    <row r="132" spans="1:2">
      <c r="A132">
        <v>0</v>
      </c>
      <c r="B132">
        <v>0</v>
      </c>
    </row>
    <row r="133" spans="1:2">
      <c r="A133">
        <v>0</v>
      </c>
      <c r="B133">
        <v>0</v>
      </c>
    </row>
    <row r="134" spans="1:2">
      <c r="A134">
        <v>18.639294</v>
      </c>
      <c r="B134">
        <v>8.2009489999999996</v>
      </c>
    </row>
    <row r="135" spans="1:2">
      <c r="A135">
        <v>0</v>
      </c>
      <c r="B135">
        <v>0</v>
      </c>
    </row>
    <row r="136" spans="1:2">
      <c r="A136">
        <v>17.989393</v>
      </c>
      <c r="B136">
        <v>7.0166820000000003</v>
      </c>
    </row>
    <row r="137" spans="1:2">
      <c r="A137">
        <v>0</v>
      </c>
      <c r="B137">
        <v>0</v>
      </c>
    </row>
    <row r="138" spans="1:2">
      <c r="A138">
        <v>0</v>
      </c>
      <c r="B138">
        <v>0</v>
      </c>
    </row>
    <row r="139" spans="1:2">
      <c r="A139">
        <v>17.298079999999999</v>
      </c>
      <c r="B139">
        <v>5.8850629999999997</v>
      </c>
    </row>
    <row r="140" spans="1:2">
      <c r="A140">
        <v>0</v>
      </c>
      <c r="B140">
        <v>0</v>
      </c>
    </row>
    <row r="141" spans="1:2">
      <c r="A141">
        <v>0</v>
      </c>
      <c r="B141">
        <v>0</v>
      </c>
    </row>
    <row r="142" spans="1:2">
      <c r="A142">
        <v>16.818888000000001</v>
      </c>
      <c r="B142">
        <v>4.750076</v>
      </c>
    </row>
    <row r="143" spans="1:2">
      <c r="A143">
        <v>0</v>
      </c>
      <c r="B143">
        <v>0</v>
      </c>
    </row>
    <row r="144" spans="1:2">
      <c r="A144">
        <v>16.560202</v>
      </c>
      <c r="B144">
        <v>3.814203</v>
      </c>
    </row>
    <row r="145" spans="1:2">
      <c r="A145">
        <v>0</v>
      </c>
      <c r="B145">
        <v>0</v>
      </c>
    </row>
    <row r="146" spans="1:2">
      <c r="A146">
        <v>0</v>
      </c>
      <c r="B146">
        <v>0</v>
      </c>
    </row>
    <row r="147" spans="1:2">
      <c r="A147">
        <v>15.563838000000001</v>
      </c>
      <c r="B147">
        <v>2.9738289999999998</v>
      </c>
    </row>
    <row r="148" spans="1:2">
      <c r="A148">
        <v>0</v>
      </c>
      <c r="B148">
        <v>0</v>
      </c>
    </row>
    <row r="149" spans="1:2">
      <c r="A149">
        <v>15.311313</v>
      </c>
      <c r="B149">
        <v>2.2799209999999999</v>
      </c>
    </row>
    <row r="150" spans="1:2">
      <c r="A150">
        <v>0</v>
      </c>
      <c r="B150">
        <v>0</v>
      </c>
    </row>
    <row r="151" spans="1:2">
      <c r="A151">
        <v>0</v>
      </c>
      <c r="B151">
        <v>0</v>
      </c>
    </row>
    <row r="152" spans="1:2">
      <c r="A152">
        <v>13.753636</v>
      </c>
      <c r="B152">
        <v>1.6809000000000001</v>
      </c>
    </row>
    <row r="153" spans="1:2">
      <c r="A153">
        <v>0</v>
      </c>
      <c r="B153">
        <v>0</v>
      </c>
    </row>
    <row r="154" spans="1:2">
      <c r="A154">
        <v>11.681616</v>
      </c>
      <c r="B154">
        <v>1.223447</v>
      </c>
    </row>
    <row r="155" spans="1:2">
      <c r="A155">
        <v>0</v>
      </c>
      <c r="B155">
        <v>0</v>
      </c>
    </row>
    <row r="156" spans="1:2">
      <c r="A156">
        <v>0</v>
      </c>
      <c r="B156">
        <v>0</v>
      </c>
    </row>
    <row r="157" spans="1:2">
      <c r="A157">
        <v>9.5729290000000002</v>
      </c>
      <c r="B157">
        <v>0.84312799999999999</v>
      </c>
    </row>
    <row r="158" spans="1:2">
      <c r="A158">
        <v>0</v>
      </c>
      <c r="B158">
        <v>0</v>
      </c>
    </row>
    <row r="159" spans="1:2">
      <c r="A159">
        <v>0</v>
      </c>
      <c r="B159">
        <v>0</v>
      </c>
    </row>
    <row r="160" spans="1:2">
      <c r="A160">
        <v>8.5768690000000003</v>
      </c>
      <c r="B160">
        <v>0.60238700000000001</v>
      </c>
    </row>
    <row r="161" spans="1:2">
      <c r="A161">
        <v>0</v>
      </c>
      <c r="B161">
        <v>0</v>
      </c>
    </row>
    <row r="162" spans="1:2">
      <c r="A162">
        <v>7.5207069999999998</v>
      </c>
      <c r="B162">
        <v>0.35261700000000001</v>
      </c>
    </row>
    <row r="163" spans="1:2">
      <c r="A163">
        <v>0</v>
      </c>
      <c r="B163">
        <v>0</v>
      </c>
    </row>
    <row r="164" spans="1:2">
      <c r="A164">
        <v>0</v>
      </c>
      <c r="B164">
        <v>0</v>
      </c>
    </row>
    <row r="165" spans="1:2">
      <c r="A165">
        <v>7.4504039999999998</v>
      </c>
      <c r="B165">
        <v>0.204316</v>
      </c>
    </row>
    <row r="166" spans="1:2">
      <c r="A166">
        <v>0</v>
      </c>
      <c r="B166">
        <v>0</v>
      </c>
    </row>
    <row r="167" spans="1:2">
      <c r="A167">
        <v>7.3261609999999999</v>
      </c>
      <c r="B167">
        <v>0.109581</v>
      </c>
    </row>
    <row r="168" spans="1:2">
      <c r="A168">
        <v>0</v>
      </c>
      <c r="B168">
        <v>0</v>
      </c>
    </row>
    <row r="169" spans="1:2">
      <c r="A169">
        <v>0</v>
      </c>
      <c r="B169">
        <v>0</v>
      </c>
    </row>
    <row r="170" spans="1:2">
      <c r="A170">
        <v>5.6352520000000004</v>
      </c>
      <c r="B170">
        <v>6.8564E-2</v>
      </c>
    </row>
    <row r="171" spans="1:2">
      <c r="A171">
        <v>0</v>
      </c>
      <c r="B171">
        <v>0</v>
      </c>
    </row>
    <row r="172" spans="1:2">
      <c r="A172">
        <v>0</v>
      </c>
      <c r="B172">
        <v>4.7597E-2</v>
      </c>
    </row>
    <row r="173" spans="1:2">
      <c r="A173">
        <v>5.065353</v>
      </c>
      <c r="B173">
        <v>0</v>
      </c>
    </row>
    <row r="174" spans="1:2">
      <c r="A174">
        <v>0</v>
      </c>
      <c r="B174">
        <v>0</v>
      </c>
    </row>
    <row r="175" spans="1:2">
      <c r="A175">
        <v>4.2357570000000004</v>
      </c>
      <c r="B175">
        <v>3.1220999999999999E-2</v>
      </c>
    </row>
    <row r="176" spans="1:2">
      <c r="A176">
        <v>0</v>
      </c>
      <c r="B176">
        <v>0</v>
      </c>
    </row>
    <row r="177" spans="1:2">
      <c r="A177">
        <v>0</v>
      </c>
      <c r="B177">
        <v>0</v>
      </c>
    </row>
    <row r="178" spans="1:2">
      <c r="A178">
        <v>3.56596</v>
      </c>
      <c r="B178">
        <v>1.8058999999999999E-2</v>
      </c>
    </row>
    <row r="179" spans="1:2">
      <c r="A179">
        <v>0</v>
      </c>
      <c r="B179">
        <v>0</v>
      </c>
    </row>
    <row r="180" spans="1:2">
      <c r="A180">
        <v>3.0452530000000002</v>
      </c>
      <c r="B180">
        <v>6.8869999999999999E-3</v>
      </c>
    </row>
    <row r="181" spans="1:2">
      <c r="A181">
        <v>0</v>
      </c>
      <c r="B181">
        <v>0</v>
      </c>
    </row>
    <row r="182" spans="1:2">
      <c r="A182">
        <v>0</v>
      </c>
      <c r="B182">
        <v>0</v>
      </c>
    </row>
    <row r="183" spans="1:2">
      <c r="A183">
        <v>2.3521209999999999</v>
      </c>
      <c r="B183">
        <v>2.1429999999999999E-3</v>
      </c>
    </row>
    <row r="184" spans="1:2">
      <c r="A184">
        <v>0</v>
      </c>
      <c r="B184">
        <v>0</v>
      </c>
    </row>
    <row r="185" spans="1:2">
      <c r="A185">
        <v>1.9590909999999999</v>
      </c>
      <c r="B185">
        <v>6.1200000000000002E-4</v>
      </c>
    </row>
    <row r="186" spans="1:2">
      <c r="A186">
        <v>0</v>
      </c>
      <c r="B186">
        <v>0</v>
      </c>
    </row>
    <row r="187" spans="1:2">
      <c r="A187">
        <v>0</v>
      </c>
      <c r="B187">
        <v>0</v>
      </c>
    </row>
    <row r="188" spans="1:2">
      <c r="A188">
        <v>1.2689900000000001</v>
      </c>
      <c r="B188">
        <v>0</v>
      </c>
    </row>
    <row r="189" spans="1:2">
      <c r="A189">
        <v>0</v>
      </c>
      <c r="B189">
        <v>0</v>
      </c>
    </row>
    <row r="190" spans="1:2">
      <c r="A190">
        <v>0</v>
      </c>
      <c r="B190">
        <v>0</v>
      </c>
    </row>
    <row r="191" spans="1:2">
      <c r="A191">
        <v>0.84434299999999995</v>
      </c>
      <c r="B191">
        <v>0</v>
      </c>
    </row>
    <row r="192" spans="1:2">
      <c r="A192">
        <v>0</v>
      </c>
      <c r="B192">
        <v>0</v>
      </c>
    </row>
    <row r="193" spans="1:2">
      <c r="A193">
        <v>0.44636399999999998</v>
      </c>
      <c r="B193">
        <v>0</v>
      </c>
    </row>
    <row r="194" spans="1:2">
      <c r="A194">
        <v>0</v>
      </c>
      <c r="B194">
        <v>0</v>
      </c>
    </row>
    <row r="195" spans="1:2">
      <c r="A195">
        <v>0</v>
      </c>
      <c r="B195">
        <v>0</v>
      </c>
    </row>
    <row r="196" spans="1:2">
      <c r="A196">
        <v>0.287879</v>
      </c>
      <c r="B196">
        <v>0</v>
      </c>
    </row>
    <row r="197" spans="1:2">
      <c r="A197">
        <v>0</v>
      </c>
      <c r="B197">
        <v>0</v>
      </c>
    </row>
    <row r="198" spans="1:2">
      <c r="A198">
        <v>0.15060599999999999</v>
      </c>
      <c r="B198">
        <v>0</v>
      </c>
    </row>
    <row r="199" spans="1:2">
      <c r="A199">
        <v>0</v>
      </c>
      <c r="B199">
        <v>0</v>
      </c>
    </row>
    <row r="200" spans="1:2">
      <c r="A200">
        <v>0</v>
      </c>
      <c r="B200">
        <v>0</v>
      </c>
    </row>
    <row r="201" spans="1:2">
      <c r="A201">
        <v>7.5454999999999994E-2</v>
      </c>
      <c r="B201">
        <v>0</v>
      </c>
    </row>
    <row r="202" spans="1:2">
      <c r="A202">
        <v>0</v>
      </c>
      <c r="B202">
        <v>0</v>
      </c>
    </row>
    <row r="203" spans="1:2">
      <c r="A203">
        <v>9.3737000000000001E-2</v>
      </c>
      <c r="B203">
        <v>0</v>
      </c>
    </row>
    <row r="204" spans="1:2">
      <c r="A204">
        <v>0</v>
      </c>
      <c r="B204">
        <v>0</v>
      </c>
    </row>
    <row r="205" spans="1:2">
      <c r="A205">
        <v>0</v>
      </c>
      <c r="B205">
        <v>0</v>
      </c>
    </row>
    <row r="206" spans="1:2">
      <c r="A206">
        <v>4.3029999999999999E-2</v>
      </c>
      <c r="B206">
        <v>0</v>
      </c>
    </row>
    <row r="207" spans="1:2">
      <c r="A207">
        <v>0</v>
      </c>
      <c r="B207">
        <v>0</v>
      </c>
    </row>
    <row r="208" spans="1:2">
      <c r="A208">
        <v>0</v>
      </c>
      <c r="B208">
        <v>0</v>
      </c>
    </row>
    <row r="209" spans="1:2">
      <c r="A209">
        <v>1.7777999999999999E-2</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2.23871505525045
2.24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2.2387150552504531</v>
      </c>
      <c r="I4" s="322">
        <f>IF(Measurement!AQ7&lt;&gt;"",NORMSDIST((H6-$B$2)/$B$3)*100,"")</f>
        <v>92.527999904044108</v>
      </c>
      <c r="J4" t="str">
        <f>Measurement!AR7</f>
        <v>건강</v>
      </c>
    </row>
    <row r="5" spans="1:11">
      <c r="B5" s="171">
        <v>-10</v>
      </c>
      <c r="C5" s="171">
        <f>NORMSDIST(($B5-$B$2)/$B$3)*100</f>
        <v>7.1097265868555281E-5</v>
      </c>
      <c r="G5" t="s">
        <v>1539</v>
      </c>
      <c r="H5" s="320">
        <f>IF(Measurement!AQ7&lt;-7,-7,Measurement!AQ7)</f>
        <v>2.2387150552504531</v>
      </c>
      <c r="I5" s="321">
        <f>IF(Measurement!AQ7&lt;&gt;"",0,"")</f>
        <v>0</v>
      </c>
    </row>
    <row r="6" spans="1:11">
      <c r="B6" s="171">
        <f>B5+0.1</f>
        <v>-9.9</v>
      </c>
      <c r="C6" s="171">
        <f t="shared" ref="C6:C57" si="0">NORMSDIST(($B6-$B$2)/$B$3)*100</f>
        <v>9.1781224195367343E-5</v>
      </c>
      <c r="H6" s="320">
        <f>IF(Measurement!AQ7&lt;-7,-7,Measurement!AQ7)</f>
        <v>2.2387150552504531</v>
      </c>
      <c r="I6" s="321">
        <f>IF(Measurement!AQ7&lt;&gt;"",NORMSDIST((H6-$B$2)/$B$3)*100,"")</f>
        <v>92.527999904044108</v>
      </c>
    </row>
    <row r="7" spans="1:11">
      <c r="B7" s="171">
        <f t="shared" ref="B7:B70" si="1">B6+0.1</f>
        <v>-9.8000000000000007</v>
      </c>
      <c r="C7" s="171">
        <f t="shared" si="0"/>
        <v>1.1818368021892541E-4</v>
      </c>
      <c r="D7" s="171"/>
      <c r="H7" s="320">
        <f>IF(Measurement!AQ7&lt;&gt;"",-7,"")</f>
        <v>-7</v>
      </c>
      <c r="I7" s="321">
        <f>IF(Measurement!AQ7&lt;&gt;"",NORMSDIST((H6-$B$2)/$B$3)*100,"")</f>
        <v>92.527999904044108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57.32</v>
      </c>
      <c r="V4" t="s">
        <v>1218</v>
      </c>
    </row>
    <row r="5" spans="1:29">
      <c r="B5" s="171">
        <v>0</v>
      </c>
      <c r="C5" s="171">
        <f>NORMSDIST(($B5-$B$2)/$B$3)*100</f>
        <v>1.2153167836658598</v>
      </c>
      <c r="H5">
        <f>info!W36</f>
        <v>57.318379999999991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57.318379999999991</v>
      </c>
      <c r="I6" s="171">
        <f>NORMSDIST((H6-$B$2)/$B$3)*100</f>
        <v>62.917033406910626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62.917033406910626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2.4512999999999998</v>
      </c>
    </row>
    <row r="3" spans="1:11" ht="18">
      <c r="A3" s="71" t="s">
        <v>1065</v>
      </c>
      <c r="B3" s="557">
        <v>0.71290976993199895</v>
      </c>
      <c r="C3" s="523"/>
      <c r="H3" s="561" t="s">
        <v>2223</v>
      </c>
      <c r="I3" s="562">
        <f>IF(I2=0,0,NORMSDIST((I2-$B$2)/$B$3)*100)</f>
        <v>78.033042502311005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2.45</v>
      </c>
    </row>
    <row r="6" spans="1:11">
      <c r="B6" s="23">
        <v>0</v>
      </c>
      <c r="C6" s="23">
        <f>NORMSDIST(($B6-$B$2)/$B$3)*100</f>
        <v>0.38478836223957635</v>
      </c>
      <c r="H6" s="205">
        <f>IF(info!V36&gt;I1,I1,info!V36)</f>
        <v>2.4512999999999998</v>
      </c>
      <c r="I6" s="560">
        <v>0</v>
      </c>
    </row>
    <row r="7" spans="1:11">
      <c r="B7" s="23">
        <f>B5+0.05</f>
        <v>0</v>
      </c>
      <c r="C7" s="23">
        <f t="shared" ref="C7:E58" si="0">NORMSDIST(($B7-$B$2)/$B$3)*100</f>
        <v>0.38478836223957635</v>
      </c>
      <c r="H7" s="205">
        <f>IF(info!V36&gt;I1,I1,info!V36)</f>
        <v>2.4512999999999998</v>
      </c>
      <c r="I7" s="560">
        <f>NORMSDIST((H7-$B$2)/$B$3)*100</f>
        <v>78.033042502311005</v>
      </c>
    </row>
    <row r="8" spans="1:11">
      <c r="B8" s="23">
        <f t="shared" ref="B8:B71" si="1">B7+0.05</f>
        <v>0.05</v>
      </c>
      <c r="C8" s="23">
        <f t="shared" si="0"/>
        <v>0.47295624138584591</v>
      </c>
      <c r="D8" s="171"/>
      <c r="H8" s="205">
        <v>0</v>
      </c>
      <c r="I8" s="560">
        <f>NORMSDIST((H7-$B$2)/$B$3)*100</f>
        <v>78.033042502311005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감정변이도2.45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2.4512999999999998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2.4512999999999998</v>
      </c>
      <c r="I6" s="171">
        <f>NORMSDIST((H6-$B$2)/$B$3)*100</f>
        <v>9.3626045765791019E-2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9.3626045765791019E-2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45854.597060185188</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46Yz</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45854.597060185188</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46Yz</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2025-07-16T05:20:15Z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