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nFQ6^1^1^\"/>
    </mc:Choice>
  </mc:AlternateContent>
  <xr:revisionPtr revIDLastSave="0" documentId="13_ncr:1_{4887EB25-832D-4734-8913-B89AD8497619}"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L8" i="46" l="1"/>
  <c r="H7" i="46"/>
  <c r="L8" i="45"/>
  <c r="H7" i="45"/>
  <c r="H7" i="44"/>
  <c r="H7" i="43"/>
  <c r="L8" i="42"/>
  <c r="H7" i="42"/>
  <c r="L8" i="41"/>
  <c r="H7" i="41"/>
  <c r="H7" i="40"/>
  <c r="H7" i="39"/>
  <c r="L8" i="38"/>
  <c r="H7" i="38"/>
  <c r="L8" i="37"/>
  <c r="H7" i="37"/>
  <c r="H7" i="36"/>
  <c r="H7" i="33"/>
  <c r="L8" i="30"/>
  <c r="V2" i="14"/>
  <c r="L8" i="49" s="1"/>
  <c r="U2" i="14"/>
  <c r="R8" i="49" s="1"/>
  <c r="T2" i="14"/>
  <c r="L7" i="49" s="1"/>
  <c r="R2" i="14"/>
  <c r="P2" i="14"/>
  <c r="O2" i="14"/>
  <c r="H8" i="43" s="1"/>
  <c r="L7" i="33" l="1"/>
  <c r="H8" i="36"/>
  <c r="Q8" i="37"/>
  <c r="L7" i="39"/>
  <c r="H8" i="40"/>
  <c r="Q8" i="41"/>
  <c r="L7" i="43"/>
  <c r="H8" i="44"/>
  <c r="Q8" i="45"/>
  <c r="L8" i="36"/>
  <c r="L8" i="40"/>
  <c r="L8" i="44"/>
  <c r="L7" i="30"/>
  <c r="H8" i="33"/>
  <c r="Q8" i="36"/>
  <c r="L7" i="38"/>
  <c r="H8" i="39"/>
  <c r="Q8" i="40"/>
  <c r="L7" i="42"/>
  <c r="Q8" i="44"/>
  <c r="L7" i="46"/>
  <c r="L8" i="33"/>
  <c r="L8" i="39"/>
  <c r="L8" i="43"/>
  <c r="Q2" i="14"/>
  <c r="H8" i="49"/>
  <c r="H8" i="30"/>
  <c r="Q8" i="33"/>
  <c r="L7" i="37"/>
  <c r="H8" i="38"/>
  <c r="Q8" i="39"/>
  <c r="L7" i="41"/>
  <c r="H8" i="42"/>
  <c r="Q8" i="43"/>
  <c r="L7" i="45"/>
  <c r="H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3" i="1"/>
  <c r="I38"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0"/>
  <c r="O7" i="46"/>
  <c r="O7" i="42"/>
  <c r="O7" i="38"/>
  <c r="O7" i="30"/>
  <c r="O7" i="43"/>
  <c r="O7" i="39"/>
  <c r="O7" i="33"/>
  <c r="O7" i="44"/>
  <c r="O7" i="41"/>
  <c r="O7" i="37"/>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Y16" i="1" s="1"/>
  <c r="F209" i="11"/>
  <c r="B209" i="11"/>
  <c r="E209" i="11" s="1"/>
  <c r="A210" i="11"/>
  <c r="L41" i="48" l="1"/>
  <c r="L41" i="18"/>
  <c r="C212" i="17"/>
  <c r="B212" i="17" s="1"/>
  <c r="A213" i="17"/>
  <c r="F210" i="11"/>
  <c r="B210" i="11"/>
  <c r="E210" i="11" s="1"/>
  <c r="A211" i="11"/>
  <c r="Y7" i="1" l="1"/>
  <c r="Y10" i="1"/>
  <c r="Y8" i="1"/>
  <c r="C213" i="17"/>
  <c r="B213" i="17" s="1"/>
  <c r="A214" i="17"/>
  <c r="F211" i="11"/>
  <c r="A212" i="11"/>
  <c r="B211" i="11"/>
  <c r="E211" i="11" s="1"/>
  <c r="Y11" i="1" l="1"/>
  <c r="Y14" i="1"/>
  <c r="Y9" i="1"/>
  <c r="L33" i="48"/>
  <c r="L33" i="18"/>
  <c r="L35" i="48"/>
  <c r="L35" i="18"/>
  <c r="L32" i="48"/>
  <c r="L32" i="18"/>
  <c r="C214" i="17"/>
  <c r="B214" i="17" s="1"/>
  <c r="Y12" i="1" s="1"/>
  <c r="A215" i="17"/>
  <c r="F212" i="11"/>
  <c r="A213" i="11"/>
  <c r="B212" i="11"/>
  <c r="E212" i="11" s="1"/>
  <c r="L34" i="48" l="1"/>
  <c r="L34" i="18"/>
  <c r="L39" i="48"/>
  <c r="L39" i="18"/>
  <c r="L37" i="48"/>
  <c r="L37"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G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A262" i="17"/>
  <c r="F259" i="11"/>
  <c r="K17" i="18" l="1"/>
  <c r="CH10" i="1"/>
  <c r="CJ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H11" i="1" l="1"/>
  <c r="CJ11" i="1"/>
  <c r="G13" i="18" s="1"/>
  <c r="CK11" i="1"/>
  <c r="C274" i="17"/>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J17" i="1" l="1"/>
  <c r="CK17" i="1"/>
  <c r="C289" i="17"/>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J18" i="1" l="1"/>
  <c r="G13" i="48" s="1"/>
  <c r="CK18" i="1"/>
  <c r="C301" i="17"/>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H12" i="1" l="1"/>
  <c r="CJ19" i="1"/>
  <c r="D15" i="48" s="1"/>
  <c r="CK19" i="1"/>
  <c r="CJ12" i="1"/>
  <c r="D15" i="18" s="1"/>
  <c r="CK12" i="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AW23" i="11" s="1"/>
  <c r="F616" i="11"/>
  <c r="AR26" i="11" l="1"/>
  <c r="X21" i="11" s="1"/>
  <c r="AS26" i="11"/>
  <c r="C620" i="17"/>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<sst xmlns="http://schemas.openxmlformats.org/spreadsheetml/2006/main" count="7311" uniqueCount="2585">
  <si>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</si>
  <si>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</si>
  <si>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</si>
  <si>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</si>
  <si>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</si>
  <si>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</si>
  <si>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</si>
  <si>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</si>
  <si>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</si>
  <si>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</si>
  <si>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</si>
  <si>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</si>
  <si>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</si>
  <si>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</si>
  <si>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</si>
  <si>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</si>
  <si>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</si>
  <si>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</si>
  <si>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</si>
  <si>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</si>
  <si>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</si>
  <si>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</si>
  <si>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</si>
  <si>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</si>
  <si>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</si>
  <si>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</si>
  <si>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</si>
  <si>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</si>
  <si>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</si>
  <si>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</si>
  <si>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</si>
  <si>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</si>
  <si>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</si>
  <si>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</si>
  <si>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</si>
  <si>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</si>
  <si>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</si>
  <si>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</si>
  <si>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</si>
  <si>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</si>
  <si>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</si>
  <si>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</si>
  <si>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</si>
  <si>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</si>
  <si>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</si>
  <si>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</si>
  <si>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</si>
  <si>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</si>
  <si>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</si>
  <si>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</si>
  <si>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</si>
  <si>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</si>
  <si>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</si>
  <si>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</si>
  <si>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</si>
  <si>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</si>
  <si>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</si>
  <si>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</si>
  <si>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</si>
  <si>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</si>
  <si>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</si>
  <si>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</si>
  <si>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</si>
  <si>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</si>
  <si>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</si>
  <si>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</si>
  <si>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</si>
  <si>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</si>
  <si>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</si>
  <si>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</si>
  <si>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</si>
  <si>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</si>
  <si>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</si>
  <si>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</si>
  <si>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</si>
  <si>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</si>
  <si>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</si>
  <si>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</si>
  <si>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</si>
  <si>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</si>
  <si>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</si>
  <si>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</si>
  <si>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</si>
  <si>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</si>
  <si>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</si>
  <si>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</si>
  <si>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</si>
  <si>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</si>
  <si>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</si>
  <si>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</si>
  <si>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</si>
  <si>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</si>
  <si>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</si>
  <si>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</si>
  <si>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</si>
  <si>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</si>
  <si>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</si>
  <si>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</si>
  <si>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</si>
  <si>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</si>
  <si>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</si>
  <si>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</si>
  <si>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</si>
  <si>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</si>
  <si>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</si>
  <si>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</si>
  <si>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</si>
  <si>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</si>
  <si>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</si>
  <si>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</si>
  <si>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</si>
  <si>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</si>
  <si>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</si>
  <si>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</si>
  <si>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</si>
  <si>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</si>
  <si>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</si>
  <si>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</si>
  <si>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</si>
  <si>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</si>
  <si>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</si>
  <si>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</si>
  <si>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</si>
  <si>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</si>
  <si>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</si>
  <si>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</si>
  <si>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</si>
  <si>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</si>
  <si>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</si>
  <si>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</si>
  <si>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</si>
  <si>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</si>
  <si>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</si>
  <si>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</si>
  <si>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</si>
  <si>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</si>
  <si>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</si>
  <si>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</si>
  <si>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</si>
  <si>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</si>
  <si>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</si>
  <si>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</si>
  <si>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</si>
  <si>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</si>
  <si>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</si>
  <si>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</si>
  <si>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</si>
  <si>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</si>
  <si>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</si>
  <si>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</si>
  <si>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</si>
  <si>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</si>
  <si>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</si>
  <si>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</si>
  <si>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</si>
  <si>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</si>
  <si>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</si>
  <si>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</si>
  <si>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</si>
  <si>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</si>
  <si>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</si>
  <si>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</si>
  <si>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</si>
  <si>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</si>
  <si>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</si>
  <si>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</si>
  <si>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</si>
  <si>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</si>
  <si>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</si>
  <si>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</si>
  <si>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</si>
  <si>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</si>
  <si>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</si>
  <si>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</si>
  <si>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</si>
  <si>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</si>
  <si>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</si>
  <si>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</si>
  <si>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</si>
  <si>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</si>
  <si>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</si>
  <si>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</si>
  <si>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</si>
  <si>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</si>
  <si>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</si>
  <si>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</si>
  <si>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</si>
  <si>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</si>
  <si>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</si>
  <si>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</si>
  <si>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</si>
  <si>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</si>
  <si>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</si>
  <si>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</si>
  <si>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</si>
  <si>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</si>
  <si>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</si>
  <si>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</si>
  <si>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</si>
  <si>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</si>
  <si>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</si>
  <si>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</si>
  <si>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</si>
  <si>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</si>
  <si>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</si>
  <si>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</si>
  <si>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</si>
  <si>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</si>
  <si>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</si>
  <si>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</si>
  <si>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</si>
  <si>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</si>
  <si>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</si>
  <si>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</si>
  <si>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</si>
  <si>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</si>
  <si>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</si>
  <si>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</si>
  <si>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</si>
  <si>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</si>
  <si>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</si>
  <si>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</si>
  <si>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</si>
  <si>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</si>
  <si>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</si>
  <si>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</si>
  <si>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</si>
  <si>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</si>
  <si>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</si>
  <si>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</si>
  <si>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</si>
  <si>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</si>
  <si>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</si>
  <si>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</si>
  <si>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</si>
  <si>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</si>
  <si>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</si>
  <si>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</si>
  <si>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</si>
  <si>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</si>
  <si>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</si>
  <si>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</si>
  <si>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</si>
  <si>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</si>
  <si>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</si>
  <si>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</si>
  <si>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</si>
  <si>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</si>
  <si>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</si>
  <si>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</si>
  <si>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</si>
  <si>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</si>
  <si>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</si>
  <si>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</si>
  <si>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</si>
  <si>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</si>
  <si>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</si>
  <si>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</si>
  <si>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</si>
  <si>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</si>
  <si>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</si>
  <si>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</si>
  <si>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</si>
  <si>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</si>
  <si>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</si>
  <si>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</si>
  <si>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</si>
  <si>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</si>
  <si>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</si>
  <si>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</si>
  <si>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</si>
  <si>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</si>
  <si>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</si>
  <si>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</si>
  <si>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</si>
  <si>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</si>
  <si>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</si>
  <si>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</si>
  <si>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</si>
  <si>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</si>
  <si>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</si>
  <si>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</si>
  <si>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</si>
  <si>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</si>
  <si>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</si>
  <si>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</si>
  <si>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</si>
  <si>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</si>
  <si>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</si>
  <si>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</si>
  <si>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</si>
  <si>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</si>
  <si>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</si>
  <si>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</si>
  <si>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</si>
  <si>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</si>
  <si>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</si>
  <si>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</si>
  <si>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</si>
  <si>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</si>
  <si>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</si>
  <si>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</si>
  <si>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</si>
  <si>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</si>
  <si>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</si>
  <si>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</si>
  <si>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</si>
  <si>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</si>
  <si>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</si>
  <si>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</si>
  <si>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</si>
  <si>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</si>
  <si>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</si>
  <si>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</si>
  <si>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</si>
  <si>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</si>
  <si>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</si>
  <si>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</si>
  <si>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</si>
  <si>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</si>
  <si>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</si>
  <si>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</si>
  <si>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</si>
  <si>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</si>
  <si>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</si>
  <si>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</si>
  <si>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</si>
  <si>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</si>
  <si>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</si>
  <si>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</si>
  <si>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</si>
  <si>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</si>
  <si>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</si>
  <si>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</si>
  <si>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</si>
  <si>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</si>
  <si>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</si>
  <si>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</si>
  <si>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</si>
  <si>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</si>
  <si>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</si>
  <si>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</si>
  <si>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</si>
  <si>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</si>
  <si>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</si>
  <si>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</si>
  <si>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</si>
  <si>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</si>
  <si>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</si>
  <si>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</si>
  <si>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</si>
  <si>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</si>
  <si>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</si>
  <si>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</si>
  <si>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</si>
  <si>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</si>
  <si>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</si>
  <si>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</si>
  <si>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</si>
  <si>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</si>
  <si>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</si>
  <si>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</si>
  <si>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</si>
  <si>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</si>
  <si>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</si>
  <si>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</si>
  <si>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</si>
  <si>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</si>
  <si>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</si>
  <si>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</si>
  <si>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</si>
  <si>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</si>
  <si>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</si>
  <si>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</si>
  <si>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</si>
  <si>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</si>
  <si>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</si>
  <si>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</si>
  <si>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</si>
  <si>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</si>
  <si>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</si>
  <si>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</si>
  <si>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</si>
  <si>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</si>
  <si>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</si>
  <si>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</si>
  <si>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</si>
  <si>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</si>
  <si>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</si>
  <si>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</si>
  <si>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</si>
  <si>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</si>
  <si>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</si>
  <si>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</si>
  <si>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</si>
  <si>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</si>
  <si>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</si>
  <si>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</si>
  <si>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</si>
  <si>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</si>
  <si>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</si>
  <si>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</si>
  <si>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</si>
  <si>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</si>
  <si>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</si>
  <si>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</si>
  <si>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</si>
  <si>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</si>
  <si>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</si>
  <si>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</si>
  <si>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</si>
  <si>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</si>
  <si>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</si>
  <si>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</si>
  <si>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</si>
  <si>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</si>
  <si>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</si>
  <si>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</si>
  <si>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</si>
  <si>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</si>
  <si>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</si>
  <si>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</si>
  <si>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</si>
  <si>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</si>
  <si>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</si>
  <si>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</si>
  <si>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</si>
  <si>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</si>
  <si>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</si>
  <si>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</si>
  <si>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</si>
  <si>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</si>
  <si>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</si>
  <si>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</si>
  <si>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</si>
  <si>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</si>
  <si>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</si>
  <si>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</si>
  <si>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</si>
  <si>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</si>
  <si>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</si>
  <si>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</si>
  <si>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</si>
  <si>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</si>
  <si>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</si>
  <si>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</si>
  <si>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</si>
  <si>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</si>
  <si>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</si>
  <si>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</si>
  <si>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</si>
  <si>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</si>
  <si>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</si>
  <si>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</si>
  <si>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</si>
  <si>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</si>
  <si>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</si>
  <si>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</si>
  <si>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</si>
  <si>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</si>
  <si>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</si>
  <si>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</si>
  <si>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</si>
  <si>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</si>
  <si>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</si>
  <si>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</si>
  <si>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</si>
  <si>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</si>
  <si>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</si>
  <si>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</si>
  <si>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</si>
  <si>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</si>
  <si>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</si>
  <si>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</si>
  <si>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</si>
  <si>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</si>
  <si>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</si>
  <si>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</si>
  <si>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</si>
  <si>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</si>
  <si>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</si>
  <si>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</si>
  <si>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</si>
  <si>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</si>
  <si>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</si>
  <si>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</si>
  <si>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</si>
  <si>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</si>
  <si>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</si>
  <si>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</si>
  <si>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</si>
  <si>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</si>
  <si>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</si>
  <si>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</si>
  <si>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</si>
  <si>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</si>
  <si>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</si>
  <si>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</si>
  <si>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</si>
  <si>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</si>
  <si>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</si>
  <si>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</si>
  <si>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</si>
  <si>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</si>
  <si>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</si>
  <si>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</si>
  <si>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</si>
  <si>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</si>
  <si>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</si>
  <si>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</si>
  <si>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</si>
  <si>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</si>
  <si>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</si>
  <si>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</si>
  <si>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</si>
  <si>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</si>
  <si>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</si>
  <si>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</si>
  <si>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</si>
  <si>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</si>
  <si>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</si>
  <si>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</si>
  <si>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</si>
  <si>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</si>
  <si>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</si>
  <si>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</si>
  <si>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</si>
  <si>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</si>
  <si>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</si>
  <si>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</si>
  <si>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</si>
  <si>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</si>
  <si>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</si>
  <si>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</si>
  <si>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</si>
  <si>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</si>
  <si>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</si>
  <si>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</si>
  <si>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</si>
  <si>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</si>
  <si>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</si>
  <si>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</si>
  <si>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</si>
  <si>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</si>
  <si>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</si>
  <si>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</si>
  <si>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</si>
  <si>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</si>
  <si>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</si>
  <si>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</si>
  <si>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</si>
  <si>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</si>
  <si>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</si>
  <si>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</si>
  <si>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</si>
  <si>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</si>
  <si>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</si>
  <si>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</si>
  <si>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</si>
  <si>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</si>
  <si>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</si>
  <si>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</si>
  <si>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</si>
  <si>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</si>
  <si>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</si>
  <si>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</si>
  <si>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</si>
  <si>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</si>
  <si>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</si>
  <si>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</si>
  <si>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</si>
  <si>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</si>
  <si>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</si>
  <si>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</si>
  <si>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</si>
  <si>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</si>
  <si>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</si>
  <si>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</si>
  <si>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</si>
  <si>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</si>
  <si>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</si>
  <si>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</si>
  <si>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</si>
  <si>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</si>
  <si>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</si>
  <si>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</si>
  <si>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</si>
  <si>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</si>
  <si>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</si>
  <si>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</si>
  <si>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</si>
  <si>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</si>
  <si>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</si>
  <si>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</si>
  <si>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</si>
  <si>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</si>
  <si>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</si>
  <si>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</si>
  <si>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</si>
  <si>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</si>
  <si>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</si>
  <si>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</si>
  <si>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</si>
  <si>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</si>
  <si>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</si>
  <si>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</si>
  <si>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</si>
  <si>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</si>
  <si>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</si>
  <si>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</si>
  <si>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</si>
  <si>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</si>
  <si>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</si>
  <si>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</si>
  <si>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</si>
  <si>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</si>
  <si>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</si>
  <si>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</si>
  <si>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</si>
  <si>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</si>
  <si>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</si>
  <si>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</si>
  <si>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</si>
  <si>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</si>
  <si>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</si>
  <si>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</si>
  <si>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</si>
  <si>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</si>
  <si>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</si>
  <si>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</si>
  <si>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</si>
  <si>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</si>
  <si>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</si>
  <si>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</si>
  <si>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</si>
  <si>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</si>
  <si>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</si>
  <si>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</si>
  <si>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</si>
  <si>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</si>
  <si>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</si>
  <si>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</si>
  <si>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</si>
  <si>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</si>
  <si>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</si>
  <si>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</si>
  <si>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</si>
  <si>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</si>
  <si>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</si>
  <si>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</si>
  <si>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</si>
  <si>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</si>
  <si>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</si>
  <si>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</si>
  <si>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</si>
  <si>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</si>
  <si>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</si>
  <si>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</si>
  <si>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</si>
  <si>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</si>
  <si>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</si>
  <si>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</si>
  <si>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</si>
  <si>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</si>
  <si>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</si>
  <si>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</si>
  <si>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</si>
  <si>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</si>
  <si>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</si>
  <si>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</si>
  <si>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</si>
  <si>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</si>
  <si>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</si>
  <si>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</si>
  <si>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</si>
  <si>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</si>
  <si>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</si>
  <si>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</si>
  <si>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</si>
  <si>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</si>
  <si>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</si>
  <si>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</si>
  <si>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</si>
  <si>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</si>
  <si>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</si>
  <si>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</si>
  <si>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</si>
  <si>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</si>
  <si>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</si>
  <si>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</si>
  <si>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</si>
  <si>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</si>
  <si>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</si>
  <si>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</si>
  <si>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</si>
  <si>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</si>
  <si>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</si>
  <si>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</si>
  <si>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</si>
  <si>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</si>
  <si>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</si>
  <si>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</si>
  <si>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</si>
  <si>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</si>
  <si>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</si>
  <si>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</si>
  <si>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</si>
  <si>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</si>
  <si>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</si>
  <si>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</si>
  <si>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</si>
  <si>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</si>
  <si>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</si>
  <si>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</si>
  <si>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</si>
  <si>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</si>
  <si>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</si>
  <si>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</si>
  <si>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</si>
  <si>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</si>
  <si>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</si>
  <si>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</si>
  <si>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</si>
  <si>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</si>
  <si>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</si>
  <si>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</si>
  <si>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</si>
  <si>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</si>
  <si>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</si>
  <si>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</si>
  <si>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</si>
  <si>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</si>
  <si>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</si>
  <si>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</si>
  <si>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</si>
  <si>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</si>
  <si>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</si>
  <si>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</si>
  <si>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</si>
  <si>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</si>
  <si>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</si>
  <si>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</si>
  <si>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</si>
  <si>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</si>
  <si>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</si>
  <si>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</si>
  <si>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</si>
  <si>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</si>
  <si>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</si>
  <si>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</si>
  <si>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</si>
  <si>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</si>
  <si>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</si>
  <si>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</si>
  <si>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</si>
  <si>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</si>
  <si>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</si>
  <si>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</si>
  <si>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</si>
  <si>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</si>
  <si>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</si>
  <si>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</si>
  <si>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</si>
  <si>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</si>
  <si>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</si>
  <si>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</si>
  <si>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</si>
  <si>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</si>
  <si>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</si>
  <si>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</si>
  <si>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</si>
  <si>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</si>
  <si>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</si>
  <si>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</si>
  <si>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</si>
  <si>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</si>
  <si>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</si>
  <si>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</si>
  <si>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</si>
  <si>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</si>
  <si>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</si>
  <si>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</si>
  <si>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</si>
  <si>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</si>
  <si>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</si>
  <si>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</si>
  <si>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</si>
  <si>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</si>
  <si>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</si>
  <si>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</si>
  <si>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</si>
  <si>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</si>
  <si>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</si>
  <si>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</si>
  <si>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</si>
  <si>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</si>
  <si>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</si>
  <si>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</si>
  <si>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</si>
  <si>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</si>
  <si>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</si>
  <si>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</si>
  <si>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</si>
  <si>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</si>
  <si>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</si>
  <si>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</si>
  <si>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</si>
  <si>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</si>
  <si>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</si>
  <si>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</si>
  <si>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</si>
  <si>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</si>
  <si>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</si>
  <si>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</si>
  <si>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</si>
  <si>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</si>
  <si>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</si>
  <si>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</si>
  <si>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</si>
  <si>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</si>
  <si>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</si>
  <si>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</si>
  <si>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</si>
  <si>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</si>
  <si>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</si>
  <si>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</si>
  <si>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</si>
  <si>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</si>
  <si>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</si>
  <si>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</si>
  <si>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</si>
  <si>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</si>
  <si>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</si>
  <si>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</si>
  <si>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</si>
  <si>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</si>
  <si>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</si>
  <si>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</si>
  <si>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</si>
  <si>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</si>
  <si>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</si>
  <si>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</si>
  <si>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</si>
  <si>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</si>
  <si>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</si>
  <si>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</si>
  <si>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</si>
  <si>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</si>
  <si>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</si>
  <si>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</si>
  <si>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</si>
  <si>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</si>
  <si>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</si>
  <si>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</si>
  <si>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</si>
  <si>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</si>
  <si>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</si>
  <si>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</si>
  <si>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</si>
  <si>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</si>
  <si>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</si>
  <si>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</si>
  <si>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</si>
  <si>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</si>
  <si>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</si>
  <si>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</si>
  <si>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</si>
  <si>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</si>
  <si>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</si>
  <si>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</si>
  <si>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</si>
  <si>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</si>
  <si>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</si>
  <si>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</si>
  <si>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</si>
  <si>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</si>
  <si>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</si>
  <si>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</si>
  <si>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</si>
  <si>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</si>
  <si>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</si>
  <si>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</si>
  <si>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</si>
  <si>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</si>
  <si>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</si>
  <si>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</si>
  <si>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</si>
  <si>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</si>
  <si>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</si>
  <si>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</si>
  <si>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</si>
  <si>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</si>
  <si>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</si>
  <si>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</si>
  <si>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</si>
  <si>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</si>
  <si>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</si>
  <si>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</si>
  <si>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</si>
  <si>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</si>
  <si>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</si>
  <si>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</si>
  <si>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</si>
  <si>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</si>
  <si>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</si>
  <si>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</si>
  <si>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</si>
  <si>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</si>
  <si>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</si>
  <si>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</si>
  <si>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</si>
  <si>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</si>
  <si>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</si>
  <si>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</si>
  <si>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</si>
  <si>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</si>
  <si>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</si>
  <si>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</si>
  <si>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</si>
  <si>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</si>
  <si>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</si>
  <si>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</si>
  <si>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</si>
  <si>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</si>
  <si>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</si>
  <si>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</si>
  <si>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</si>
  <si>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</si>
  <si>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</si>
  <si>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</si>
  <si>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</si>
  <si>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</si>
  <si>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</si>
  <si>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</si>
  <si>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</si>
  <si>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</si>
  <si>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</si>
  <si>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</si>
  <si>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</si>
  <si>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</si>
  <si>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</si>
  <si>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</si>
  <si>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</si>
  <si>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</si>
  <si>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</si>
  <si>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</si>
  <si>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</si>
  <si>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</si>
  <si>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</si>
  <si>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</si>
  <si>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</si>
  <si>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</si>
  <si>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</si>
  <si>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</si>
  <si>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</si>
  <si>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</si>
  <si>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</si>
  <si>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</si>
  <si>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</si>
  <si>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</si>
  <si>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</si>
  <si>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</si>
  <si>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</si>
  <si>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</si>
  <si>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</si>
  <si>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</si>
  <si>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</si>
  <si>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</si>
  <si>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</si>
  <si>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</si>
  <si>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</si>
  <si>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</si>
  <si>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</si>
  <si>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</si>
  <si>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</si>
  <si>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</si>
  <si>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</si>
  <si>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</si>
  <si>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</si>
  <si>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</si>
  <si>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</si>
  <si>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</si>
  <si>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</si>
  <si>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</si>
  <si>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</si>
  <si>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</si>
  <si>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</si>
  <si>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</si>
  <si>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</si>
  <si>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</si>
  <si>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</si>
  <si>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</si>
  <si>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</si>
  <si>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</si>
  <si>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</si>
  <si>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</si>
  <si>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</si>
  <si>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</si>
  <si>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</si>
  <si>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</si>
  <si>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</si>
  <si>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</si>
  <si>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</si>
  <si>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</si>
  <si>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</si>
  <si>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</si>
  <si>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</si>
  <si>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</si>
  <si>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</si>
  <si>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</si>
  <si>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</si>
  <si>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</si>
  <si>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</si>
  <si>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</si>
  <si>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</si>
  <si>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</si>
  <si>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</si>
  <si>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</si>
  <si>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</si>
  <si>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</si>
  <si>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</si>
  <si>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</si>
  <si>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</si>
  <si>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</si>
  <si>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</si>
  <si>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</si>
  <si>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</si>
  <si>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</si>
  <si>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</si>
  <si>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</si>
  <si>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</si>
  <si>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</si>
  <si>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</si>
  <si>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</si>
  <si>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</si>
  <si>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</si>
  <si>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</si>
  <si>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</si>
  <si>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</si>
  <si>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</si>
  <si>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</si>
  <si>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</si>
  <si>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</si>
  <si>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</si>
  <si>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</si>
  <si>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</si>
  <si>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</si>
  <si>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</si>
  <si>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</si>
  <si>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</si>
  <si>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</si>
  <si>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</si>
  <si>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</si>
  <si>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</si>
  <si>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</si>
  <si>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</si>
  <si>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</si>
  <si>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</si>
  <si>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</si>
  <si>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</si>
  <si>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</si>
  <si>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</si>
  <si>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</si>
  <si>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</si>
  <si>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</si>
  <si>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</si>
  <si>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</si>
  <si>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</si>
  <si>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</si>
  <si>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</si>
  <si>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</si>
  <si>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</si>
  <si>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</si>
  <si>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</si>
  <si>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</si>
  <si>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</si>
  <si>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</si>
  <si>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</si>
  <si>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</si>
  <si>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</si>
  <si>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</si>
  <si>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</si>
  <si>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</si>
  <si>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</si>
  <si>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</si>
  <si>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</si>
  <si>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</si>
  <si>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</si>
  <si>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</si>
  <si>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</si>
  <si>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</si>
  <si>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</si>
  <si>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</si>
  <si>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</si>
  <si>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</si>
  <si>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</si>
  <si>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</si>
  <si>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</si>
  <si>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</si>
  <si>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</si>
  <si>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</si>
  <si>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</si>
  <si>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</si>
  <si>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</si>
  <si>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</si>
  <si>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</si>
  <si>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</si>
  <si>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</si>
  <si>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</si>
  <si>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</si>
  <si>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</si>
  <si>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</si>
  <si>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</si>
  <si>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</si>
  <si>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</si>
  <si>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</si>
  <si>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</si>
  <si>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</si>
  <si>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</si>
  <si>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</si>
  <si>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</si>
  <si>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</si>
  <si>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</si>
  <si>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</si>
  <si>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</si>
  <si>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</si>
  <si>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</si>
  <si>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</si>
  <si>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</si>
  <si>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</si>
  <si>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</si>
  <si>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</si>
  <si>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</si>
  <si>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</si>
  <si>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</si>
  <si>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</si>
  <si>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</si>
  <si>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</si>
  <si>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</si>
  <si>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</si>
  <si>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</si>
  <si>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</si>
  <si>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</si>
  <si>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</si>
  <si>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</si>
  <si>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</si>
  <si>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</si>
  <si>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</si>
  <si>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</si>
  <si>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</si>
  <si>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</si>
  <si>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</si>
  <si>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</si>
  <si>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</si>
  <si>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</si>
  <si>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</si>
  <si>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</si>
  <si>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</si>
  <si>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</si>
  <si>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</si>
  <si>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</si>
  <si>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</si>
  <si>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</si>
  <si>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</si>
  <si>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</si>
  <si>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</si>
  <si>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</si>
  <si>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</si>
  <si>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</si>
  <si>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</si>
  <si>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</si>
  <si>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</si>
  <si>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</si>
  <si>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</si>
  <si>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</si>
  <si>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</si>
  <si>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</si>
  <si>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</si>
  <si>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</si>
  <si>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</si>
  <si>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</si>
  <si>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</si>
  <si>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</si>
  <si>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</si>
  <si>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</si>
  <si>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</si>
  <si>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</si>
  <si>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</si>
  <si>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</si>
  <si>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</si>
  <si>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</si>
  <si>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</si>
  <si>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</si>
  <si>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</si>
  <si>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</si>
  <si>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</si>
  <si>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</si>
  <si>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</si>
  <si>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</si>
  <si>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</si>
  <si>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</si>
  <si>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</si>
  <si>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</si>
  <si>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</si>
  <si>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</si>
  <si>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</si>
  <si>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</si>
  <si>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</si>
  <si>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</si>
  <si>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</si>
  <si>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</si>
  <si>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</si>
  <si>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</si>
  <si>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</si>
  <si>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</si>
  <si>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</si>
  <si>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</si>
  <si>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</si>
  <si>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</si>
  <si>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</si>
  <si>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</si>
  <si>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</si>
  <si>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</si>
  <si>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</si>
  <si>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</si>
  <si>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</si>
  <si>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</si>
  <si>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</si>
  <si>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</si>
  <si>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</si>
  <si>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</si>
  <si>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</si>
  <si>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</si>
  <si>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</si>
  <si>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</si>
  <si>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</si>
  <si>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</si>
  <si>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</si>
  <si>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</si>
  <si>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</si>
  <si>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</si>
  <si>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</si>
  <si>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</si>
  <si>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</si>
  <si>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</si>
  <si>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</si>
  <si>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</si>
  <si>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</si>
  <si>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</si>
  <si>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</si>
  <si>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</si>
  <si>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</si>
  <si>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</si>
  <si>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</si>
  <si>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</si>
  <si>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</si>
  <si>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</si>
  <si>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</si>
  <si>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</si>
  <si>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</si>
  <si>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</si>
  <si>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</si>
  <si>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</si>
  <si>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</si>
  <si>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</si>
  <si>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</si>
  <si>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</si>
  <si>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</si>
  <si>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</si>
  <si>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</si>
  <si>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</si>
  <si>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</si>
  <si>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</si>
  <si>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</si>
  <si>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</si>
  <si>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</si>
  <si>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</si>
  <si>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</si>
  <si>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</si>
  <si>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</si>
  <si>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</si>
  <si>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</si>
  <si>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</si>
  <si>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</si>
  <si>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</si>
  <si>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</si>
  <si>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</si>
  <si>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</si>
  <si>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</si>
  <si>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</si>
  <si>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</si>
  <si>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</si>
  <si>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</si>
  <si>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</si>
  <si>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</si>
  <si>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</si>
  <si>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</si>
  <si>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</si>
  <si>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</si>
  <si>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</si>
  <si>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</si>
  <si>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</si>
  <si>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</si>
  <si>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</si>
  <si>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</si>
  <si>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</si>
  <si>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</si>
  <si>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</si>
  <si>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</si>
  <si>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</si>
  <si>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</si>
  <si>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</si>
  <si>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</si>
  <si>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</si>
  <si>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</si>
  <si>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</si>
  <si>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</si>
  <si>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</si>
  <si>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</si>
  <si>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</si>
  <si>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</si>
  <si>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</si>
  <si>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</si>
  <si>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</si>
  <si>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</si>
  <si>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</si>
  <si>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</si>
  <si>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</si>
  <si>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</si>
  <si>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</si>
  <si>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</si>
  <si>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</si>
  <si>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</si>
  <si>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</si>
  <si>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</si>
  <si>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</si>
  <si>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</si>
  <si>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</si>
  <si>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</si>
  <si>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</si>
  <si>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</si>
  <si>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</si>
  <si>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</si>
  <si>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</si>
  <si>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</si>
  <si>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</si>
  <si>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</si>
  <si>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</si>
  <si>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</si>
  <si>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</si>
  <si>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</si>
  <si>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</si>
  <si>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</si>
  <si>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</si>
  <si>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</si>
  <si>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</si>
  <si>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</si>
  <si>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</si>
  <si>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</si>
  <si>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</si>
  <si>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</si>
  <si>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</si>
  <si>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</si>
  <si>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</si>
  <si>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</si>
  <si>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</si>
  <si>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</si>
  <si>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</si>
  <si>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</si>
  <si>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</si>
  <si>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</si>
  <si>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</si>
  <si>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</si>
  <si>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</si>
  <si>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</si>
  <si>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</si>
  <si>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</si>
  <si>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</si>
  <si>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</si>
  <si>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</si>
  <si>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</si>
  <si>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</si>
  <si>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</si>
  <si>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</si>
  <si>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</si>
  <si>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</si>
  <si>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</si>
  <si>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</si>
  <si>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</si>
  <si>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</si>
  <si>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</si>
  <si>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</si>
  <si>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</si>
  <si>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</si>
  <si>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</si>
  <si>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</si>
  <si>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</si>
  <si>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</si>
  <si>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</si>
  <si>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</si>
  <si>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</si>
  <si>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</si>
  <si>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</si>
  <si>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</si>
  <si>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</si>
  <si>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</si>
  <si>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</si>
  <si>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</si>
  <si>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</si>
  <si>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</si>
  <si>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</si>
  <si>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</si>
  <si>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</si>
  <si>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</si>
  <si>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</si>
  <si>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</si>
  <si>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</si>
  <si>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</si>
  <si>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</si>
  <si>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</si>
  <si>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</si>
  <si>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</si>
  <si>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</si>
  <si>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</si>
  <si>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</si>
  <si>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</si>
  <si>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</si>
  <si>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</si>
  <si>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</si>
  <si>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</si>
  <si>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</si>
  <si>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</si>
  <si>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</si>
  <si>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</si>
  <si>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</si>
  <si>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</si>
  <si>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</si>
  <si>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</si>
  <si>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</si>
  <si>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</si>
  <si>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</si>
  <si>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</si>
  <si>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</si>
  <si>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</si>
  <si>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</si>
  <si>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</si>
  <si>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</si>
  <si>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</si>
  <si>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</si>
  <si>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</si>
  <si>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</si>
  <si>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</si>
  <si>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</si>
  <si>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</si>
  <si>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</si>
  <si>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</si>
  <si>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</si>
  <si>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</si>
  <si>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</si>
  <si>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</si>
  <si>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</si>
  <si>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</si>
  <si>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</si>
  <si>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</si>
  <si>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</si>
  <si>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</si>
  <si>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</si>
  <si>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</si>
  <si>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</si>
  <si>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</si>
  <si>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</si>
  <si>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</si>
  <si>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</si>
  <si>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</si>
  <si>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</si>
  <si>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</si>
  <si>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</si>
  <si>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</si>
  <si>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</si>
  <si>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</si>
  <si>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</si>
  <si>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</si>
  <si>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</si>
  <si>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</si>
  <si>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</si>
  <si>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</si>
  <si>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</si>
  <si>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</si>
  <si>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</si>
  <si>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</si>
  <si>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</si>
  <si>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</si>
  <si>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</si>
  <si>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</si>
  <si>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</si>
  <si>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</si>
  <si>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</si>
  <si>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</si>
  <si>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</si>
  <si>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</si>
  <si>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</si>
  <si>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</si>
  <si>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</si>
  <si>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</si>
  <si>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</si>
  <si>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</si>
  <si>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</si>
  <si>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</si>
  <si>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</si>
  <si>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</si>
  <si>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</si>
  <si>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</si>
  <si>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</si>
  <si>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</si>
  <si>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</si>
  <si>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</si>
  <si>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</si>
  <si>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</si>
  <si>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</si>
  <si>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</si>
  <si>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</si>
  <si>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</si>
  <si>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</si>
  <si>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</si>
  <si>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</si>
  <si>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</si>
  <si>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</si>
  <si>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</si>
  <si>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</si>
  <si>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</si>
  <si>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</si>
  <si>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</si>
  <si>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</si>
  <si>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</si>
  <si>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</si>
  <si>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</si>
  <si>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</si>
  <si>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</si>
  <si>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</si>
  <si>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</si>
  <si>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</si>
  <si>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</si>
  <si>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</si>
  <si>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</si>
  <si>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</si>
  <si>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</si>
  <si>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</si>
  <si>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</si>
  <si>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</si>
  <si>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</si>
  <si>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</si>
  <si>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</si>
  <si>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</si>
  <si>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</si>
  <si>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</si>
  <si>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</si>
  <si>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</si>
  <si>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</si>
  <si>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</si>
  <si>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</si>
  <si>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</si>
  <si>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</si>
  <si>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</si>
  <si>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</si>
  <si>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</si>
  <si>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</si>
  <si>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</si>
  <si>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</si>
  <si>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</si>
  <si>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</si>
  <si>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</si>
  <si>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</si>
  <si>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</si>
  <si>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</si>
  <si>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</si>
  <si>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</si>
  <si>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</si>
  <si>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</si>
  <si>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</si>
  <si>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</si>
  <si>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</si>
  <si>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</si>
  <si>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</si>
  <si>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</si>
  <si>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</si>
  <si>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</si>
  <si>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</si>
  <si>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</si>
  <si>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</si>
  <si>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</si>
  <si>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</si>
  <si>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</si>
  <si>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</si>
  <si>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</si>
  <si>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</si>
  <si>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</si>
  <si>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</si>
  <si>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</si>
  <si>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</si>
  <si>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</si>
  <si>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</si>
  <si>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</si>
  <si>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</si>
  <si>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</si>
  <si>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</si>
  <si>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</si>
  <si>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</si>
  <si>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</si>
  <si>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</si>
  <si>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</si>
  <si>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</si>
  <si>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</si>
  <si>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</si>
  <si>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</si>
  <si>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</si>
  <si>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</si>
  <si>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</si>
  <si>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</si>
  <si>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</si>
  <si>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</si>
  <si>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</si>
  <si>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</si>
  <si>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</si>
  <si>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</si>
  <si>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</si>
  <si>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</si>
  <si>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</si>
  <si>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</si>
  <si>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</si>
  <si>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</si>
  <si>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</si>
  <si>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</si>
  <si>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</si>
  <si>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</si>
  <si>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</si>
  <si>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</si>
  <si>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</si>
  <si>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</si>
  <si>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</si>
  <si>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</si>
  <si>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</si>
  <si>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</si>
  <si>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</si>
  <si>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</si>
  <si>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</si>
  <si>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</si>
  <si>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</si>
  <si>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</si>
  <si>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</si>
  <si>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</si>
  <si>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</si>
  <si>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</si>
  <si>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</si>
  <si>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</si>
  <si>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</si>
  <si>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</si>
  <si>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</si>
  <si>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</si>
  <si>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</si>
  <si>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</si>
  <si>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</si>
  <si>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</si>
  <si>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</si>
  <si>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</si>
  <si>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</si>
  <si>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</si>
  <si>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</si>
  <si>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</si>
  <si>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</si>
  <si>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</si>
  <si>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</si>
  <si>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</si>
  <si>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</si>
  <si>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</si>
  <si>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</si>
  <si>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</si>
  <si>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</si>
  <si>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</si>
  <si>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</si>
  <si>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</si>
  <si>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</si>
  <si>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</si>
  <si>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</si>
  <si>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</si>
  <si>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</si>
  <si>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</si>
  <si>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</si>
  <si>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</si>
  <si>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</si>
  <si>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</si>
  <si>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</si>
  <si>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</si>
  <si>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</si>
  <si>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</si>
  <si>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</si>
  <si>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</si>
  <si>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</si>
  <si>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</si>
  <si>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</si>
  <si>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</si>
  <si>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</si>
  <si>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</si>
  <si>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</si>
  <si>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</si>
  <si>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</si>
  <si>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</si>
  <si>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</si>
  <si>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</si>
  <si>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</si>
  <si>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</si>
  <si>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</si>
  <si>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</si>
  <si>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</si>
  <si>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</si>
  <si>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</si>
  <si>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</si>
  <si>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</si>
  <si>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</si>
  <si>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</si>
  <si>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</si>
  <si>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</si>
  <si>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</si>
  <si>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</si>
  <si>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</si>
  <si>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</si>
  <si>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</si>
  <si>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</si>
  <si>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</si>
  <si>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</si>
  <si>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</si>
  <si>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</si>
  <si>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</si>
  <si>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</si>
  <si>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</si>
  <si>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</si>
  <si>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</si>
  <si>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</si>
  <si>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</si>
  <si>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</si>
  <si>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</si>
  <si>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</si>
  <si>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</si>
  <si>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</si>
  <si>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</si>
  <si>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</si>
  <si>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</si>
  <si>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</si>
  <si>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</si>
  <si>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</si>
  <si>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</si>
  <si>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</si>
  <si>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</si>
  <si>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</si>
  <si>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</si>
  <si>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</si>
  <si>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</si>
  <si>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</si>
  <si>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</si>
  <si>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</si>
  <si>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</si>
  <si>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</si>
  <si>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</si>
  <si>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</si>
  <si>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</si>
  <si>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</si>
  <si>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</si>
  <si>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</si>
  <si>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</si>
  <si>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</si>
  <si>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</si>
  <si>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</si>
  <si>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</si>
  <si>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</si>
  <si>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</si>
  <si>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</si>
  <si>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</si>
  <si>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</si>
  <si>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</si>
  <si>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</si>
  <si>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</si>
  <si>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</si>
  <si>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</si>
  <si>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</si>
  <si>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</si>
  <si>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</si>
  <si>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</si>
  <si>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</si>
  <si>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</si>
  <si>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</si>
  <si>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</si>
  <si>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</si>
  <si>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</si>
  <si>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</si>
  <si>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</si>
  <si>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</si>
  <si>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</si>
  <si>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</si>
  <si>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</si>
  <si>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</si>
  <si>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</si>
  <si>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</si>
  <si>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</si>
  <si>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</si>
  <si>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</si>
  <si>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</si>
  <si>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</si>
  <si>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</si>
  <si>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</si>
  <si>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</si>
  <si>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</si>
  <si>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</si>
  <si>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</si>
  <si>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</si>
  <si>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</si>
  <si>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</si>
  <si>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</si>
  <si>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</si>
  <si>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</si>
  <si>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</si>
  <si>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</si>
  <si>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</si>
  <si>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</si>
  <si>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</si>
  <si>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</si>
  <si>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</si>
  <si>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</si>
  <si>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</si>
  <si>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</si>
  <si>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</si>
  <si>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</si>
  <si>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</si>
  <si>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</si>
  <si>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</si>
  <si>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</si>
  <si>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</si>
  <si>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</si>
  <si>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</si>
  <si>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</si>
  <si>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</si>
  <si>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</si>
  <si>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</si>
  <si>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</si>
  <si>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</si>
  <si>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</si>
  <si>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</si>
  <si>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</si>
  <si>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</si>
  <si>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</si>
  <si>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</si>
  <si>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</si>
  <si>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</si>
  <si>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</si>
  <si>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</si>
  <si>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</si>
  <si>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</si>
  <si>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</si>
  <si>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</si>
  <si>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</si>
  <si>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</si>
  <si>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</si>
  <si>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</si>
  <si>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</si>
  <si>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</si>
  <si>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</si>
  <si>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</si>
  <si>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</si>
  <si>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</si>
  <si>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</si>
  <si>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</si>
  <si>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</si>
  <si>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</si>
  <si>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</si>
  <si>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</si>
  <si>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</si>
  <si>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</si>
  <si>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</si>
  <si>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</si>
  <si>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</si>
  <si>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</si>
  <si>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</si>
  <si>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</si>
  <si>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</si>
  <si>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</si>
  <si>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</si>
  <si>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</si>
  <si>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</si>
  <si>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</si>
  <si>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</si>
  <si>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</si>
  <si>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</si>
  <si>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</si>
  <si>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</si>
  <si>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</si>
  <si>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</si>
  <si>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</si>
  <si>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</si>
  <si>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</si>
  <si>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</si>
  <si>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</si>
  <si>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</si>
  <si>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</si>
  <si>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</si>
  <si>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</si>
  <si>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</si>
  <si>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</si>
  <si>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</si>
  <si>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</si>
  <si>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</si>
  <si>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</si>
  <si>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</si>
  <si>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</si>
  <si>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</si>
  <si>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</si>
  <si>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</si>
  <si>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</si>
  <si>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</si>
  <si>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</si>
  <si>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</si>
  <si>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</si>
  <si>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</si>
  <si>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</si>
  <si>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</si>
  <si>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</si>
  <si>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</si>
  <si>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</si>
  <si>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</si>
  <si>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</si>
  <si>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</si>
  <si>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</si>
  <si>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</si>
  <si>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</si>
  <si>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</si>
  <si>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</si>
  <si>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</si>
  <si>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</si>
  <si>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</si>
  <si>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</si>
  <si>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</si>
  <si>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</si>
  <si>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</si>
  <si>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</si>
  <si>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</si>
  <si>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</si>
  <si>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</si>
  <si>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</si>
  <si>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</si>
  <si>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</si>
  <si>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</si>
  <si>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</si>
  <si>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</si>
  <si>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</si>
  <si>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</si>
  <si>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</si>
  <si>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</si>
  <si>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</si>
  <si>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</si>
  <si>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</si>
  <si>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</si>
  <si>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</si>
  <si>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</si>
  <si>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</si>
  <si>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</si>
  <si>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</si>
  <si>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</si>
  <si>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</si>
  <si>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</si>
  <si>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</si>
  <si>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</si>
  <si>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</si>
  <si>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</si>
  <si>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</si>
  <si>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</si>
  <si>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</si>
  <si>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</si>
  <si>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</si>
  <si>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</si>
  <si>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</si>
  <si>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</si>
  <si>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</si>
  <si>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</si>
  <si>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</si>
  <si>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</si>
  <si>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</si>
  <si>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</si>
  <si>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</si>
  <si>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</si>
  <si>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</si>
  <si>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</si>
  <si>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</si>
  <si>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</si>
  <si>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</si>
  <si>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</si>
  <si>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</si>
  <si>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</si>
  <si>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</si>
  <si>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</si>
  <si>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</si>
  <si>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</si>
  <si>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</si>
  <si>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</si>
  <si>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</si>
  <si>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</si>
  <si>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</si>
  <si>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</si>
  <si>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</si>
  <si>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</si>
  <si>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</si>
  <si>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</si>
  <si>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</si>
  <si>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</si>
  <si>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</si>
  <si>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</si>
  <si>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</si>
  <si>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</si>
  <si>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</si>
  <si>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</si>
  <si>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</si>
  <si>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</si>
  <si>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</si>
  <si>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</si>
  <si>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</si>
  <si>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</si>
  <si>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</si>
  <si>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</si>
  <si>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</si>
  <si>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</si>
  <si>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</si>
  <si>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</si>
  <si>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</si>
  <si>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</si>
  <si>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</si>
  <si>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</si>
  <si>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</si>
  <si>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</si>
  <si>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</si>
  <si>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</si>
  <si>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</si>
  <si>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</si>
  <si>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</si>
  <si>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</si>
  <si>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</si>
  <si>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</si>
  <si>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</si>
  <si>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</si>
  <si>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</si>
  <si>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</si>
  <si>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</si>
  <si>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</si>
  <si>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</si>
  <si>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</si>
  <si>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</si>
  <si>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</si>
  <si>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</si>
  <si>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</si>
  <si>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</si>
  <si>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</si>
  <si>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</si>
  <si>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</si>
  <si>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</si>
  <si>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</si>
  <si>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</si>
  <si>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</si>
  <si>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</si>
  <si>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</si>
  <si>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</si>
  <si>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</si>
  <si>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</si>
  <si>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</si>
  <si>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</si>
  <si>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</si>
  <si>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</si>
  <si>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</si>
  <si>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</si>
  <si>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</si>
  <si>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</si>
  <si>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</si>
  <si>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</si>
  <si>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</si>
  <si>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</si>
  <si>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</si>
  <si>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</si>
  <si>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</si>
  <si>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</si>
  <si>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</si>
  <si>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</si>
  <si>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</si>
  <si>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</si>
  <si>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</si>
  <si>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</si>
  <si>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</si>
  <si>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</si>
  <si>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</si>
  <si>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</si>
  <si>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</si>
  <si>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</si>
  <si>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</si>
  <si>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</si>
  <si>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</si>
  <si>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</si>
  <si>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</si>
  <si>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</si>
  <si>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</si>
  <si>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</si>
  <si>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</si>
  <si>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</si>
  <si>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</si>
  <si>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</si>
  <si>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</si>
  <si>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</si>
  <si>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</si>
  <si>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</si>
  <si>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</si>
  <si>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</si>
  <si>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</si>
  <si>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</si>
  <si>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</si>
  <si>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</si>
  <si>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</si>
  <si>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</si>
  <si>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</si>
  <si>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</si>
  <si>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</si>
  <si>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</si>
  <si>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</si>
  <si>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</si>
  <si>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</si>
  <si>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</si>
  <si>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</si>
  <si>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</si>
  <si>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</si>
  <si>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</si>
  <si>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</si>
  <si>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</si>
  <si>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</si>
  <si>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</si>
  <si>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</si>
  <si>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</si>
  <si>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</si>
  <si>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</si>
  <si>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</si>
  <si>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</si>
  <si>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</si>
  <si>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</si>
  <si>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</si>
  <si>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</si>
  <si>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</si>
  <si>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</si>
  <si>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</si>
  <si>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</si>
  <si>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</si>
  <si>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</si>
  <si>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</si>
  <si>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</si>
  <si>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</si>
  <si>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</si>
  <si>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</si>
  <si>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</si>
  <si>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</si>
  <si>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</si>
  <si>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</si>
  <si>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</si>
  <si>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</si>
  <si>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</si>
  <si>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</si>
  <si>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</si>
  <si>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</si>
  <si>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</si>
  <si>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</si>
  <si>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</si>
  <si>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</si>
  <si>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</si>
  <si>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</si>
  <si>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</si>
  <si>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</si>
  <si>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</si>
  <si>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</si>
  <si>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</si>
  <si>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</si>
  <si>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</si>
  <si>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</si>
  <si>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</si>
  <si>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</si>
  <si>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</si>
  <si>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</si>
  <si>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</si>
  <si>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</si>
  <si>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</si>
  <si>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</si>
  <si>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</si>
  <si>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</si>
  <si>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</si>
  <si>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</si>
  <si>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</si>
  <si>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</si>
  <si>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</si>
  <si>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</si>
  <si>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</si>
  <si>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</si>
  <si>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</si>
  <si>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</si>
  <si>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</si>
  <si>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</si>
  <si>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</si>
  <si>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</si>
  <si>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</si>
  <si>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</si>
  <si>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</si>
  <si>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</si>
  <si>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</si>
  <si>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</si>
  <si>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</si>
  <si>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</si>
  <si>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</si>
  <si>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</si>
  <si>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</si>
  <si>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</si>
  <si>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</si>
  <si>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</si>
  <si>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</si>
  <si>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</si>
  <si>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</si>
  <si>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</si>
  <si>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</si>
  <si>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</si>
  <si>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</si>
  <si>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</si>
  <si>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</si>
  <si>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</si>
  <si>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</si>
  <si>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</si>
  <si>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</si>
  <si>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</si>
  <si>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</si>
  <si>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</si>
  <si>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</si>
  <si>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</si>
  <si>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</si>
  <si>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</si>
  <si>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</si>
  <si>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</si>
  <si>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</si>
  <si>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</si>
  <si>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</si>
  <si>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</si>
  <si>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</si>
  <si>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</si>
  <si>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</si>
  <si>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</si>
  <si>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</si>
  <si>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</si>
  <si>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</si>
  <si>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</si>
  <si>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</si>
  <si>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</si>
  <si>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</si>
  <si>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</si>
  <si>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</si>
  <si>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</si>
  <si>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</si>
  <si>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</si>
  <si>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</si>
  <si>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</si>
  <si>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</si>
  <si>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</si>
  <si>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</si>
  <si>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</si>
  <si>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</si>
  <si>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</si>
  <si>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</si>
  <si>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</si>
  <si>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</si>
  <si>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</si>
  <si>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</si>
  <si>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</si>
  <si>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</si>
  <si>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</si>
  <si>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</si>
  <si>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</si>
  <si>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</si>
  <si>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</si>
  <si>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</si>
  <si>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</si>
  <si>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</si>
  <si>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</si>
  <si>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</si>
  <si>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</si>
  <si>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</si>
  <si>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</si>
  <si>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</si>
  <si>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</si>
  <si>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</si>
  <si>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</si>
  <si>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</si>
  <si>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</si>
  <si>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</si>
  <si>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</si>
  <si>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</si>
  <si>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</si>
  <si>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</si>
  <si>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</si>
  <si>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</si>
  <si>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</si>
  <si>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</si>
  <si>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</si>
  <si>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</si>
  <si>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</si>
  <si>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</si>
  <si>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</si>
  <si>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</si>
  <si>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</si>
  <si>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</si>
  <si>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</si>
  <si>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</si>
  <si>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</si>
  <si>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</si>
  <si>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</si>
  <si>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</si>
  <si>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</si>
  <si>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</si>
  <si>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</si>
  <si>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</si>
  <si>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</si>
  <si>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</si>
  <si>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</si>
  <si>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</si>
  <si>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</si>
  <si>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</si>
  <si>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</si>
  <si>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</si>
  <si>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</si>
  <si>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</si>
  <si>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</si>
  <si>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</si>
  <si>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</si>
  <si>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</si>
  <si>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</si>
  <si>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</si>
  <si>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</si>
  <si>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</si>
  <si>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</si>
  <si>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</si>
  <si>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</si>
  <si>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</si>
  <si>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</si>
  <si>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</si>
  <si>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</si>
  <si>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</si>
  <si>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</si>
  <si>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</si>
  <si>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</si>
  <si>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</si>
  <si>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</si>
  <si>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</si>
  <si>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</si>
  <si>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</si>
  <si>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</si>
  <si>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</si>
  <si>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</si>
  <si>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</si>
  <si>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</si>
  <si>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</si>
  <si>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</si>
  <si>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</si>
  <si>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</si>
  <si>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</si>
  <si>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</si>
  <si>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</si>
  <si>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</si>
  <si>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</si>
  <si>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</si>
  <si>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</si>
  <si>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</si>
  <si>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</si>
  <si>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</si>
  <si>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</si>
  <si>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</si>
  <si>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</si>
  <si>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</si>
  <si>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</si>
  <si>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</si>
  <si>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</si>
  <si>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</si>
  <si>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</si>
  <si>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</si>
  <si>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</si>
  <si>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</si>
  <si>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</si>
  <si>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</si>
  <si>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</si>
  <si>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</si>
  <si>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</si>
  <si>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</si>
  <si>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</si>
  <si>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</si>
  <si>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</si>
  <si>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</si>
  <si>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</si>
  <si>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</si>
  <si>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</si>
  <si>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</si>
  <si>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</si>
  <si>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</si>
  <si>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</si>
  <si>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</si>
  <si>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</si>
  <si>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</si>
  <si>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</si>
  <si>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</si>
  <si>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</si>
  <si>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</si>
  <si>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</si>
  <si>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</si>
  <si>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</si>
  <si>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</si>
  <si>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</si>
  <si>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</si>
  <si>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</si>
  <si>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</si>
  <si>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</si>
  <si>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</si>
  <si>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</si>
  <si>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</si>
  <si>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</si>
  <si>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</si>
  <si>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</si>
  <si>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</si>
  <si>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</si>
  <si>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</si>
  <si>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</si>
  <si>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</si>
  <si>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</si>
  <si>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</si>
  <si>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</si>
  <si>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</si>
  <si>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</si>
  <si>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</si>
  <si>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</si>
  <si>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</si>
  <si>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</si>
  <si>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</si>
  <si>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</si>
  <si>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</si>
  <si>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</si>
  <si>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</si>
  <si>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</si>
  <si>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</si>
  <si>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</si>
  <si>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</si>
  <si>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</si>
  <si>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</si>
  <si>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</si>
  <si>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</si>
  <si>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</si>
  <si>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</si>
  <si>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</si>
  <si>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</si>
  <si>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</si>
  <si>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</si>
  <si>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</si>
  <si>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</si>
  <si>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</si>
  <si>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</si>
  <si>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</si>
  <si>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</si>
  <si>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</si>
  <si>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</si>
  <si>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</si>
  <si>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</si>
  <si>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</si>
  <si>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</si>
  <si>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</si>
  <si>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</si>
  <si>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</si>
  <si>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</si>
  <si>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</si>
  <si>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</si>
  <si>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</si>
  <si>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</si>
  <si>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</si>
  <si>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</si>
  <si>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</si>
  <si>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</si>
  <si>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</si>
  <si>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</si>
  <si>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</si>
  <si>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</si>
  <si>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</si>
  <si>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</si>
  <si>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</si>
  <si>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</si>
  <si>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</si>
  <si>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</si>
  <si>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</si>
  <si>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</si>
  <si>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</si>
  <si>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</si>
  <si>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</si>
  <si>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</si>
  <si>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</si>
  <si>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</si>
  <si>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</si>
  <si>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</si>
  <si>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</si>
  <si>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</si>
  <si>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</si>
  <si>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</si>
  <si>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</si>
  <si>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</si>
  <si>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</si>
  <si>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</si>
  <si>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</si>
  <si>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</si>
  <si>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</si>
  <si>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</si>
  <si>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</si>
  <si>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</si>
  <si>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</si>
  <si>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</si>
  <si>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</si>
  <si>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</si>
  <si>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</si>
  <si>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</si>
  <si>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</si>
  <si>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</si>
  <si>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</si>
  <si>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</si>
  <si>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</si>
  <si>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</si>
  <si>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</si>
  <si>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</si>
  <si>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</si>
  <si>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</si>
  <si>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</si>
  <si>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</si>
  <si>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</si>
  <si>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</si>
  <si>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</si>
  <si>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</si>
  <si>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</si>
  <si>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</si>
  <si>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</si>
  <si>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</si>
  <si>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</si>
  <si>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</si>
  <si>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</si>
  <si>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</si>
  <si>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</si>
  <si>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</si>
  <si>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</si>
  <si>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</si>
  <si>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</si>
  <si>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</si>
  <si>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</si>
  <si>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</si>
  <si>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</si>
  <si>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</si>
  <si>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</si>
  <si>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</si>
  <si>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</si>
  <si>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</si>
  <si>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[0.352919]</t>
  </si>
  <si>
    <t>0 [0.743295]</t>
  </si>
  <si>
    <t>0 [1.162417]</t>
  </si>
  <si>
    <t>0 [1.582179]</t>
  </si>
  <si>
    <t>0 [1.979980]</t>
  </si>
  <si>
    <t>0 [2.383101]</t>
  </si>
  <si>
    <t>0 [2.770681]</t>
  </si>
  <si>
    <t>0 [3.175271]</t>
  </si>
  <si>
    <t>0 [3.589379]</t>
  </si>
  <si>
    <t>0 [4.033701]</t>
  </si>
  <si>
    <t>0 [4.399626]</t>
  </si>
  <si>
    <t>0 [4.815307]</t>
  </si>
  <si>
    <t>0 [5.222363]</t>
  </si>
  <si>
    <t>0 [5.632495]</t>
  </si>
  <si>
    <t>0 [6.030188]</t>
  </si>
  <si>
    <t>0 [6.449679]</t>
  </si>
  <si>
    <t>0 [6.852224]</t>
  </si>
  <si>
    <t>0 [7.242630]</t>
  </si>
  <si>
    <t>0 [7.654307]</t>
  </si>
  <si>
    <t>0 [8.048330]</t>
  </si>
  <si>
    <t>0 [8.475566]</t>
  </si>
  <si>
    <t>0 [8.881219]</t>
  </si>
  <si>
    <t>0 [9.279415]</t>
  </si>
  <si>
    <t>0 [9.680248]</t>
  </si>
  <si>
    <t>vision^nFQ6^1^1^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</si>
</sst>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56.71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56.708120000000001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1.93736</c:v>
                </c:pt>
                <c:pt idx="1">
                  <c:v>1.96052</c:v>
                </c:pt>
                <c:pt idx="2">
                  <c:v>1.98088</c:v>
                </c:pt>
                <c:pt idx="3">
                  <c:v>1.9983600000000001</c:v>
                </c:pt>
                <c:pt idx="4">
                  <c:v>2.0120100000000001</c:v>
                </c:pt>
                <c:pt idx="5">
                  <c:v>2.0248499999999998</c:v>
                </c:pt>
                <c:pt idx="6">
                  <c:v>2.0389499999999998</c:v>
                </c:pt>
                <c:pt idx="7">
                  <c:v>2.0539399999999999</c:v>
                </c:pt>
                <c:pt idx="8">
                  <c:v>2.06826</c:v>
                </c:pt>
                <c:pt idx="9">
                  <c:v>2.0825199999999997</c:v>
                </c:pt>
                <c:pt idx="10">
                  <c:v>2.0960799999999997</c:v>
                </c:pt>
                <c:pt idx="11">
                  <c:v>2.1095700000000002</c:v>
                </c:pt>
                <c:pt idx="12">
                  <c:v>2.1238299999999999</c:v>
                </c:pt>
                <c:pt idx="13">
                  <c:v>2.1353599999999999</c:v>
                </c:pt>
                <c:pt idx="14">
                  <c:v>2.14358</c:v>
                </c:pt>
                <c:pt idx="15">
                  <c:v>2.1424000000000003</c:v>
                </c:pt>
                <c:pt idx="16">
                  <c:v>2.1358999999999999</c:v>
                </c:pt>
                <c:pt idx="17">
                  <c:v>2.1252900000000001</c:v>
                </c:pt>
                <c:pt idx="18">
                  <c:v>2.1153599999999999</c:v>
                </c:pt>
                <c:pt idx="19">
                  <c:v>2.1068000000000002</c:v>
                </c:pt>
                <c:pt idx="20">
                  <c:v>2.0937999999999999</c:v>
                </c:pt>
                <c:pt idx="21">
                  <c:v>2.0735700000000001</c:v>
                </c:pt>
                <c:pt idx="22">
                  <c:v>2.05532</c:v>
                </c:pt>
                <c:pt idx="23">
                  <c:v>2.0458799999999999</c:v>
                </c:pt>
                <c:pt idx="24">
                  <c:v>2.0329299999999999</c:v>
                </c:pt>
              </c:numCache>
            </c:numRef>
          </c:xVal>
          <c:yVal>
            <c:numRef>
              <c:f>[0]!FT_PH</c:f>
              <c:numCache>
                <c:formatCode>0.00</c:formatCode>
                <c:ptCount val="25"/>
                <c:pt idx="0">
                  <c:v>55.491900000000008</c:v>
                </c:pt>
                <c:pt idx="1">
                  <c:v>55.017300000000006</c:v>
                </c:pt>
                <c:pt idx="2">
                  <c:v>54.597099999999998</c:v>
                </c:pt>
                <c:pt idx="3">
                  <c:v>54.193800000000003</c:v>
                </c:pt>
                <c:pt idx="4">
                  <c:v>53.857600000000005</c:v>
                </c:pt>
                <c:pt idx="5">
                  <c:v>53.537300000000002</c:v>
                </c:pt>
                <c:pt idx="6">
                  <c:v>53.187399999999997</c:v>
                </c:pt>
                <c:pt idx="7">
                  <c:v>52.834599999999995</c:v>
                </c:pt>
                <c:pt idx="8">
                  <c:v>52.483699999999999</c:v>
                </c:pt>
                <c:pt idx="9">
                  <c:v>52.128900000000002</c:v>
                </c:pt>
                <c:pt idx="10">
                  <c:v>51.795000000000002</c:v>
                </c:pt>
                <c:pt idx="11">
                  <c:v>51.494099999999996</c:v>
                </c:pt>
                <c:pt idx="12">
                  <c:v>51.143799999999992</c:v>
                </c:pt>
                <c:pt idx="13">
                  <c:v>50.874299999999991</c:v>
                </c:pt>
                <c:pt idx="14">
                  <c:v>50.624000000000002</c:v>
                </c:pt>
                <c:pt idx="15">
                  <c:v>50.393100000000004</c:v>
                </c:pt>
                <c:pt idx="16">
                  <c:v>50.096799999999995</c:v>
                </c:pt>
                <c:pt idx="17">
                  <c:v>49.805999999999997</c:v>
                </c:pt>
                <c:pt idx="18">
                  <c:v>49.587299999999999</c:v>
                </c:pt>
                <c:pt idx="19">
                  <c:v>49.486899999999999</c:v>
                </c:pt>
                <c:pt idx="20">
                  <c:v>49.424399999999999</c:v>
                </c:pt>
                <c:pt idx="21">
                  <c:v>49.323499999999996</c:v>
                </c:pt>
                <c:pt idx="22">
                  <c:v>49.143799999999999</c:v>
                </c:pt>
                <c:pt idx="23">
                  <c:v>48.907299999999999</c:v>
                </c:pt>
                <c:pt idx="24">
                  <c:v>48.7697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1.96052</c:v>
                </c:pt>
                <c:pt idx="1">
                  <c:v>2.0735700000000001</c:v>
                </c:pt>
              </c:numCache>
            </c:numRef>
          </c:xVal>
          <c:yVal>
            <c:numRef>
              <c:f>info!$W$2:$W$3</c:f>
              <c:numCache>
                <c:formatCode>0.00</c:formatCode>
                <c:ptCount val="2"/>
                <c:pt idx="0">
                  <c:v>55.017300000000006</c:v>
                </c:pt>
                <c:pt idx="1">
                  <c:v>49.323499999999996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2.0329299999999999</c:v>
                </c:pt>
                <c:pt idx="1">
                  <c:v>1.93736</c:v>
                </c:pt>
              </c:numCache>
            </c:numRef>
          </c:xVal>
          <c:yVal>
            <c:numRef>
              <c:f>info!$W$15:$W$16</c:f>
              <c:numCache>
                <c:formatCode>0.00_ </c:formatCode>
                <c:ptCount val="2"/>
                <c:pt idx="0">
                  <c:v>48.7697</c:v>
                </c:pt>
                <c:pt idx="1">
                  <c:v>55.491900000000008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2.0677327999999999</c:v>
                </c:pt>
              </c:numCache>
            </c:numRef>
          </c:xVal>
          <c:yVal>
            <c:numRef>
              <c:f>info!$N$9</c:f>
              <c:numCache>
                <c:formatCode>0.0</c:formatCode>
                <c:ptCount val="1"/>
                <c:pt idx="0">
                  <c:v>51.527984000000018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26.945499999999999</c:v>
                </c:pt>
                <c:pt idx="1">
                  <c:v>24.9968</c:v>
                </c:pt>
                <c:pt idx="2">
                  <c:v>36.403300000000002</c:v>
                </c:pt>
                <c:pt idx="3">
                  <c:v>28.962</c:v>
                </c:pt>
                <c:pt idx="4">
                  <c:v>71.067999999999998</c:v>
                </c:pt>
                <c:pt idx="5">
                  <c:v>82.443700000000007</c:v>
                </c:pt>
                <c:pt idx="6">
                  <c:v>11.0063</c:v>
                </c:pt>
                <c:pt idx="7">
                  <c:v>76.639399999999995</c:v>
                </c:pt>
                <c:pt idx="8">
                  <c:v>21.4147</c:v>
                </c:pt>
                <c:pt idx="9">
                  <c:v>15.072800000000001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56.71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56.708120000000001</c:v>
                </c:pt>
                <c:pt idx="1">
                  <c:v>56.708120000000001</c:v>
                </c:pt>
                <c:pt idx="2">
                  <c:v>0</c:v>
                </c:pt>
              </c:numCache>
            </c:numRef>
          </c:xVal>
          <c:yVal>
            <c:numRef>
              <c:f>'R2'!$I$5:$I$7</c:f>
              <c:numCache>
                <c:formatCode>0.0_ </c:formatCode>
                <c:ptCount val="3"/>
                <c:pt idx="0">
                  <c:v>0</c:v>
                </c:pt>
                <c:pt idx="1">
                  <c:v>61.873783667566784</c:v>
                </c:pt>
                <c:pt idx="2">
                  <c:v>61.873783667566784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33.753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33.75333333333333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1.01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1.0125999999999999</c:v>
                </c:pt>
                <c:pt idx="1">
                  <c:v>1.0125999999999999</c:v>
                </c:pt>
                <c:pt idx="2">
                  <c:v>0</c:v>
                </c:pt>
              </c:numCache>
            </c:numRef>
          </c:xVal>
          <c:yVal>
            <c:numRef>
              <c:f>'R3'!$I$6:$I$8</c:f>
              <c:numCache>
                <c:formatCode>0.0_ </c:formatCode>
                <c:ptCount val="3"/>
                <c:pt idx="0">
                  <c:v>0</c:v>
                </c:pt>
                <c:pt idx="1">
                  <c:v>10.661039541187577</c:v>
                </c:pt>
                <c:pt idx="2">
                  <c:v>10.661039541187577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1.159866907971715</c:v>
                </c:pt>
                <c:pt idx="1">
                  <c:v>1.159866907971715</c:v>
                </c:pt>
                <c:pt idx="2">
                  <c:v>-7</c:v>
                </c:pt>
              </c:numCache>
            </c:numRef>
          </c:xVal>
          <c:yVal>
            <c:numRef>
              <c:f>'R'!$I$5:$I$7</c:f>
              <c:numCache>
                <c:formatCode>0.0_ </c:formatCode>
                <c:ptCount val="3"/>
                <c:pt idx="0">
                  <c:v>0</c:v>
                </c:pt>
                <c:pt idx="1">
                  <c:v>81.310308292078943</c:v>
                </c:pt>
                <c:pt idx="2">
                  <c:v>81.310308292078943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1.159866907971715</c:v>
                </c:pt>
              </c:numCache>
            </c:numRef>
          </c:xVal>
          <c:yVal>
            <c:numRef>
              <c:f>'R'!$I$4</c:f>
              <c:numCache>
                <c:formatCode>0.00_ </c:formatCode>
                <c:ptCount val="1"/>
                <c:pt idx="0">
                  <c:v>81.310308292078943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56.71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56.708120000000001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1.93736</c:v>
                </c:pt>
                <c:pt idx="1">
                  <c:v>1.96052</c:v>
                </c:pt>
                <c:pt idx="2">
                  <c:v>1.98088</c:v>
                </c:pt>
                <c:pt idx="3">
                  <c:v>1.9983600000000001</c:v>
                </c:pt>
                <c:pt idx="4">
                  <c:v>2.0120100000000001</c:v>
                </c:pt>
                <c:pt idx="5">
                  <c:v>2.0248499999999998</c:v>
                </c:pt>
                <c:pt idx="6">
                  <c:v>2.0389499999999998</c:v>
                </c:pt>
                <c:pt idx="7">
                  <c:v>2.0539399999999999</c:v>
                </c:pt>
                <c:pt idx="8">
                  <c:v>2.06826</c:v>
                </c:pt>
                <c:pt idx="9">
                  <c:v>2.0825199999999997</c:v>
                </c:pt>
                <c:pt idx="10">
                  <c:v>2.0960799999999997</c:v>
                </c:pt>
                <c:pt idx="11">
                  <c:v>2.1095700000000002</c:v>
                </c:pt>
                <c:pt idx="12">
                  <c:v>2.1238299999999999</c:v>
                </c:pt>
                <c:pt idx="13">
                  <c:v>2.1353599999999999</c:v>
                </c:pt>
                <c:pt idx="14">
                  <c:v>2.14358</c:v>
                </c:pt>
                <c:pt idx="15">
                  <c:v>2.1424000000000003</c:v>
                </c:pt>
                <c:pt idx="16">
                  <c:v>2.1358999999999999</c:v>
                </c:pt>
                <c:pt idx="17">
                  <c:v>2.1252900000000001</c:v>
                </c:pt>
                <c:pt idx="18">
                  <c:v>2.1153599999999999</c:v>
                </c:pt>
                <c:pt idx="19">
                  <c:v>2.1068000000000002</c:v>
                </c:pt>
                <c:pt idx="20">
                  <c:v>2.0937999999999999</c:v>
                </c:pt>
                <c:pt idx="21">
                  <c:v>2.0735700000000001</c:v>
                </c:pt>
                <c:pt idx="22">
                  <c:v>2.05532</c:v>
                </c:pt>
                <c:pt idx="23">
                  <c:v>2.0458799999999999</c:v>
                </c:pt>
                <c:pt idx="24">
                  <c:v>2.0329299999999999</c:v>
                </c:pt>
              </c:numCache>
            </c:numRef>
          </c:xVal>
          <c:yVal>
            <c:numRef>
              <c:f>[0]!FT_PH</c:f>
              <c:numCache>
                <c:formatCode>0.00</c:formatCode>
                <c:ptCount val="25"/>
                <c:pt idx="0">
                  <c:v>55.491900000000008</c:v>
                </c:pt>
                <c:pt idx="1">
                  <c:v>55.017300000000006</c:v>
                </c:pt>
                <c:pt idx="2">
                  <c:v>54.597099999999998</c:v>
                </c:pt>
                <c:pt idx="3">
                  <c:v>54.193800000000003</c:v>
                </c:pt>
                <c:pt idx="4">
                  <c:v>53.857600000000005</c:v>
                </c:pt>
                <c:pt idx="5">
                  <c:v>53.537300000000002</c:v>
                </c:pt>
                <c:pt idx="6">
                  <c:v>53.187399999999997</c:v>
                </c:pt>
                <c:pt idx="7">
                  <c:v>52.834599999999995</c:v>
                </c:pt>
                <c:pt idx="8">
                  <c:v>52.483699999999999</c:v>
                </c:pt>
                <c:pt idx="9">
                  <c:v>52.128900000000002</c:v>
                </c:pt>
                <c:pt idx="10">
                  <c:v>51.795000000000002</c:v>
                </c:pt>
                <c:pt idx="11">
                  <c:v>51.494099999999996</c:v>
                </c:pt>
                <c:pt idx="12">
                  <c:v>51.143799999999992</c:v>
                </c:pt>
                <c:pt idx="13">
                  <c:v>50.874299999999991</c:v>
                </c:pt>
                <c:pt idx="14">
                  <c:v>50.624000000000002</c:v>
                </c:pt>
                <c:pt idx="15">
                  <c:v>50.393100000000004</c:v>
                </c:pt>
                <c:pt idx="16">
                  <c:v>50.096799999999995</c:v>
                </c:pt>
                <c:pt idx="17">
                  <c:v>49.805999999999997</c:v>
                </c:pt>
                <c:pt idx="18">
                  <c:v>49.587299999999999</c:v>
                </c:pt>
                <c:pt idx="19">
                  <c:v>49.486899999999999</c:v>
                </c:pt>
                <c:pt idx="20">
                  <c:v>49.424399999999999</c:v>
                </c:pt>
                <c:pt idx="21">
                  <c:v>49.323499999999996</c:v>
                </c:pt>
                <c:pt idx="22">
                  <c:v>49.143799999999999</c:v>
                </c:pt>
                <c:pt idx="23">
                  <c:v>48.907299999999999</c:v>
                </c:pt>
                <c:pt idx="24">
                  <c:v>48.7697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1.96052</c:v>
                </c:pt>
                <c:pt idx="1">
                  <c:v>2.0735700000000001</c:v>
                </c:pt>
              </c:numCache>
            </c:numRef>
          </c:xVal>
          <c:yVal>
            <c:numRef>
              <c:f>info!$W$2:$W$3</c:f>
              <c:numCache>
                <c:formatCode>0.00</c:formatCode>
                <c:ptCount val="2"/>
                <c:pt idx="0">
                  <c:v>55.017300000000006</c:v>
                </c:pt>
                <c:pt idx="1">
                  <c:v>49.323499999999996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2.0329299999999999</c:v>
                </c:pt>
                <c:pt idx="1">
                  <c:v>1.93736</c:v>
                </c:pt>
              </c:numCache>
            </c:numRef>
          </c:xVal>
          <c:yVal>
            <c:numRef>
              <c:f>info!$W$15:$W$16</c:f>
              <c:numCache>
                <c:formatCode>0.00_ </c:formatCode>
                <c:ptCount val="2"/>
                <c:pt idx="0">
                  <c:v>48.7697</c:v>
                </c:pt>
                <c:pt idx="1">
                  <c:v>55.491900000000008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2.0677327999999999</c:v>
                </c:pt>
              </c:numCache>
            </c:numRef>
          </c:xVal>
          <c:yVal>
            <c:numRef>
              <c:f>info!$N$9</c:f>
              <c:numCache>
                <c:formatCode>0.0</c:formatCode>
                <c:ptCount val="1"/>
                <c:pt idx="0">
                  <c:v>51.527984000000018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26.945499999999999</c:v>
                </c:pt>
                <c:pt idx="1">
                  <c:v>24.9968</c:v>
                </c:pt>
                <c:pt idx="2">
                  <c:v>36.403300000000002</c:v>
                </c:pt>
                <c:pt idx="3">
                  <c:v>28.962</c:v>
                </c:pt>
                <c:pt idx="4">
                  <c:v>71.067999999999998</c:v>
                </c:pt>
                <c:pt idx="5">
                  <c:v>82.443700000000007</c:v>
                </c:pt>
                <c:pt idx="6">
                  <c:v>11.0063</c:v>
                </c:pt>
                <c:pt idx="7">
                  <c:v>76.639399999999995</c:v>
                </c:pt>
                <c:pt idx="8">
                  <c:v>21.4147</c:v>
                </c:pt>
                <c:pt idx="9">
                  <c:v>15.072800000000001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56.71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56.708120000000001</c:v>
                </c:pt>
                <c:pt idx="1">
                  <c:v>56.708120000000001</c:v>
                </c:pt>
                <c:pt idx="2">
                  <c:v>0</c:v>
                </c:pt>
              </c:numCache>
            </c:numRef>
          </c:xVal>
          <c:yVal>
            <c:numRef>
              <c:f>'R2'!$I$5:$I$7</c:f>
              <c:numCache>
                <c:formatCode>0.0_ </c:formatCode>
                <c:ptCount val="3"/>
                <c:pt idx="0">
                  <c:v>0</c:v>
                </c:pt>
                <c:pt idx="1">
                  <c:v>61.873783667566784</c:v>
                </c:pt>
                <c:pt idx="2">
                  <c:v>61.873783667566784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33.753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33.75333333333333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1.01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1.0125999999999999</c:v>
                </c:pt>
                <c:pt idx="1">
                  <c:v>1.0125999999999999</c:v>
                </c:pt>
                <c:pt idx="2">
                  <c:v>0</c:v>
                </c:pt>
              </c:numCache>
            </c:numRef>
          </c:xVal>
          <c:yVal>
            <c:numRef>
              <c:f>'R3'!$I$6:$I$8</c:f>
              <c:numCache>
                <c:formatCode>0.0_ </c:formatCode>
                <c:ptCount val="3"/>
                <c:pt idx="0">
                  <c:v>0</c:v>
                </c:pt>
                <c:pt idx="1">
                  <c:v>10.661039541187577</c:v>
                </c:pt>
                <c:pt idx="2">
                  <c:v>10.661039541187577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1.159866907971715</c:v>
                </c:pt>
                <c:pt idx="1">
                  <c:v>1.159866907971715</c:v>
                </c:pt>
                <c:pt idx="2">
                  <c:v>-7</c:v>
                </c:pt>
              </c:numCache>
            </c:numRef>
          </c:xVal>
          <c:yVal>
            <c:numRef>
              <c:f>'R'!$I$5:$I$7</c:f>
              <c:numCache>
                <c:formatCode>0.0_ </c:formatCode>
                <c:ptCount val="3"/>
                <c:pt idx="0">
                  <c:v>0</c:v>
                </c:pt>
                <c:pt idx="1">
                  <c:v>81.310308292078943</c:v>
                </c:pt>
                <c:pt idx="2">
                  <c:v>81.310308292078943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1.159866907971715</c:v>
                </c:pt>
              </c:numCache>
            </c:numRef>
          </c:xVal>
          <c:yVal>
            <c:numRef>
              <c:f>'R'!$I$4</c:f>
              <c:numCache>
                <c:formatCode>0.00_ </c:formatCode>
                <c:ptCount val="1"/>
                <c:pt idx="0">
                  <c:v>81.310308292078943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0.35291899999999998</c:v>
                </c:pt>
                <c:pt idx="2">
                  <c:v>0.74329500000000004</c:v>
                </c:pt>
                <c:pt idx="3">
                  <c:v>1.16242</c:v>
                </c:pt>
                <c:pt idx="4">
                  <c:v>1.5821799999999999</c:v>
                </c:pt>
                <c:pt idx="5">
                  <c:v>1.9799800000000001</c:v>
                </c:pt>
                <c:pt idx="6">
                  <c:v>2.3831000000000002</c:v>
                </c:pt>
                <c:pt idx="7">
                  <c:v>2.77068</c:v>
                </c:pt>
                <c:pt idx="8">
                  <c:v>3.1752699999999998</c:v>
                </c:pt>
                <c:pt idx="9">
                  <c:v>3.5893799999999998</c:v>
                </c:pt>
                <c:pt idx="10">
                  <c:v>4.0336999999999996</c:v>
                </c:pt>
                <c:pt idx="11">
                  <c:v>4.3996300000000002</c:v>
                </c:pt>
                <c:pt idx="12">
                  <c:v>4.8153100000000002</c:v>
                </c:pt>
                <c:pt idx="13">
                  <c:v>5.2223600000000001</c:v>
                </c:pt>
                <c:pt idx="14">
                  <c:v>5.6324899999999998</c:v>
                </c:pt>
                <c:pt idx="15">
                  <c:v>6.0301900000000002</c:v>
                </c:pt>
                <c:pt idx="16">
                  <c:v>6.4496799999999999</c:v>
                </c:pt>
                <c:pt idx="17">
                  <c:v>6.85222</c:v>
                </c:pt>
                <c:pt idx="18">
                  <c:v>7.2426300000000001</c:v>
                </c:pt>
                <c:pt idx="19">
                  <c:v>7.6543099999999997</c:v>
                </c:pt>
                <c:pt idx="20">
                  <c:v>8.04833</c:v>
                </c:pt>
                <c:pt idx="21">
                  <c:v>8.4755699999999994</c:v>
                </c:pt>
                <c:pt idx="22">
                  <c:v>8.8812200000000008</c:v>
                </c:pt>
                <c:pt idx="23">
                  <c:v>9.27942</c:v>
                </c:pt>
                <c:pt idx="24">
                  <c:v>9.6802499999999991</c:v>
                </c:pt>
              </c:numCache>
            </c:numRef>
          </c:xVal>
          <c:yVal>
            <c:numRef>
              <c:f>FT!$J$2:$J$2000</c:f>
              <c:numCache>
                <c:formatCode>General</c:formatCode>
                <c:ptCount val="1999"/>
                <c:pt idx="0">
                  <c:v>1.93736</c:v>
                </c:pt>
                <c:pt idx="1">
                  <c:v>1.96052</c:v>
                </c:pt>
                <c:pt idx="2">
                  <c:v>1.98088</c:v>
                </c:pt>
                <c:pt idx="3">
                  <c:v>1.9983600000000001</c:v>
                </c:pt>
                <c:pt idx="4">
                  <c:v>2.0120100000000001</c:v>
                </c:pt>
                <c:pt idx="5">
                  <c:v>2.0248499999999998</c:v>
                </c:pt>
                <c:pt idx="6">
                  <c:v>2.0389499999999998</c:v>
                </c:pt>
                <c:pt idx="7">
                  <c:v>2.0539399999999999</c:v>
                </c:pt>
                <c:pt idx="8">
                  <c:v>2.06826</c:v>
                </c:pt>
                <c:pt idx="9">
                  <c:v>2.0825199999999997</c:v>
                </c:pt>
                <c:pt idx="10">
                  <c:v>2.0960799999999997</c:v>
                </c:pt>
                <c:pt idx="11">
                  <c:v>2.1095700000000002</c:v>
                </c:pt>
                <c:pt idx="12">
                  <c:v>2.1238299999999999</c:v>
                </c:pt>
                <c:pt idx="13">
                  <c:v>2.1353599999999999</c:v>
                </c:pt>
                <c:pt idx="14">
                  <c:v>2.14358</c:v>
                </c:pt>
                <c:pt idx="15">
                  <c:v>2.1424000000000003</c:v>
                </c:pt>
                <c:pt idx="16">
                  <c:v>2.1358999999999999</c:v>
                </c:pt>
                <c:pt idx="17">
                  <c:v>2.1252900000000001</c:v>
                </c:pt>
                <c:pt idx="18">
                  <c:v>2.1153599999999999</c:v>
                </c:pt>
                <c:pt idx="19">
                  <c:v>2.1068000000000002</c:v>
                </c:pt>
                <c:pt idx="20">
                  <c:v>2.0937999999999999</c:v>
                </c:pt>
                <c:pt idx="21">
                  <c:v>2.0735700000000001</c:v>
                </c:pt>
                <c:pt idx="22">
                  <c:v>2.05532</c:v>
                </c:pt>
                <c:pt idx="23">
                  <c:v>2.0458799999999999</c:v>
                </c:pt>
                <c:pt idx="24">
                  <c:v>2.0329299999999999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1.93736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1.93736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1.93736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1.93736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1.93736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1.93736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1.93736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1.93736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1.93736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1.93736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1.93736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1.93736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1.93736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1.93736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1.93736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1.93736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1.93736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1.93736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1.93736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1.93736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1.93736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1.93736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1.93736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1.93736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0.35291899999999998</c:v>
                </c:pt>
                <c:pt idx="2">
                  <c:v>0.74329500000000004</c:v>
                </c:pt>
                <c:pt idx="3">
                  <c:v>1.16242</c:v>
                </c:pt>
                <c:pt idx="4">
                  <c:v>1.5821799999999999</c:v>
                </c:pt>
                <c:pt idx="5">
                  <c:v>1.9799800000000001</c:v>
                </c:pt>
                <c:pt idx="6">
                  <c:v>2.3831000000000002</c:v>
                </c:pt>
                <c:pt idx="7">
                  <c:v>2.77068</c:v>
                </c:pt>
                <c:pt idx="8">
                  <c:v>3.1752699999999998</c:v>
                </c:pt>
                <c:pt idx="9">
                  <c:v>3.5893799999999998</c:v>
                </c:pt>
                <c:pt idx="10">
                  <c:v>4.0336999999999996</c:v>
                </c:pt>
                <c:pt idx="11">
                  <c:v>4.3996300000000002</c:v>
                </c:pt>
                <c:pt idx="12">
                  <c:v>4.8153100000000002</c:v>
                </c:pt>
                <c:pt idx="13">
                  <c:v>5.2223600000000001</c:v>
                </c:pt>
                <c:pt idx="14">
                  <c:v>5.6324899999999998</c:v>
                </c:pt>
                <c:pt idx="15">
                  <c:v>6.0301900000000002</c:v>
                </c:pt>
                <c:pt idx="16">
                  <c:v>6.4496799999999999</c:v>
                </c:pt>
                <c:pt idx="17">
                  <c:v>6.85222</c:v>
                </c:pt>
                <c:pt idx="18">
                  <c:v>7.2426300000000001</c:v>
                </c:pt>
                <c:pt idx="19">
                  <c:v>7.6543099999999997</c:v>
                </c:pt>
                <c:pt idx="20">
                  <c:v>8.04833</c:v>
                </c:pt>
                <c:pt idx="21">
                  <c:v>8.4755699999999994</c:v>
                </c:pt>
                <c:pt idx="22">
                  <c:v>8.8812200000000008</c:v>
                </c:pt>
                <c:pt idx="23">
                  <c:v>9.27942</c:v>
                </c:pt>
                <c:pt idx="24">
                  <c:v>9.6802499999999991</c:v>
                </c:pt>
              </c:numCache>
            </c:numRef>
          </c:xVal>
          <c:yVal>
            <c:numRef>
              <c:f>FT!$K$2:$K$2000</c:f>
              <c:numCache>
                <c:formatCode>General</c:formatCode>
                <c:ptCount val="1999"/>
                <c:pt idx="0">
                  <c:v>55.491900000000008</c:v>
                </c:pt>
                <c:pt idx="1">
                  <c:v>55.017300000000006</c:v>
                </c:pt>
                <c:pt idx="2">
                  <c:v>54.597099999999998</c:v>
                </c:pt>
                <c:pt idx="3">
                  <c:v>54.193800000000003</c:v>
                </c:pt>
                <c:pt idx="4">
                  <c:v>53.857600000000005</c:v>
                </c:pt>
                <c:pt idx="5">
                  <c:v>53.537300000000002</c:v>
                </c:pt>
                <c:pt idx="6">
                  <c:v>53.187399999999997</c:v>
                </c:pt>
                <c:pt idx="7">
                  <c:v>52.834599999999995</c:v>
                </c:pt>
                <c:pt idx="8">
                  <c:v>52.483699999999999</c:v>
                </c:pt>
                <c:pt idx="9">
                  <c:v>52.128900000000002</c:v>
                </c:pt>
                <c:pt idx="10">
                  <c:v>51.795000000000002</c:v>
                </c:pt>
                <c:pt idx="11">
                  <c:v>51.494099999999996</c:v>
                </c:pt>
                <c:pt idx="12">
                  <c:v>51.143799999999992</c:v>
                </c:pt>
                <c:pt idx="13">
                  <c:v>50.874299999999991</c:v>
                </c:pt>
                <c:pt idx="14">
                  <c:v>50.624000000000002</c:v>
                </c:pt>
                <c:pt idx="15">
                  <c:v>50.393100000000004</c:v>
                </c:pt>
                <c:pt idx="16">
                  <c:v>50.096799999999995</c:v>
                </c:pt>
                <c:pt idx="17">
                  <c:v>49.805999999999997</c:v>
                </c:pt>
                <c:pt idx="18">
                  <c:v>49.587299999999999</c:v>
                </c:pt>
                <c:pt idx="19">
                  <c:v>49.486899999999999</c:v>
                </c:pt>
                <c:pt idx="20">
                  <c:v>49.424399999999999</c:v>
                </c:pt>
                <c:pt idx="21">
                  <c:v>49.323499999999996</c:v>
                </c:pt>
                <c:pt idx="22">
                  <c:v>49.143799999999999</c:v>
                </c:pt>
                <c:pt idx="23">
                  <c:v>48.907299999999999</c:v>
                </c:pt>
                <c:pt idx="24">
                  <c:v>48.7697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55.491900000000008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55.491900000000008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55.491900000000008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55.491900000000008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55.491900000000008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55.491900000000008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55.491900000000008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55.491900000000008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55.491900000000008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55.491900000000008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55.491900000000008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55.491900000000008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55.491900000000008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55.491900000000008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55.491900000000008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55.491900000000008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55.491900000000008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55.491900000000008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55.491900000000008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55.491900000000008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55.491900000000008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55.491900000000008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55.491900000000008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55.491900000000008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0.35291899999999998</c:v>
                </c:pt>
                <c:pt idx="2">
                  <c:v>0.74329500000000004</c:v>
                </c:pt>
                <c:pt idx="3">
                  <c:v>1.16242</c:v>
                </c:pt>
                <c:pt idx="4">
                  <c:v>1.5821799999999999</c:v>
                </c:pt>
                <c:pt idx="5">
                  <c:v>1.9799800000000001</c:v>
                </c:pt>
                <c:pt idx="6">
                  <c:v>2.3831000000000002</c:v>
                </c:pt>
                <c:pt idx="7">
                  <c:v>2.77068</c:v>
                </c:pt>
                <c:pt idx="8">
                  <c:v>3.1752699999999998</c:v>
                </c:pt>
                <c:pt idx="9">
                  <c:v>3.5893799999999998</c:v>
                </c:pt>
                <c:pt idx="10">
                  <c:v>4.0336999999999996</c:v>
                </c:pt>
                <c:pt idx="11">
                  <c:v>4.3996300000000002</c:v>
                </c:pt>
                <c:pt idx="12">
                  <c:v>4.8153100000000002</c:v>
                </c:pt>
                <c:pt idx="13">
                  <c:v>5.2223600000000001</c:v>
                </c:pt>
                <c:pt idx="14">
                  <c:v>5.6324899999999998</c:v>
                </c:pt>
                <c:pt idx="15">
                  <c:v>6.0301900000000002</c:v>
                </c:pt>
                <c:pt idx="16">
                  <c:v>6.4496799999999999</c:v>
                </c:pt>
                <c:pt idx="17">
                  <c:v>6.85222</c:v>
                </c:pt>
                <c:pt idx="18">
                  <c:v>7.2426300000000001</c:v>
                </c:pt>
                <c:pt idx="19">
                  <c:v>7.6543099999999997</c:v>
                </c:pt>
                <c:pt idx="20">
                  <c:v>8.04833</c:v>
                </c:pt>
                <c:pt idx="21">
                  <c:v>8.4755699999999994</c:v>
                </c:pt>
                <c:pt idx="22">
                  <c:v>8.8812200000000008</c:v>
                </c:pt>
                <c:pt idx="23">
                  <c:v>9.27942</c:v>
                </c:pt>
                <c:pt idx="24">
                  <c:v>9.6802499999999991</c:v>
                </c:pt>
              </c:numCache>
            </c:numRef>
          </c:xVal>
          <c:yVal>
            <c:numRef>
              <c:f>FT!$L$2:$L$2000</c:f>
              <c:numCache>
                <c:formatCode>General</c:formatCode>
                <c:ptCount val="1999"/>
                <c:pt idx="0">
                  <c:v>28.643050336540451</c:v>
                </c:pt>
                <c:pt idx="1">
                  <c:v>28.062605839267135</c:v>
                </c:pt>
                <c:pt idx="2">
                  <c:v>27.56204313234522</c:v>
                </c:pt>
                <c:pt idx="3">
                  <c:v>27.119137692908183</c:v>
                </c:pt>
                <c:pt idx="4">
                  <c:v>26.768057812833934</c:v>
                </c:pt>
                <c:pt idx="5">
                  <c:v>26.44013136775564</c:v>
                </c:pt>
                <c:pt idx="6">
                  <c:v>26.085681355599696</c:v>
                </c:pt>
                <c:pt idx="7">
                  <c:v>25.723536227932655</c:v>
                </c:pt>
                <c:pt idx="8">
                  <c:v>25.375774805875469</c:v>
                </c:pt>
                <c:pt idx="9">
                  <c:v>25.031644353955787</c:v>
                </c:pt>
                <c:pt idx="10">
                  <c:v>24.710411816342891</c:v>
                </c:pt>
                <c:pt idx="11">
                  <c:v>24.409761230961756</c:v>
                </c:pt>
                <c:pt idx="12">
                  <c:v>24.080929264583322</c:v>
                </c:pt>
                <c:pt idx="13">
                  <c:v>23.824694665068183</c:v>
                </c:pt>
                <c:pt idx="14">
                  <c:v>23.616566678173896</c:v>
                </c:pt>
                <c:pt idx="15">
                  <c:v>23.521797983569826</c:v>
                </c:pt>
                <c:pt idx="16">
                  <c:v>23.4546561168594</c:v>
                </c:pt>
                <c:pt idx="17">
                  <c:v>23.434919469813529</c:v>
                </c:pt>
                <c:pt idx="18">
                  <c:v>23.441541865214433</c:v>
                </c:pt>
                <c:pt idx="19">
                  <c:v>23.489130434782606</c:v>
                </c:pt>
                <c:pt idx="20">
                  <c:v>23.605119877734264</c:v>
                </c:pt>
                <c:pt idx="21">
                  <c:v>23.786754245094205</c:v>
                </c:pt>
                <c:pt idx="22">
                  <c:v>23.910534612615066</c:v>
                </c:pt>
                <c:pt idx="23">
                  <c:v>23.905263260797309</c:v>
                </c:pt>
                <c:pt idx="24">
                  <c:v>23.989857004422191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0.12171111508859854</c:v>
                </c:pt>
                <c:pt idx="7">
                  <c:v>0</c:v>
                </c:pt>
                <c:pt idx="8">
                  <c:v>0.35940576337927332</c:v>
                </c:pt>
                <c:pt idx="9">
                  <c:v>0</c:v>
                </c:pt>
                <c:pt idx="10">
                  <c:v>0</c:v>
                </c:pt>
                <c:pt idx="11">
                  <c:v>0.44442455700733846</c:v>
                </c:pt>
                <c:pt idx="12">
                  <c:v>0</c:v>
                </c:pt>
                <c:pt idx="13">
                  <c:v>0.41757651691426523</c:v>
                </c:pt>
                <c:pt idx="14">
                  <c:v>0</c:v>
                </c:pt>
                <c:pt idx="15">
                  <c:v>0</c:v>
                </c:pt>
                <c:pt idx="16">
                  <c:v>0.40719527474494366</c:v>
                </c:pt>
                <c:pt idx="17">
                  <c:v>0</c:v>
                </c:pt>
                <c:pt idx="18">
                  <c:v>0</c:v>
                </c:pt>
                <c:pt idx="19">
                  <c:v>0.60085913728297835</c:v>
                </c:pt>
                <c:pt idx="20">
                  <c:v>0</c:v>
                </c:pt>
                <c:pt idx="21">
                  <c:v>0.62878109897977452</c:v>
                </c:pt>
                <c:pt idx="22">
                  <c:v>0</c:v>
                </c:pt>
                <c:pt idx="23">
                  <c:v>0</c:v>
                </c:pt>
                <c:pt idx="24">
                  <c:v>0.87256130302487922</c:v>
                </c:pt>
                <c:pt idx="25">
                  <c:v>0</c:v>
                </c:pt>
                <c:pt idx="26">
                  <c:v>0.91838195811705758</c:v>
                </c:pt>
                <c:pt idx="27">
                  <c:v>0</c:v>
                </c:pt>
                <c:pt idx="28">
                  <c:v>0</c:v>
                </c:pt>
                <c:pt idx="29">
                  <c:v>0.84750313227134422</c:v>
                </c:pt>
                <c:pt idx="30">
                  <c:v>0</c:v>
                </c:pt>
                <c:pt idx="31">
                  <c:v>0.86862359047789517</c:v>
                </c:pt>
                <c:pt idx="32">
                  <c:v>0</c:v>
                </c:pt>
                <c:pt idx="33">
                  <c:v>0</c:v>
                </c:pt>
                <c:pt idx="34">
                  <c:v>1</c:v>
                </c:pt>
                <c:pt idx="35">
                  <c:v>0</c:v>
                </c:pt>
                <c:pt idx="36">
                  <c:v>0</c:v>
                </c:pt>
                <c:pt idx="37">
                  <c:v>0.97136209056738865</c:v>
                </c:pt>
                <c:pt idx="38">
                  <c:v>0</c:v>
                </c:pt>
                <c:pt idx="39">
                  <c:v>0.84249149812063728</c:v>
                </c:pt>
                <c:pt idx="40">
                  <c:v>0</c:v>
                </c:pt>
                <c:pt idx="41">
                  <c:v>0</c:v>
                </c:pt>
                <c:pt idx="42">
                  <c:v>0.91909790585287277</c:v>
                </c:pt>
                <c:pt idx="43">
                  <c:v>0</c:v>
                </c:pt>
                <c:pt idx="44">
                  <c:v>0.79505996062287465</c:v>
                </c:pt>
                <c:pt idx="45">
                  <c:v>0</c:v>
                </c:pt>
                <c:pt idx="46">
                  <c:v>0</c:v>
                </c:pt>
                <c:pt idx="47">
                  <c:v>0.88151064972257032</c:v>
                </c:pt>
                <c:pt idx="48">
                  <c:v>0</c:v>
                </c:pt>
                <c:pt idx="49">
                  <c:v>0.88079470198675502</c:v>
                </c:pt>
                <c:pt idx="50">
                  <c:v>0</c:v>
                </c:pt>
                <c:pt idx="51">
                  <c:v>0</c:v>
                </c:pt>
                <c:pt idx="52">
                  <c:v>0.942008233398962</c:v>
                </c:pt>
                <c:pt idx="53">
                  <c:v>0</c:v>
                </c:pt>
                <c:pt idx="54">
                  <c:v>0</c:v>
                </c:pt>
                <c:pt idx="55">
                  <c:v>0.88544836226955437</c:v>
                </c:pt>
                <c:pt idx="56">
                  <c:v>0</c:v>
                </c:pt>
                <c:pt idx="57">
                  <c:v>0.9076427420798282</c:v>
                </c:pt>
                <c:pt idx="58">
                  <c:v>0</c:v>
                </c:pt>
                <c:pt idx="59">
                  <c:v>0</c:v>
                </c:pt>
                <c:pt idx="60">
                  <c:v>0.81206371934848753</c:v>
                </c:pt>
                <c:pt idx="61">
                  <c:v>0</c:v>
                </c:pt>
                <c:pt idx="62">
                  <c:v>0.79881868623590491</c:v>
                </c:pt>
                <c:pt idx="63">
                  <c:v>0</c:v>
                </c:pt>
                <c:pt idx="64">
                  <c:v>0</c:v>
                </c:pt>
                <c:pt idx="65">
                  <c:v>0.64471093610166463</c:v>
                </c:pt>
                <c:pt idx="66">
                  <c:v>0</c:v>
                </c:pt>
                <c:pt idx="67">
                  <c:v>0.64918560945051018</c:v>
                </c:pt>
                <c:pt idx="68">
                  <c:v>0</c:v>
                </c:pt>
                <c:pt idx="69">
                  <c:v>0</c:v>
                </c:pt>
                <c:pt idx="70">
                  <c:v>0.6307499552532666</c:v>
                </c:pt>
                <c:pt idx="71">
                  <c:v>0</c:v>
                </c:pt>
                <c:pt idx="72">
                  <c:v>0</c:v>
                </c:pt>
                <c:pt idx="73">
                  <c:v>0.54966887417218546</c:v>
                </c:pt>
                <c:pt idx="74">
                  <c:v>0</c:v>
                </c:pt>
                <c:pt idx="75">
                  <c:v>0.69876499015571869</c:v>
                </c:pt>
                <c:pt idx="76">
                  <c:v>0</c:v>
                </c:pt>
                <c:pt idx="77">
                  <c:v>0</c:v>
                </c:pt>
                <c:pt idx="78">
                  <c:v>0.65777698228029358</c:v>
                </c:pt>
                <c:pt idx="79">
                  <c:v>0</c:v>
                </c:pt>
                <c:pt idx="80">
                  <c:v>0.56989439770896722</c:v>
                </c:pt>
                <c:pt idx="81">
                  <c:v>0</c:v>
                </c:pt>
                <c:pt idx="82">
                  <c:v>0</c:v>
                </c:pt>
                <c:pt idx="83">
                  <c:v>0.58188652228387328</c:v>
                </c:pt>
                <c:pt idx="84">
                  <c:v>0</c:v>
                </c:pt>
                <c:pt idx="85">
                  <c:v>0</c:v>
                </c:pt>
                <c:pt idx="86">
                  <c:v>0.4333273671022016</c:v>
                </c:pt>
                <c:pt idx="87">
                  <c:v>0</c:v>
                </c:pt>
                <c:pt idx="88">
                  <c:v>0.53713978879541802</c:v>
                </c:pt>
                <c:pt idx="89">
                  <c:v>0</c:v>
                </c:pt>
                <c:pt idx="90">
                  <c:v>0</c:v>
                </c:pt>
                <c:pt idx="91">
                  <c:v>0.43887596205477003</c:v>
                </c:pt>
                <c:pt idx="92">
                  <c:v>0</c:v>
                </c:pt>
                <c:pt idx="93">
                  <c:v>0.224449615178092</c:v>
                </c:pt>
                <c:pt idx="94">
                  <c:v>0</c:v>
                </c:pt>
                <c:pt idx="95">
                  <c:v>0</c:v>
                </c:pt>
                <c:pt idx="96">
                  <c:v>0.36746017540719533</c:v>
                </c:pt>
                <c:pt idx="97">
                  <c:v>0</c:v>
                </c:pt>
                <c:pt idx="98">
                  <c:v>0.27277608734562381</c:v>
                </c:pt>
                <c:pt idx="99">
                  <c:v>0</c:v>
                </c:pt>
                <c:pt idx="100">
                  <c:v>0</c:v>
                </c:pt>
                <c:pt idx="101">
                  <c:v>0.19402183640594237</c:v>
                </c:pt>
                <c:pt idx="102">
                  <c:v>0</c:v>
                </c:pt>
                <c:pt idx="103">
                  <c:v>0</c:v>
                </c:pt>
                <c:pt idx="104">
                  <c:v>0.31770180776803297</c:v>
                </c:pt>
                <c:pt idx="105">
                  <c:v>0</c:v>
                </c:pt>
                <c:pt idx="106">
                  <c:v>0.17397529980311438</c:v>
                </c:pt>
                <c:pt idx="107">
                  <c:v>0</c:v>
                </c:pt>
                <c:pt idx="108">
                  <c:v>0</c:v>
                </c:pt>
                <c:pt idx="109">
                  <c:v>0.17361732593520673</c:v>
                </c:pt>
                <c:pt idx="110">
                  <c:v>0</c:v>
                </c:pt>
                <c:pt idx="111">
                  <c:v>0.17308036513334527</c:v>
                </c:pt>
                <c:pt idx="112">
                  <c:v>0</c:v>
                </c:pt>
                <c:pt idx="113">
                  <c:v>0</c:v>
                </c:pt>
                <c:pt idx="114">
                  <c:v>0.12027921961696796</c:v>
                </c:pt>
                <c:pt idx="115">
                  <c:v>0</c:v>
                </c:pt>
                <c:pt idx="116">
                  <c:v>4.277787721496331E-2</c:v>
                </c:pt>
                <c:pt idx="117">
                  <c:v>0</c:v>
                </c:pt>
                <c:pt idx="118">
                  <c:v>0</c:v>
                </c:pt>
                <c:pt idx="119">
                  <c:v>2.0941471272597101E-2</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0.95419616119170791</c:v>
                </c:pt>
                <c:pt idx="4">
                  <c:v>0</c:v>
                </c:pt>
                <c:pt idx="5">
                  <c:v>0</c:v>
                </c:pt>
                <c:pt idx="6">
                  <c:v>1</c:v>
                </c:pt>
                <c:pt idx="7">
                  <c:v>0</c:v>
                </c:pt>
                <c:pt idx="8">
                  <c:v>0.76467877772095771</c:v>
                </c:pt>
                <c:pt idx="9">
                  <c:v>0</c:v>
                </c:pt>
                <c:pt idx="10">
                  <c:v>0</c:v>
                </c:pt>
                <c:pt idx="11">
                  <c:v>0.69428703434881245</c:v>
                </c:pt>
                <c:pt idx="12">
                  <c:v>0</c:v>
                </c:pt>
                <c:pt idx="13">
                  <c:v>0.59502974939224096</c:v>
                </c:pt>
                <c:pt idx="14">
                  <c:v>0</c:v>
                </c:pt>
                <c:pt idx="15">
                  <c:v>0</c:v>
                </c:pt>
                <c:pt idx="16">
                  <c:v>0.51677217493003413</c:v>
                </c:pt>
                <c:pt idx="17">
                  <c:v>0</c:v>
                </c:pt>
                <c:pt idx="18">
                  <c:v>0</c:v>
                </c:pt>
                <c:pt idx="19">
                  <c:v>0.42892512556947027</c:v>
                </c:pt>
                <c:pt idx="20">
                  <c:v>0</c:v>
                </c:pt>
                <c:pt idx="21">
                  <c:v>0.33822311465404425</c:v>
                </c:pt>
                <c:pt idx="22">
                  <c:v>0</c:v>
                </c:pt>
                <c:pt idx="23">
                  <c:v>0</c:v>
                </c:pt>
                <c:pt idx="24">
                  <c:v>0.26280162130206791</c:v>
                </c:pt>
                <c:pt idx="25">
                  <c:v>0</c:v>
                </c:pt>
                <c:pt idx="26">
                  <c:v>0.20901910590294762</c:v>
                </c:pt>
                <c:pt idx="27">
                  <c:v>0</c:v>
                </c:pt>
                <c:pt idx="28">
                  <c:v>0</c:v>
                </c:pt>
                <c:pt idx="29">
                  <c:v>0.17319334352097024</c:v>
                </c:pt>
                <c:pt idx="30">
                  <c:v>0</c:v>
                </c:pt>
                <c:pt idx="31">
                  <c:v>0.14201817333872271</c:v>
                </c:pt>
                <c:pt idx="32">
                  <c:v>0</c:v>
                </c:pt>
                <c:pt idx="33">
                  <c:v>0</c:v>
                </c:pt>
                <c:pt idx="34">
                  <c:v>0.12045753759680472</c:v>
                </c:pt>
                <c:pt idx="35">
                  <c:v>0</c:v>
                </c:pt>
                <c:pt idx="36">
                  <c:v>0</c:v>
                </c:pt>
                <c:pt idx="37">
                  <c:v>9.7756194418752065E-2</c:v>
                </c:pt>
                <c:pt idx="38">
                  <c:v>0</c:v>
                </c:pt>
                <c:pt idx="39">
                  <c:v>8.6223751836733156E-2</c:v>
                </c:pt>
                <c:pt idx="40">
                  <c:v>0</c:v>
                </c:pt>
                <c:pt idx="41">
                  <c:v>0</c:v>
                </c:pt>
                <c:pt idx="42">
                  <c:v>7.4882482864257235E-2</c:v>
                </c:pt>
                <c:pt idx="43">
                  <c:v>0</c:v>
                </c:pt>
                <c:pt idx="44">
                  <c:v>6.0752114134438373E-2</c:v>
                </c:pt>
                <c:pt idx="45">
                  <c:v>0</c:v>
                </c:pt>
                <c:pt idx="46">
                  <c:v>0</c:v>
                </c:pt>
                <c:pt idx="47">
                  <c:v>5.2193669457190742E-2</c:v>
                </c:pt>
                <c:pt idx="48">
                  <c:v>0</c:v>
                </c:pt>
                <c:pt idx="49">
                  <c:v>4.2005640042196021E-2</c:v>
                </c:pt>
                <c:pt idx="50">
                  <c:v>0</c:v>
                </c:pt>
                <c:pt idx="51">
                  <c:v>0</c:v>
                </c:pt>
                <c:pt idx="52">
                  <c:v>3.7392665359748799E-2</c:v>
                </c:pt>
                <c:pt idx="53">
                  <c:v>0</c:v>
                </c:pt>
                <c:pt idx="54">
                  <c:v>0</c:v>
                </c:pt>
                <c:pt idx="55">
                  <c:v>3.1009089019721697E-2</c:v>
                </c:pt>
                <c:pt idx="56">
                  <c:v>0</c:v>
                </c:pt>
                <c:pt idx="57">
                  <c:v>2.6888122318863162E-2</c:v>
                </c:pt>
                <c:pt idx="58">
                  <c:v>0</c:v>
                </c:pt>
                <c:pt idx="59">
                  <c:v>0</c:v>
                </c:pt>
                <c:pt idx="60">
                  <c:v>2.3152614714184137E-2</c:v>
                </c:pt>
                <c:pt idx="61">
                  <c:v>0</c:v>
                </c:pt>
                <c:pt idx="62">
                  <c:v>1.9326230426860106E-2</c:v>
                </c:pt>
                <c:pt idx="63">
                  <c:v>0</c:v>
                </c:pt>
                <c:pt idx="64">
                  <c:v>0</c:v>
                </c:pt>
                <c:pt idx="65">
                  <c:v>1.6756501552089832E-2</c:v>
                </c:pt>
                <c:pt idx="66">
                  <c:v>0</c:v>
                </c:pt>
                <c:pt idx="67">
                  <c:v>1.3522405720730065E-2</c:v>
                </c:pt>
                <c:pt idx="68">
                  <c:v>0</c:v>
                </c:pt>
                <c:pt idx="69">
                  <c:v>0</c:v>
                </c:pt>
                <c:pt idx="70">
                  <c:v>1.2434973902480141E-2</c:v>
                </c:pt>
                <c:pt idx="71">
                  <c:v>0</c:v>
                </c:pt>
                <c:pt idx="72">
                  <c:v>0</c:v>
                </c:pt>
                <c:pt idx="73">
                  <c:v>9.5894701976365123E-3</c:v>
                </c:pt>
                <c:pt idx="74">
                  <c:v>0</c:v>
                </c:pt>
                <c:pt idx="75">
                  <c:v>8.226261198952891E-3</c:v>
                </c:pt>
                <c:pt idx="76">
                  <c:v>0</c:v>
                </c:pt>
                <c:pt idx="77">
                  <c:v>0</c:v>
                </c:pt>
                <c:pt idx="78">
                  <c:v>6.7000946666386976E-3</c:v>
                </c:pt>
                <c:pt idx="79">
                  <c:v>0</c:v>
                </c:pt>
                <c:pt idx="80">
                  <c:v>5.3118143741810089E-3</c:v>
                </c:pt>
                <c:pt idx="81">
                  <c:v>0</c:v>
                </c:pt>
                <c:pt idx="82">
                  <c:v>0</c:v>
                </c:pt>
                <c:pt idx="83">
                  <c:v>3.8169851963141418E-3</c:v>
                </c:pt>
                <c:pt idx="84">
                  <c:v>0</c:v>
                </c:pt>
                <c:pt idx="85">
                  <c:v>0</c:v>
                </c:pt>
                <c:pt idx="86">
                  <c:v>3.0429339736184977E-3</c:v>
                </c:pt>
                <c:pt idx="87">
                  <c:v>0</c:v>
                </c:pt>
                <c:pt idx="88">
                  <c:v>1.9429653333013685E-3</c:v>
                </c:pt>
                <c:pt idx="89">
                  <c:v>0</c:v>
                </c:pt>
                <c:pt idx="90">
                  <c:v>0</c:v>
                </c:pt>
                <c:pt idx="91">
                  <c:v>1.5042306192371E-3</c:v>
                </c:pt>
                <c:pt idx="92">
                  <c:v>0</c:v>
                </c:pt>
                <c:pt idx="93">
                  <c:v>9.8088293284074473E-4</c:v>
                </c:pt>
                <c:pt idx="94">
                  <c:v>0</c:v>
                </c:pt>
                <c:pt idx="95">
                  <c:v>0</c:v>
                </c:pt>
                <c:pt idx="96">
                  <c:v>7.1450954413762255E-4</c:v>
                </c:pt>
                <c:pt idx="97">
                  <c:v>0</c:v>
                </c:pt>
                <c:pt idx="98">
                  <c:v>5.233476863963553E-4</c:v>
                </c:pt>
                <c:pt idx="99">
                  <c:v>0</c:v>
                </c:pt>
                <c:pt idx="100">
                  <c:v>0</c:v>
                </c:pt>
                <c:pt idx="101">
                  <c:v>5.5468504084368062E-4</c:v>
                </c:pt>
                <c:pt idx="102">
                  <c:v>0</c:v>
                </c:pt>
                <c:pt idx="103">
                  <c:v>0</c:v>
                </c:pt>
                <c:pt idx="104">
                  <c:v>1.7549435569777584E-4</c:v>
                </c:pt>
                <c:pt idx="105">
                  <c:v>0</c:v>
                </c:pt>
                <c:pt idx="106">
                  <c:v>1.0654888540918039E-4</c:v>
                </c:pt>
                <c:pt idx="107">
                  <c:v>0</c:v>
                </c:pt>
                <c:pt idx="108">
                  <c:v>0</c:v>
                </c:pt>
                <c:pt idx="109">
                  <c:v>2.8204324110695625E-5</c:v>
                </c:pt>
                <c:pt idx="110">
                  <c:v>0</c:v>
                </c:pt>
                <c:pt idx="111">
                  <c:v>1.8802882740463751E-5</c:v>
                </c:pt>
                <c:pt idx="112">
                  <c:v>0</c:v>
                </c:pt>
                <c:pt idx="113">
                  <c:v>0</c:v>
                </c:pt>
                <c:pt idx="114">
                  <c:v>4.7007206851159376E-5</c:v>
                </c:pt>
                <c:pt idx="115">
                  <c:v>0</c:v>
                </c:pt>
                <c:pt idx="116">
                  <c:v>3.1330303366297722E-6</c:v>
                </c:pt>
                <c:pt idx="117">
                  <c:v>0</c:v>
                </c:pt>
                <c:pt idx="118">
                  <c:v>0</c:v>
                </c:pt>
                <c:pt idx="119">
                  <c:v>9.4014413702318755E-6</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(56.3 , 10.7)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56.306968739188392</c:v>
                </c:pt>
              </c:numCache>
            </c:numRef>
          </c:xVal>
          <c:yVal>
            <c:numRef>
              <c:f>info!$W$20:$W$21</c:f>
              <c:numCache>
                <c:formatCode>General</c:formatCode>
                <c:ptCount val="2"/>
                <c:pt idx="0">
                  <c:v>50</c:v>
                </c:pt>
                <c:pt idx="1">
                  <c:v>10.661039541187577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64.41</c:v>
                      </c:pt>
                    </c:numCache>
                  </c:numRef>
                </c:xVal>
                <c:yVal>
                  <c:numRef>
                    <c:extLst>
                      <c:ext uri="{02D57815-91ED-43cb-92C2-25804820EDAC}">
                        <c15:formulaRef>
                          <c15:sqref>info!$W$18</c15:sqref>
                        </c15:formulaRef>
                      </c:ext>
                    </c:extLst>
                    <c:numCache>
                      <c:formatCode>General</c:formatCode>
                      <c:ptCount val="1"/>
                      <c:pt idx="0">
                        <c:v>25.846699999999998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(56.3 , 10.7)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56.306968739188392</c:v>
                </c:pt>
              </c:numCache>
            </c:numRef>
          </c:xVal>
          <c:yVal>
            <c:numRef>
              <c:f>info!$W$20:$W$21</c:f>
              <c:numCache>
                <c:formatCode>General</c:formatCode>
                <c:ptCount val="2"/>
                <c:pt idx="0">
                  <c:v>50</c:v>
                </c:pt>
                <c:pt idx="1">
                  <c:v>10.661039541187577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26.945499999999999</c:v>
                </c:pt>
                <c:pt idx="1">
                  <c:v>24.9968</c:v>
                </c:pt>
                <c:pt idx="2">
                  <c:v>36.403300000000002</c:v>
                </c:pt>
                <c:pt idx="3">
                  <c:v>28.962</c:v>
                </c:pt>
                <c:pt idx="4">
                  <c:v>71.067999999999998</c:v>
                </c:pt>
                <c:pt idx="5">
                  <c:v>82.443700000000007</c:v>
                </c:pt>
                <c:pt idx="6">
                  <c:v>11.0063</c:v>
                </c:pt>
                <c:pt idx="7">
                  <c:v>76.639399999999995</c:v>
                </c:pt>
                <c:pt idx="8">
                  <c:v>21.4147</c:v>
                </c:pt>
                <c:pt idx="9">
                  <c:v>15.072800000000001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0.55895929909141473</c:v>
                </c:pt>
                <c:pt idx="1">
                  <c:v>0.27189783052104577</c:v>
                </c:pt>
                <c:pt idx="2">
                  <c:v>0.16914287038753936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0.12171111508859854</c:v>
                </c:pt>
                <c:pt idx="7">
                  <c:v>0</c:v>
                </c:pt>
                <c:pt idx="8">
                  <c:v>0.35940576337927332</c:v>
                </c:pt>
                <c:pt idx="9">
                  <c:v>0</c:v>
                </c:pt>
                <c:pt idx="10">
                  <c:v>0</c:v>
                </c:pt>
                <c:pt idx="11">
                  <c:v>0.44442455700733846</c:v>
                </c:pt>
                <c:pt idx="12">
                  <c:v>0</c:v>
                </c:pt>
                <c:pt idx="13">
                  <c:v>0.41757651691426523</c:v>
                </c:pt>
                <c:pt idx="14">
                  <c:v>0</c:v>
                </c:pt>
                <c:pt idx="15">
                  <c:v>0</c:v>
                </c:pt>
                <c:pt idx="16">
                  <c:v>0.40719527474494366</c:v>
                </c:pt>
                <c:pt idx="17">
                  <c:v>0</c:v>
                </c:pt>
                <c:pt idx="18">
                  <c:v>0</c:v>
                </c:pt>
                <c:pt idx="19">
                  <c:v>0.60085913728297835</c:v>
                </c:pt>
                <c:pt idx="20">
                  <c:v>0</c:v>
                </c:pt>
                <c:pt idx="21">
                  <c:v>0.62878109897977452</c:v>
                </c:pt>
                <c:pt idx="22">
                  <c:v>0</c:v>
                </c:pt>
                <c:pt idx="23">
                  <c:v>0</c:v>
                </c:pt>
                <c:pt idx="24">
                  <c:v>0.87256130302487922</c:v>
                </c:pt>
                <c:pt idx="25">
                  <c:v>0</c:v>
                </c:pt>
                <c:pt idx="26">
                  <c:v>0.91838195811705758</c:v>
                </c:pt>
                <c:pt idx="27">
                  <c:v>0</c:v>
                </c:pt>
                <c:pt idx="28">
                  <c:v>0</c:v>
                </c:pt>
                <c:pt idx="29">
                  <c:v>0.84750313227134422</c:v>
                </c:pt>
                <c:pt idx="30">
                  <c:v>0</c:v>
                </c:pt>
                <c:pt idx="31">
                  <c:v>0.86862359047789517</c:v>
                </c:pt>
                <c:pt idx="32">
                  <c:v>0</c:v>
                </c:pt>
                <c:pt idx="33">
                  <c:v>0</c:v>
                </c:pt>
                <c:pt idx="34">
                  <c:v>1</c:v>
                </c:pt>
                <c:pt idx="35">
                  <c:v>0</c:v>
                </c:pt>
                <c:pt idx="36">
                  <c:v>0</c:v>
                </c:pt>
                <c:pt idx="37">
                  <c:v>0.97136209056738865</c:v>
                </c:pt>
                <c:pt idx="38">
                  <c:v>0</c:v>
                </c:pt>
                <c:pt idx="39">
                  <c:v>0.84249149812063728</c:v>
                </c:pt>
                <c:pt idx="40">
                  <c:v>0</c:v>
                </c:pt>
                <c:pt idx="41">
                  <c:v>0</c:v>
                </c:pt>
                <c:pt idx="42">
                  <c:v>0.91909790585287277</c:v>
                </c:pt>
                <c:pt idx="43">
                  <c:v>0</c:v>
                </c:pt>
                <c:pt idx="44">
                  <c:v>0.79505996062287465</c:v>
                </c:pt>
                <c:pt idx="45">
                  <c:v>0</c:v>
                </c:pt>
                <c:pt idx="46">
                  <c:v>0</c:v>
                </c:pt>
                <c:pt idx="47">
                  <c:v>0.88151064972257032</c:v>
                </c:pt>
                <c:pt idx="48">
                  <c:v>0</c:v>
                </c:pt>
                <c:pt idx="49">
                  <c:v>0.88079470198675502</c:v>
                </c:pt>
                <c:pt idx="50">
                  <c:v>0</c:v>
                </c:pt>
                <c:pt idx="51">
                  <c:v>0</c:v>
                </c:pt>
                <c:pt idx="52">
                  <c:v>0.942008233398962</c:v>
                </c:pt>
                <c:pt idx="53">
                  <c:v>0</c:v>
                </c:pt>
                <c:pt idx="54">
                  <c:v>0</c:v>
                </c:pt>
                <c:pt idx="55">
                  <c:v>0.88544836226955437</c:v>
                </c:pt>
                <c:pt idx="56">
                  <c:v>0</c:v>
                </c:pt>
                <c:pt idx="57">
                  <c:v>0.9076427420798282</c:v>
                </c:pt>
                <c:pt idx="58">
                  <c:v>0</c:v>
                </c:pt>
                <c:pt idx="59">
                  <c:v>0</c:v>
                </c:pt>
                <c:pt idx="60">
                  <c:v>0.81206371934848753</c:v>
                </c:pt>
                <c:pt idx="61">
                  <c:v>0</c:v>
                </c:pt>
                <c:pt idx="62">
                  <c:v>0.79881868623590491</c:v>
                </c:pt>
                <c:pt idx="63">
                  <c:v>0</c:v>
                </c:pt>
                <c:pt idx="64">
                  <c:v>0</c:v>
                </c:pt>
                <c:pt idx="65">
                  <c:v>0.64471093610166463</c:v>
                </c:pt>
                <c:pt idx="66">
                  <c:v>0</c:v>
                </c:pt>
                <c:pt idx="67">
                  <c:v>0.64918560945051018</c:v>
                </c:pt>
                <c:pt idx="68">
                  <c:v>0</c:v>
                </c:pt>
                <c:pt idx="69">
                  <c:v>0</c:v>
                </c:pt>
                <c:pt idx="70">
                  <c:v>0.6307499552532666</c:v>
                </c:pt>
                <c:pt idx="71">
                  <c:v>0</c:v>
                </c:pt>
                <c:pt idx="72">
                  <c:v>0</c:v>
                </c:pt>
                <c:pt idx="73">
                  <c:v>0.54966887417218546</c:v>
                </c:pt>
                <c:pt idx="74">
                  <c:v>0</c:v>
                </c:pt>
                <c:pt idx="75">
                  <c:v>0.69876499015571869</c:v>
                </c:pt>
                <c:pt idx="76">
                  <c:v>0</c:v>
                </c:pt>
                <c:pt idx="77">
                  <c:v>0</c:v>
                </c:pt>
                <c:pt idx="78">
                  <c:v>0.65777698228029358</c:v>
                </c:pt>
                <c:pt idx="79">
                  <c:v>0</c:v>
                </c:pt>
                <c:pt idx="80">
                  <c:v>0.56989439770896722</c:v>
                </c:pt>
                <c:pt idx="81">
                  <c:v>0</c:v>
                </c:pt>
                <c:pt idx="82">
                  <c:v>0</c:v>
                </c:pt>
                <c:pt idx="83">
                  <c:v>0.58188652228387328</c:v>
                </c:pt>
                <c:pt idx="84">
                  <c:v>0</c:v>
                </c:pt>
                <c:pt idx="85">
                  <c:v>0</c:v>
                </c:pt>
                <c:pt idx="86">
                  <c:v>0.4333273671022016</c:v>
                </c:pt>
                <c:pt idx="87">
                  <c:v>0</c:v>
                </c:pt>
                <c:pt idx="88">
                  <c:v>0.53713978879541802</c:v>
                </c:pt>
                <c:pt idx="89">
                  <c:v>0</c:v>
                </c:pt>
                <c:pt idx="90">
                  <c:v>0</c:v>
                </c:pt>
                <c:pt idx="91">
                  <c:v>0.43887596205477003</c:v>
                </c:pt>
                <c:pt idx="92">
                  <c:v>0</c:v>
                </c:pt>
                <c:pt idx="93">
                  <c:v>0.224449615178092</c:v>
                </c:pt>
                <c:pt idx="94">
                  <c:v>0</c:v>
                </c:pt>
                <c:pt idx="95">
                  <c:v>0</c:v>
                </c:pt>
                <c:pt idx="96">
                  <c:v>0.36746017540719533</c:v>
                </c:pt>
                <c:pt idx="97">
                  <c:v>0</c:v>
                </c:pt>
                <c:pt idx="98">
                  <c:v>0.27277608734562381</c:v>
                </c:pt>
                <c:pt idx="99">
                  <c:v>0</c:v>
                </c:pt>
                <c:pt idx="100">
                  <c:v>0</c:v>
                </c:pt>
                <c:pt idx="101">
                  <c:v>0.19402183640594237</c:v>
                </c:pt>
                <c:pt idx="102">
                  <c:v>0</c:v>
                </c:pt>
                <c:pt idx="103">
                  <c:v>0</c:v>
                </c:pt>
                <c:pt idx="104">
                  <c:v>0.31770180776803297</c:v>
                </c:pt>
                <c:pt idx="105">
                  <c:v>0</c:v>
                </c:pt>
                <c:pt idx="106">
                  <c:v>0.17397529980311438</c:v>
                </c:pt>
                <c:pt idx="107">
                  <c:v>0</c:v>
                </c:pt>
                <c:pt idx="108">
                  <c:v>0</c:v>
                </c:pt>
                <c:pt idx="109">
                  <c:v>0.17361732593520673</c:v>
                </c:pt>
                <c:pt idx="110">
                  <c:v>0</c:v>
                </c:pt>
                <c:pt idx="111">
                  <c:v>0.17308036513334527</c:v>
                </c:pt>
                <c:pt idx="112">
                  <c:v>0</c:v>
                </c:pt>
                <c:pt idx="113">
                  <c:v>0</c:v>
                </c:pt>
                <c:pt idx="114">
                  <c:v>0.12027921961696796</c:v>
                </c:pt>
                <c:pt idx="115">
                  <c:v>0</c:v>
                </c:pt>
                <c:pt idx="116">
                  <c:v>4.277787721496331E-2</c:v>
                </c:pt>
                <c:pt idx="117">
                  <c:v>0</c:v>
                </c:pt>
                <c:pt idx="118">
                  <c:v>0</c:v>
                </c:pt>
                <c:pt idx="119">
                  <c:v>2.0941471272597101E-2</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1.93736</c:v>
                </c:pt>
                <c:pt idx="1">
                  <c:v>1.96052</c:v>
                </c:pt>
                <c:pt idx="2">
                  <c:v>1.98088</c:v>
                </c:pt>
                <c:pt idx="3">
                  <c:v>1.9983600000000001</c:v>
                </c:pt>
                <c:pt idx="4">
                  <c:v>2.0120100000000001</c:v>
                </c:pt>
                <c:pt idx="5">
                  <c:v>2.0248499999999998</c:v>
                </c:pt>
                <c:pt idx="6">
                  <c:v>2.0389499999999998</c:v>
                </c:pt>
                <c:pt idx="7">
                  <c:v>2.0539399999999999</c:v>
                </c:pt>
                <c:pt idx="8">
                  <c:v>2.06826</c:v>
                </c:pt>
                <c:pt idx="9">
                  <c:v>2.0825199999999997</c:v>
                </c:pt>
                <c:pt idx="10">
                  <c:v>2.0960799999999997</c:v>
                </c:pt>
                <c:pt idx="11">
                  <c:v>2.1095700000000002</c:v>
                </c:pt>
                <c:pt idx="12">
                  <c:v>2.1238299999999999</c:v>
                </c:pt>
                <c:pt idx="13">
                  <c:v>2.1353599999999999</c:v>
                </c:pt>
                <c:pt idx="14">
                  <c:v>2.14358</c:v>
                </c:pt>
                <c:pt idx="15">
                  <c:v>2.1424000000000003</c:v>
                </c:pt>
                <c:pt idx="16">
                  <c:v>2.1358999999999999</c:v>
                </c:pt>
                <c:pt idx="17">
                  <c:v>2.1252900000000001</c:v>
                </c:pt>
                <c:pt idx="18">
                  <c:v>2.1153599999999999</c:v>
                </c:pt>
                <c:pt idx="19">
                  <c:v>2.1068000000000002</c:v>
                </c:pt>
                <c:pt idx="20">
                  <c:v>2.0937999999999999</c:v>
                </c:pt>
                <c:pt idx="21">
                  <c:v>2.0735700000000001</c:v>
                </c:pt>
                <c:pt idx="22">
                  <c:v>2.05532</c:v>
                </c:pt>
                <c:pt idx="23">
                  <c:v>2.0458799999999999</c:v>
                </c:pt>
                <c:pt idx="24">
                  <c:v>2.0329299999999999</c:v>
                </c:pt>
              </c:numCache>
              <c:extLst xmlns:c15="http://schemas.microsoft.com/office/drawing/2012/chart"/>
            </c:numRef>
          </c:xVal>
          <c:yVal>
            <c:numRef>
              <c:f>[0]!FT_PH</c:f>
              <c:numCache>
                <c:formatCode>0.00</c:formatCode>
                <c:ptCount val="25"/>
                <c:pt idx="0">
                  <c:v>55.491900000000008</c:v>
                </c:pt>
                <c:pt idx="1">
                  <c:v>55.017300000000006</c:v>
                </c:pt>
                <c:pt idx="2">
                  <c:v>54.597099999999998</c:v>
                </c:pt>
                <c:pt idx="3">
                  <c:v>54.193800000000003</c:v>
                </c:pt>
                <c:pt idx="4">
                  <c:v>53.857600000000005</c:v>
                </c:pt>
                <c:pt idx="5">
                  <c:v>53.537300000000002</c:v>
                </c:pt>
                <c:pt idx="6">
                  <c:v>53.187399999999997</c:v>
                </c:pt>
                <c:pt idx="7">
                  <c:v>52.834599999999995</c:v>
                </c:pt>
                <c:pt idx="8">
                  <c:v>52.483699999999999</c:v>
                </c:pt>
                <c:pt idx="9">
                  <c:v>52.128900000000002</c:v>
                </c:pt>
                <c:pt idx="10">
                  <c:v>51.795000000000002</c:v>
                </c:pt>
                <c:pt idx="11">
                  <c:v>51.494099999999996</c:v>
                </c:pt>
                <c:pt idx="12">
                  <c:v>51.143799999999992</c:v>
                </c:pt>
                <c:pt idx="13">
                  <c:v>50.874299999999991</c:v>
                </c:pt>
                <c:pt idx="14">
                  <c:v>50.624000000000002</c:v>
                </c:pt>
                <c:pt idx="15">
                  <c:v>50.393100000000004</c:v>
                </c:pt>
                <c:pt idx="16">
                  <c:v>50.096799999999995</c:v>
                </c:pt>
                <c:pt idx="17">
                  <c:v>49.805999999999997</c:v>
                </c:pt>
                <c:pt idx="18">
                  <c:v>49.587299999999999</c:v>
                </c:pt>
                <c:pt idx="19">
                  <c:v>49.486899999999999</c:v>
                </c:pt>
                <c:pt idx="20">
                  <c:v>49.424399999999999</c:v>
                </c:pt>
                <c:pt idx="21">
                  <c:v>49.323499999999996</c:v>
                </c:pt>
                <c:pt idx="22">
                  <c:v>49.143799999999999</c:v>
                </c:pt>
                <c:pt idx="23">
                  <c:v>48.907299999999999</c:v>
                </c:pt>
                <c:pt idx="24">
                  <c:v>48.7697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1.93736</c:v>
                </c:pt>
              </c:numCache>
            </c:numRef>
          </c:xVal>
          <c:yVal>
            <c:numRef>
              <c:f>[0]!FT_PH01</c:f>
              <c:numCache>
                <c:formatCode>0.00</c:formatCode>
                <c:ptCount val="1"/>
                <c:pt idx="0">
                  <c:v>55.491900000000008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1.93736</c:v>
                </c:pt>
              </c:numCache>
            </c:numRef>
          </c:xVal>
          <c:yVal>
            <c:numRef>
              <c:f>[0]!FT_PH02</c:f>
              <c:numCache>
                <c:formatCode>0.00</c:formatCode>
                <c:ptCount val="1"/>
                <c:pt idx="0">
                  <c:v>55.491900000000008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1.93736</c:v>
                </c:pt>
              </c:numCache>
            </c:numRef>
          </c:xVal>
          <c:yVal>
            <c:numRef>
              <c:f>[0]!FT_PH03</c:f>
              <c:numCache>
                <c:formatCode>0.00</c:formatCode>
                <c:ptCount val="1"/>
                <c:pt idx="0">
                  <c:v>55.491900000000008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1.93736</c:v>
                </c:pt>
              </c:numCache>
            </c:numRef>
          </c:xVal>
          <c:yVal>
            <c:numRef>
              <c:f>[0]!FT_PH04</c:f>
              <c:numCache>
                <c:formatCode>0.00</c:formatCode>
                <c:ptCount val="1"/>
                <c:pt idx="0">
                  <c:v>55.491900000000008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1.93736</c:v>
                </c:pt>
              </c:numCache>
            </c:numRef>
          </c:xVal>
          <c:yVal>
            <c:numRef>
              <c:f>[0]!FT_PH05</c:f>
              <c:numCache>
                <c:formatCode>0.00</c:formatCode>
                <c:ptCount val="1"/>
                <c:pt idx="0">
                  <c:v>55.491900000000008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1.93736</c:v>
                </c:pt>
              </c:numCache>
            </c:numRef>
          </c:xVal>
          <c:yVal>
            <c:numRef>
              <c:f>[0]!FT_PH06</c:f>
              <c:numCache>
                <c:formatCode>0.00</c:formatCode>
                <c:ptCount val="1"/>
                <c:pt idx="0">
                  <c:v>55.491900000000008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1.93736</c:v>
                </c:pt>
              </c:numCache>
            </c:numRef>
          </c:xVal>
          <c:yVal>
            <c:numRef>
              <c:f>[0]!FT_PH07</c:f>
              <c:numCache>
                <c:formatCode>0.00</c:formatCode>
                <c:ptCount val="1"/>
                <c:pt idx="0">
                  <c:v>55.491900000000008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1.93736</c:v>
                </c:pt>
              </c:numCache>
            </c:numRef>
          </c:xVal>
          <c:yVal>
            <c:numRef>
              <c:f>[0]!FT_PH08</c:f>
              <c:numCache>
                <c:formatCode>0.00</c:formatCode>
                <c:ptCount val="1"/>
                <c:pt idx="0">
                  <c:v>55.491900000000008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1.93736</c:v>
                </c:pt>
              </c:numCache>
            </c:numRef>
          </c:xVal>
          <c:yVal>
            <c:numRef>
              <c:f>[0]!FT_PH09</c:f>
              <c:numCache>
                <c:formatCode>0.00</c:formatCode>
                <c:ptCount val="1"/>
                <c:pt idx="0">
                  <c:v>55.491900000000008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1.93736</c:v>
                </c:pt>
              </c:numCache>
            </c:numRef>
          </c:xVal>
          <c:yVal>
            <c:numRef>
              <c:f>[0]!FT_PH10</c:f>
              <c:numCache>
                <c:formatCode>0.00</c:formatCode>
                <c:ptCount val="1"/>
                <c:pt idx="0">
                  <c:v>55.491900000000008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1.93736</c:v>
                </c:pt>
              </c:numCache>
            </c:numRef>
          </c:xVal>
          <c:yVal>
            <c:numRef>
              <c:f>[0]!FT_PH11</c:f>
              <c:numCache>
                <c:formatCode>0.00</c:formatCode>
                <c:ptCount val="1"/>
                <c:pt idx="0">
                  <c:v>55.491900000000008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1.93736</c:v>
                </c:pt>
              </c:numCache>
            </c:numRef>
          </c:xVal>
          <c:yVal>
            <c:numRef>
              <c:f>[0]!FT_PH12</c:f>
              <c:numCache>
                <c:formatCode>0.00</c:formatCode>
                <c:ptCount val="1"/>
                <c:pt idx="0">
                  <c:v>55.491900000000008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1.93736</c:v>
                </c:pt>
              </c:numCache>
            </c:numRef>
          </c:xVal>
          <c:yVal>
            <c:numRef>
              <c:f>[0]!FT_PH13</c:f>
              <c:numCache>
                <c:formatCode>0.00</c:formatCode>
                <c:ptCount val="1"/>
                <c:pt idx="0">
                  <c:v>55.491900000000008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1.93736</c:v>
                </c:pt>
              </c:numCache>
            </c:numRef>
          </c:xVal>
          <c:yVal>
            <c:numRef>
              <c:f>[0]!FT_PH14</c:f>
              <c:numCache>
                <c:formatCode>0.00</c:formatCode>
                <c:ptCount val="1"/>
                <c:pt idx="0">
                  <c:v>55.491900000000008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1.93736</c:v>
                </c:pt>
              </c:numCache>
            </c:numRef>
          </c:xVal>
          <c:yVal>
            <c:numRef>
              <c:f>[0]!FT_PH15</c:f>
              <c:numCache>
                <c:formatCode>0.00</c:formatCode>
                <c:ptCount val="1"/>
                <c:pt idx="0">
                  <c:v>55.491900000000008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1.93736</c:v>
                </c:pt>
              </c:numCache>
            </c:numRef>
          </c:xVal>
          <c:yVal>
            <c:numRef>
              <c:f>[0]!FT_PH16</c:f>
              <c:numCache>
                <c:formatCode>0.00</c:formatCode>
                <c:ptCount val="1"/>
                <c:pt idx="0">
                  <c:v>55.491900000000008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1.93736</c:v>
                </c:pt>
              </c:numCache>
            </c:numRef>
          </c:xVal>
          <c:yVal>
            <c:numRef>
              <c:f>[0]!FT_PH17</c:f>
              <c:numCache>
                <c:formatCode>0.00</c:formatCode>
                <c:ptCount val="1"/>
                <c:pt idx="0">
                  <c:v>55.491900000000008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1.93736</c:v>
                </c:pt>
              </c:numCache>
            </c:numRef>
          </c:xVal>
          <c:yVal>
            <c:numRef>
              <c:f>[0]!FT_PH18</c:f>
              <c:numCache>
                <c:formatCode>0.00</c:formatCode>
                <c:ptCount val="1"/>
                <c:pt idx="0">
                  <c:v>55.491900000000008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1.93736</c:v>
                </c:pt>
              </c:numCache>
            </c:numRef>
          </c:xVal>
          <c:yVal>
            <c:numRef>
              <c:f>[0]!FT_PH19</c:f>
              <c:numCache>
                <c:formatCode>0.00</c:formatCode>
                <c:ptCount val="1"/>
                <c:pt idx="0">
                  <c:v>55.491900000000008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1.93736</c:v>
                </c:pt>
              </c:numCache>
            </c:numRef>
          </c:xVal>
          <c:yVal>
            <c:numRef>
              <c:f>[0]!FT_PH20</c:f>
              <c:numCache>
                <c:formatCode>0.00</c:formatCode>
                <c:ptCount val="1"/>
                <c:pt idx="0">
                  <c:v>55.491900000000008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1.93736</c:v>
                </c:pt>
              </c:numCache>
            </c:numRef>
          </c:xVal>
          <c:yVal>
            <c:numRef>
              <c:f>[0]!FT_PH21</c:f>
              <c:numCache>
                <c:formatCode>0.00</c:formatCode>
                <c:ptCount val="1"/>
                <c:pt idx="0">
                  <c:v>55.491900000000008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1.93736</c:v>
                </c:pt>
              </c:numCache>
            </c:numRef>
          </c:xVal>
          <c:yVal>
            <c:numRef>
              <c:f>[0]!FT_PH22</c:f>
              <c:numCache>
                <c:formatCode>0.00</c:formatCode>
                <c:ptCount val="1"/>
                <c:pt idx="0">
                  <c:v>55.491900000000008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1.93736</c:v>
                </c:pt>
              </c:numCache>
            </c:numRef>
          </c:xVal>
          <c:yVal>
            <c:numRef>
              <c:f>[0]!FT_PH23</c:f>
              <c:numCache>
                <c:formatCode>0.00</c:formatCode>
                <c:ptCount val="1"/>
                <c:pt idx="0">
                  <c:v>55.491900000000008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1.93736</c:v>
                </c:pt>
              </c:numCache>
            </c:numRef>
          </c:xVal>
          <c:yVal>
            <c:numRef>
              <c:f>[0]!FT_PH24</c:f>
              <c:numCache>
                <c:formatCode>0.00</c:formatCode>
                <c:ptCount val="1"/>
                <c:pt idx="0">
                  <c:v>55.491900000000008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1.93736</c:v>
                </c:pt>
              </c:numCache>
            </c:numRef>
          </c:xVal>
          <c:yVal>
            <c:numRef>
              <c:f>info!$H$2</c:f>
              <c:numCache>
                <c:formatCode>0.00</c:formatCode>
                <c:ptCount val="1"/>
                <c:pt idx="0">
                  <c:v>55.491900000000008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9.4183152945925178E-2</c:v>
                </c:pt>
                <c:pt idx="1">
                  <c:v>0.17657774565763565</c:v>
                </c:pt>
                <c:pt idx="2">
                  <c:v>0.7292391013964391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0.35291899999999998</c:v>
                </c:pt>
                <c:pt idx="2">
                  <c:v>0.74329500000000004</c:v>
                </c:pt>
                <c:pt idx="3">
                  <c:v>1.16242</c:v>
                </c:pt>
                <c:pt idx="4">
                  <c:v>1.5821799999999999</c:v>
                </c:pt>
                <c:pt idx="5">
                  <c:v>1.9799800000000001</c:v>
                </c:pt>
                <c:pt idx="6">
                  <c:v>2.3831000000000002</c:v>
                </c:pt>
                <c:pt idx="7">
                  <c:v>2.77068</c:v>
                </c:pt>
                <c:pt idx="8">
                  <c:v>3.1752699999999998</c:v>
                </c:pt>
                <c:pt idx="9">
                  <c:v>3.5893799999999998</c:v>
                </c:pt>
                <c:pt idx="10">
                  <c:v>4.0336999999999996</c:v>
                </c:pt>
                <c:pt idx="11">
                  <c:v>4.3996300000000002</c:v>
                </c:pt>
                <c:pt idx="12">
                  <c:v>4.8153100000000002</c:v>
                </c:pt>
                <c:pt idx="13">
                  <c:v>5.2223600000000001</c:v>
                </c:pt>
                <c:pt idx="14">
                  <c:v>5.6324899999999998</c:v>
                </c:pt>
                <c:pt idx="15">
                  <c:v>6.0301900000000002</c:v>
                </c:pt>
                <c:pt idx="16">
                  <c:v>6.4496799999999999</c:v>
                </c:pt>
                <c:pt idx="17">
                  <c:v>6.85222</c:v>
                </c:pt>
                <c:pt idx="18">
                  <c:v>7.2426300000000001</c:v>
                </c:pt>
                <c:pt idx="19">
                  <c:v>7.6543099999999997</c:v>
                </c:pt>
                <c:pt idx="20">
                  <c:v>8.04833</c:v>
                </c:pt>
                <c:pt idx="21">
                  <c:v>8.4755699999999994</c:v>
                </c:pt>
                <c:pt idx="22">
                  <c:v>8.8812200000000008</c:v>
                </c:pt>
                <c:pt idx="23">
                  <c:v>9.27942</c:v>
                </c:pt>
                <c:pt idx="24">
                  <c:v>9.6802499999999991</c:v>
                </c:pt>
              </c:numCache>
            </c:numRef>
          </c:xVal>
          <c:yVal>
            <c:numRef>
              <c:f>[0]!FT_E</c:f>
              <c:numCache>
                <c:formatCode>0.00</c:formatCode>
                <c:ptCount val="25"/>
                <c:pt idx="0">
                  <c:v>1.93736</c:v>
                </c:pt>
                <c:pt idx="1">
                  <c:v>1.96052</c:v>
                </c:pt>
                <c:pt idx="2">
                  <c:v>1.98088</c:v>
                </c:pt>
                <c:pt idx="3">
                  <c:v>1.9983600000000001</c:v>
                </c:pt>
                <c:pt idx="4">
                  <c:v>2.0120100000000001</c:v>
                </c:pt>
                <c:pt idx="5">
                  <c:v>2.0248499999999998</c:v>
                </c:pt>
                <c:pt idx="6">
                  <c:v>2.0389499999999998</c:v>
                </c:pt>
                <c:pt idx="7">
                  <c:v>2.0539399999999999</c:v>
                </c:pt>
                <c:pt idx="8">
                  <c:v>2.06826</c:v>
                </c:pt>
                <c:pt idx="9">
                  <c:v>2.0825199999999997</c:v>
                </c:pt>
                <c:pt idx="10">
                  <c:v>2.0960799999999997</c:v>
                </c:pt>
                <c:pt idx="11">
                  <c:v>2.1095700000000002</c:v>
                </c:pt>
                <c:pt idx="12">
                  <c:v>2.1238299999999999</c:v>
                </c:pt>
                <c:pt idx="13">
                  <c:v>2.1353599999999999</c:v>
                </c:pt>
                <c:pt idx="14">
                  <c:v>2.14358</c:v>
                </c:pt>
                <c:pt idx="15">
                  <c:v>2.1424000000000003</c:v>
                </c:pt>
                <c:pt idx="16">
                  <c:v>2.1358999999999999</c:v>
                </c:pt>
                <c:pt idx="17">
                  <c:v>2.1252900000000001</c:v>
                </c:pt>
                <c:pt idx="18">
                  <c:v>2.1153599999999999</c:v>
                </c:pt>
                <c:pt idx="19">
                  <c:v>2.1068000000000002</c:v>
                </c:pt>
                <c:pt idx="20">
                  <c:v>2.0937999999999999</c:v>
                </c:pt>
                <c:pt idx="21">
                  <c:v>2.0735700000000001</c:v>
                </c:pt>
                <c:pt idx="22">
                  <c:v>2.05532</c:v>
                </c:pt>
                <c:pt idx="23">
                  <c:v>2.0458799999999999</c:v>
                </c:pt>
                <c:pt idx="24">
                  <c:v>2.0329299999999999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1.93736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1.93736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1.93736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1.93736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1.93736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1.93736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1.93736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1.93736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1.93736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1.93736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1.93736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1.93736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1.93736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1.93736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1.93736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1.93736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1.93736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1.93736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1.93736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1.93736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1.93736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1.93736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1.93736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1.93736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0.35291899999999998</c:v>
                </c:pt>
                <c:pt idx="2">
                  <c:v>0.74329500000000004</c:v>
                </c:pt>
                <c:pt idx="3">
                  <c:v>1.16242</c:v>
                </c:pt>
                <c:pt idx="4">
                  <c:v>1.5821799999999999</c:v>
                </c:pt>
                <c:pt idx="5">
                  <c:v>1.9799800000000001</c:v>
                </c:pt>
                <c:pt idx="6">
                  <c:v>2.3831000000000002</c:v>
                </c:pt>
                <c:pt idx="7">
                  <c:v>2.77068</c:v>
                </c:pt>
                <c:pt idx="8">
                  <c:v>3.1752699999999998</c:v>
                </c:pt>
                <c:pt idx="9">
                  <c:v>3.5893799999999998</c:v>
                </c:pt>
                <c:pt idx="10">
                  <c:v>4.0336999999999996</c:v>
                </c:pt>
                <c:pt idx="11">
                  <c:v>4.3996300000000002</c:v>
                </c:pt>
                <c:pt idx="12">
                  <c:v>4.8153100000000002</c:v>
                </c:pt>
                <c:pt idx="13">
                  <c:v>5.2223600000000001</c:v>
                </c:pt>
                <c:pt idx="14">
                  <c:v>5.6324899999999998</c:v>
                </c:pt>
                <c:pt idx="15">
                  <c:v>6.0301900000000002</c:v>
                </c:pt>
                <c:pt idx="16">
                  <c:v>6.4496799999999999</c:v>
                </c:pt>
                <c:pt idx="17">
                  <c:v>6.85222</c:v>
                </c:pt>
                <c:pt idx="18">
                  <c:v>7.2426300000000001</c:v>
                </c:pt>
                <c:pt idx="19">
                  <c:v>7.6543099999999997</c:v>
                </c:pt>
                <c:pt idx="20">
                  <c:v>8.04833</c:v>
                </c:pt>
                <c:pt idx="21">
                  <c:v>8.4755699999999994</c:v>
                </c:pt>
                <c:pt idx="22">
                  <c:v>8.8812200000000008</c:v>
                </c:pt>
                <c:pt idx="23">
                  <c:v>9.27942</c:v>
                </c:pt>
                <c:pt idx="24">
                  <c:v>9.6802499999999991</c:v>
                </c:pt>
              </c:numCache>
            </c:numRef>
          </c:xVal>
          <c:yVal>
            <c:numRef>
              <c:f>[0]!FT_PH</c:f>
              <c:numCache>
                <c:formatCode>0.00</c:formatCode>
                <c:ptCount val="25"/>
                <c:pt idx="0">
                  <c:v>55.491900000000008</c:v>
                </c:pt>
                <c:pt idx="1">
                  <c:v>55.017300000000006</c:v>
                </c:pt>
                <c:pt idx="2">
                  <c:v>54.597099999999998</c:v>
                </c:pt>
                <c:pt idx="3">
                  <c:v>54.193800000000003</c:v>
                </c:pt>
                <c:pt idx="4">
                  <c:v>53.857600000000005</c:v>
                </c:pt>
                <c:pt idx="5">
                  <c:v>53.537300000000002</c:v>
                </c:pt>
                <c:pt idx="6">
                  <c:v>53.187399999999997</c:v>
                </c:pt>
                <c:pt idx="7">
                  <c:v>52.834599999999995</c:v>
                </c:pt>
                <c:pt idx="8">
                  <c:v>52.483699999999999</c:v>
                </c:pt>
                <c:pt idx="9">
                  <c:v>52.128900000000002</c:v>
                </c:pt>
                <c:pt idx="10">
                  <c:v>51.795000000000002</c:v>
                </c:pt>
                <c:pt idx="11">
                  <c:v>51.494099999999996</c:v>
                </c:pt>
                <c:pt idx="12">
                  <c:v>51.143799999999992</c:v>
                </c:pt>
                <c:pt idx="13">
                  <c:v>50.874299999999991</c:v>
                </c:pt>
                <c:pt idx="14">
                  <c:v>50.624000000000002</c:v>
                </c:pt>
                <c:pt idx="15">
                  <c:v>50.393100000000004</c:v>
                </c:pt>
                <c:pt idx="16">
                  <c:v>50.096799999999995</c:v>
                </c:pt>
                <c:pt idx="17">
                  <c:v>49.805999999999997</c:v>
                </c:pt>
                <c:pt idx="18">
                  <c:v>49.587299999999999</c:v>
                </c:pt>
                <c:pt idx="19">
                  <c:v>49.486899999999999</c:v>
                </c:pt>
                <c:pt idx="20">
                  <c:v>49.424399999999999</c:v>
                </c:pt>
                <c:pt idx="21">
                  <c:v>49.323499999999996</c:v>
                </c:pt>
                <c:pt idx="22">
                  <c:v>49.143799999999999</c:v>
                </c:pt>
                <c:pt idx="23">
                  <c:v>48.907299999999999</c:v>
                </c:pt>
                <c:pt idx="24">
                  <c:v>48.7697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55.491900000000008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55.491900000000008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55.491900000000008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55.491900000000008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55.491900000000008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55.491900000000008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55.491900000000008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55.491900000000008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55.491900000000008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55.491900000000008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55.491900000000008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55.491900000000008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55.491900000000008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55.491900000000008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55.491900000000008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55.491900000000008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55.491900000000008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55.491900000000008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55.491900000000008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55.491900000000008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55.491900000000008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55.491900000000008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55.491900000000008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55.491900000000008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81.31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1.159866907971715</c:v>
                </c:pt>
                <c:pt idx="1">
                  <c:v>1.159866907971715</c:v>
                </c:pt>
                <c:pt idx="2">
                  <c:v>-7</c:v>
                </c:pt>
              </c:numCache>
            </c:numRef>
          </c:xVal>
          <c:yVal>
            <c:numRef>
              <c:f>'R'!$I$5:$I$7</c:f>
              <c:numCache>
                <c:formatCode>0.0_ </c:formatCode>
                <c:ptCount val="3"/>
                <c:pt idx="0">
                  <c:v>0</c:v>
                </c:pt>
                <c:pt idx="1">
                  <c:v>81.310308292078943</c:v>
                </c:pt>
                <c:pt idx="2">
                  <c:v>81.310308292078943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1.159866907971715</c:v>
                </c:pt>
                <c:pt idx="1">
                  <c:v>1.159866907971715</c:v>
                </c:pt>
                <c:pt idx="2">
                  <c:v>-7</c:v>
                </c:pt>
              </c:numCache>
            </c:numRef>
          </c:xVal>
          <c:yVal>
            <c:numRef>
              <c:f>'R'!$I$5:$I$7</c:f>
              <c:numCache>
                <c:formatCode>0.0_ </c:formatCode>
                <c:ptCount val="3"/>
                <c:pt idx="0">
                  <c:v>0</c:v>
                </c:pt>
                <c:pt idx="1">
                  <c:v>81.310308292078943</c:v>
                </c:pt>
                <c:pt idx="2">
                  <c:v>81.310308292078943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1.159866907971715</c:v>
                </c:pt>
              </c:numCache>
            </c:numRef>
          </c:xVal>
          <c:yVal>
            <c:numRef>
              <c:f>'R'!$I$4</c:f>
              <c:numCache>
                <c:formatCode>0.00_ </c:formatCode>
                <c:ptCount val="1"/>
                <c:pt idx="0">
                  <c:v>81.310308292078943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56.71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56.708120000000001</c:v>
                </c:pt>
                <c:pt idx="1">
                  <c:v>56.708120000000001</c:v>
                </c:pt>
                <c:pt idx="2">
                  <c:v>0</c:v>
                </c:pt>
              </c:numCache>
            </c:numRef>
          </c:xVal>
          <c:yVal>
            <c:numRef>
              <c:f>'R2'!$I$5:$I$7</c:f>
              <c:numCache>
                <c:formatCode>0.0_ </c:formatCode>
                <c:ptCount val="3"/>
                <c:pt idx="0">
                  <c:v>0</c:v>
                </c:pt>
                <c:pt idx="1">
                  <c:v>61.873783667566784</c:v>
                </c:pt>
                <c:pt idx="2">
                  <c:v>61.873783667566784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1.01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1.0125999999999999</c:v>
                </c:pt>
                <c:pt idx="1">
                  <c:v>1.0125999999999999</c:v>
                </c:pt>
                <c:pt idx="2">
                  <c:v>0</c:v>
                </c:pt>
              </c:numCache>
            </c:numRef>
          </c:xVal>
          <c:yVal>
            <c:numRef>
              <c:f>'R3'!$I$6:$I$8</c:f>
              <c:numCache>
                <c:formatCode>0.0_ </c:formatCode>
                <c:ptCount val="3"/>
                <c:pt idx="0">
                  <c:v>0</c:v>
                </c:pt>
                <c:pt idx="1">
                  <c:v>10.661039541187577</c:v>
                </c:pt>
                <c:pt idx="2">
                  <c:v>10.661039541187577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감정변이도1.01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1.0125999999999999</c:v>
                </c:pt>
                <c:pt idx="1">
                  <c:v>1.0125999999999999</c:v>
                </c:pt>
                <c:pt idx="2">
                  <c:v>0</c:v>
                </c:pt>
              </c:numCache>
            </c:numRef>
          </c:xVal>
          <c:yVal>
            <c:numRef>
              <c:f>'R4'!$I$5:$I$7</c:f>
              <c:numCache>
                <c:formatCode>0.0_ </c:formatCode>
                <c:ptCount val="3"/>
                <c:pt idx="0">
                  <c:v>0</c:v>
                </c:pt>
                <c:pt idx="1">
                  <c:v>3.4004779539141085E-2</c:v>
                </c:pt>
                <c:pt idx="2">
                  <c:v>3.4004779539141085E-2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0.61059848969179842</c:v>
                </c:pt>
                <c:pt idx="1">
                  <c:v>0.2970169830549243</c:v>
                </c:pt>
                <c:pt idx="2">
                  <c:v>9.2384527253277282E-2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0.1482311157817699</c:v>
                </c:pt>
                <c:pt idx="1">
                  <c:v>0.27790868581442341</c:v>
                </c:pt>
                <c:pt idx="2">
                  <c:v>0.57386019840380675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(56.3 , 10.7)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56.306968739188392</c:v>
                      </c:pt>
                    </c:numCache>
                  </c:numRef>
                </c:xVal>
                <c:yVal>
                  <c:numRef>
                    <c:extLst>
                      <c:ext uri="{02D57815-91ED-43cb-92C2-25804820EDAC}">
                        <c15:formulaRef>
                          <c15:sqref>info!$W$20:$W$21</c15:sqref>
                        </c15:formulaRef>
                      </c:ext>
                    </c:extLst>
                    <c:numCache>
                      <c:formatCode>General</c:formatCode>
                      <c:ptCount val="2"/>
                      <c:pt idx="0">
                        <c:v>50</c:v>
                      </c:pt>
                      <c:pt idx="1">
                        <c:v>10.661039541187577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(64.4 , 74.2)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64.41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25.846699999999998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nFQ6%5e1%5e1%5e\2025-06-11%2018_37_1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nFQ6%5e1%5e1%5e\2025-06-11%2018_37_1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AA01313-2DA9-FA80-6F11-68494B9A21B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4BA0B69-6E0D-8DCA-81A7-1824A2B83A7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45819.775937500002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nFQ6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45819.775937500002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nFQ6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( 46 , 44 )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1.159866907971715</v>
      </c>
      <c r="I20" s="862"/>
      <c r="J20" s="311" t="str">
        <f>lang!B174</f>
        <v>정보량</v>
      </c>
      <c r="K20" s="236">
        <f ca="1">info!N9</f>
        <v>51.527984000000018</v>
      </c>
      <c r="L20" s="312" t="str">
        <f>lang!B175</f>
        <v>에너지</v>
      </c>
      <c r="M20" s="863">
        <f ca="1">info!M9</f>
        <v>2.0677327999999999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23.859300000000001</v>
      </c>
      <c r="N32" s="816"/>
      <c r="O32" s="817">
        <f>Measurement!N7</f>
        <v>26.945499999999999</v>
      </c>
      <c r="P32" s="818"/>
      <c r="Q32" s="819">
        <f>Measurement!T7</f>
        <v>31.065300000000001</v>
      </c>
      <c r="R32" s="820"/>
    </row>
    <row r="33" spans="3:18" ht="12.75" customHeight="1">
      <c r="C33" s="77"/>
      <c r="I33" s="502">
        <f>Measurement!L8</f>
        <v>3</v>
      </c>
      <c r="J33" s="139" t="str">
        <f>lang!B15</f>
        <v>스트레스</v>
      </c>
      <c r="K33" s="90" t="s">
        <v>226</v>
      </c>
      <c r="L33" s="504" t="str">
        <f>Measurement!Y8</f>
        <v>보통</v>
      </c>
      <c r="M33" s="792">
        <f>Measurement!R8</f>
        <v>24.446400000000001</v>
      </c>
      <c r="N33" s="793"/>
      <c r="O33" s="806">
        <f>Measurement!N8</f>
        <v>24.9968</v>
      </c>
      <c r="P33" s="807"/>
      <c r="Q33" s="792">
        <f>Measurement!T8</f>
        <v>28.8432</v>
      </c>
      <c r="R33" s="808"/>
    </row>
    <row r="34" spans="3:18" ht="12.75" customHeight="1">
      <c r="C34" s="77"/>
      <c r="I34" s="502">
        <f>Measurement!L9</f>
        <v>4</v>
      </c>
      <c r="J34" s="139" t="str">
        <f>lang!B16</f>
        <v>불안</v>
      </c>
      <c r="K34" s="90" t="s">
        <v>227</v>
      </c>
      <c r="L34" s="504" t="str">
        <f>Measurement!Y9</f>
        <v>높음</v>
      </c>
      <c r="M34" s="792">
        <f>Measurement!R9</f>
        <v>31.356999999999999</v>
      </c>
      <c r="N34" s="793"/>
      <c r="O34" s="806">
        <f>Measurement!N9</f>
        <v>36.403300000000002</v>
      </c>
      <c r="P34" s="807"/>
      <c r="Q34" s="792">
        <f>Measurement!T9</f>
        <v>45.912500000000001</v>
      </c>
      <c r="R34" s="808"/>
    </row>
    <row r="35" spans="3:18" ht="12.75" customHeight="1">
      <c r="C35" s="77"/>
      <c r="I35" s="502">
        <f>Measurement!L10</f>
        <v>3</v>
      </c>
      <c r="J35" s="139" t="str">
        <f>lang!B17</f>
        <v>의심</v>
      </c>
      <c r="K35" s="90" t="s">
        <v>225</v>
      </c>
      <c r="L35" s="504" t="str">
        <f>Measurement!Y10</f>
        <v>보통</v>
      </c>
      <c r="M35" s="792">
        <f>Measurement!R10</f>
        <v>27.607199999999999</v>
      </c>
      <c r="N35" s="793"/>
      <c r="O35" s="806">
        <f>Measurement!N10</f>
        <v>28.962</v>
      </c>
      <c r="P35" s="807"/>
      <c r="Q35" s="792">
        <f>Measurement!T10</f>
        <v>30.7806</v>
      </c>
      <c r="R35" s="808"/>
    </row>
    <row r="36" spans="3:18" ht="12.75" customHeight="1">
      <c r="C36" s="77"/>
      <c r="I36" s="502">
        <f>Measurement!L11</f>
        <v>4</v>
      </c>
      <c r="J36" s="139" t="str">
        <f>lang!B18</f>
        <v>밸런스</v>
      </c>
      <c r="K36" s="90" t="s">
        <v>2171</v>
      </c>
      <c r="L36" s="504" t="str">
        <f>Measurement!Y11</f>
        <v>높음</v>
      </c>
      <c r="M36" s="792">
        <f>Measurement!R11</f>
        <v>68.390799999999999</v>
      </c>
      <c r="N36" s="793"/>
      <c r="O36" s="806">
        <f>Measurement!N11</f>
        <v>71.067999999999998</v>
      </c>
      <c r="P36" s="807"/>
      <c r="Q36" s="792">
        <f>Measurement!T11</f>
        <v>74.7714</v>
      </c>
      <c r="R36" s="808"/>
    </row>
    <row r="37" spans="3:18" ht="12.75" customHeight="1">
      <c r="C37" s="77"/>
      <c r="I37" s="502">
        <f>Measurement!L12</f>
        <v>5</v>
      </c>
      <c r="J37" s="139" t="str">
        <f>lang!B19</f>
        <v>카리스마</v>
      </c>
      <c r="K37" s="90" t="s">
        <v>229</v>
      </c>
      <c r="L37" s="504" t="str">
        <f>Measurement!Y12</f>
        <v>매우 높음</v>
      </c>
      <c r="M37" s="792">
        <f>Measurement!R12</f>
        <v>77.292699999999996</v>
      </c>
      <c r="N37" s="793"/>
      <c r="O37" s="806">
        <f>Measurement!N12</f>
        <v>82.443700000000007</v>
      </c>
      <c r="P37" s="807"/>
      <c r="Q37" s="792">
        <f>Measurement!T12</f>
        <v>82.641599999999997</v>
      </c>
      <c r="R37" s="808"/>
    </row>
    <row r="38" spans="3:18" ht="12.75" customHeight="1">
      <c r="C38" s="77"/>
      <c r="I38" s="502">
        <f>Measurement!L13</f>
        <v>1</v>
      </c>
      <c r="J38" s="139" t="str">
        <f>lang!B20</f>
        <v>에너지</v>
      </c>
      <c r="K38" s="90" t="s">
        <v>2170</v>
      </c>
      <c r="L38" s="504" t="str">
        <f>Measurement!Y13</f>
        <v>매우 낮음</v>
      </c>
      <c r="M38" s="792">
        <f>Measurement!R13</f>
        <v>9.8778900000000007</v>
      </c>
      <c r="N38" s="793"/>
      <c r="O38" s="806">
        <f>Measurement!N13</f>
        <v>11.0063</v>
      </c>
      <c r="P38" s="807"/>
      <c r="Q38" s="792">
        <f>Measurement!T13</f>
        <v>11.6645</v>
      </c>
      <c r="R38" s="808"/>
    </row>
    <row r="39" spans="3:18" ht="12.75" customHeight="1">
      <c r="C39" s="77"/>
      <c r="I39" s="502">
        <f>Measurement!L14</f>
        <v>4</v>
      </c>
      <c r="J39" s="139" t="str">
        <f>lang!B21</f>
        <v>자기조절</v>
      </c>
      <c r="K39" s="90" t="s">
        <v>230</v>
      </c>
      <c r="L39" s="504" t="str">
        <f>Measurement!Y14</f>
        <v>높음</v>
      </c>
      <c r="M39" s="792">
        <f>Measurement!R14</f>
        <v>75.341300000000004</v>
      </c>
      <c r="N39" s="793"/>
      <c r="O39" s="806">
        <f>Measurement!N14</f>
        <v>76.639399999999995</v>
      </c>
      <c r="P39" s="807"/>
      <c r="Q39" s="792">
        <f>Measurement!T14</f>
        <v>77.650700000000001</v>
      </c>
      <c r="R39" s="808"/>
    </row>
    <row r="40" spans="3:18" ht="12.75" customHeight="1">
      <c r="C40" s="77"/>
      <c r="I40" s="502">
        <f>Measurement!L15</f>
        <v>3</v>
      </c>
      <c r="J40" s="139" t="str">
        <f>lang!B22</f>
        <v>억제</v>
      </c>
      <c r="K40" s="91" t="s">
        <v>248</v>
      </c>
      <c r="L40" s="504" t="str">
        <f>Measurement!Y15</f>
        <v>보통</v>
      </c>
      <c r="M40" s="792">
        <f>Measurement!R15</f>
        <v>19.049700000000001</v>
      </c>
      <c r="N40" s="793"/>
      <c r="O40" s="806">
        <f>Measurement!N15</f>
        <v>21.4147</v>
      </c>
      <c r="P40" s="807"/>
      <c r="Q40" s="792">
        <f>Measurement!T15</f>
        <v>24.337199999999999</v>
      </c>
      <c r="R40" s="808"/>
    </row>
    <row r="41" spans="3:18" ht="12.75" customHeight="1" thickBot="1">
      <c r="C41" s="77"/>
      <c r="I41" s="502">
        <f>Measurement!L16</f>
        <v>2</v>
      </c>
      <c r="J41" s="140" t="str">
        <f>lang!B23</f>
        <v>신경성</v>
      </c>
      <c r="K41" s="92" t="s">
        <v>231</v>
      </c>
      <c r="L41" s="504" t="str">
        <f>Measurement!Y16</f>
        <v>낮음</v>
      </c>
      <c r="M41" s="794">
        <f>Measurement!R16</f>
        <v>1.3069599999999999</v>
      </c>
      <c r="N41" s="795"/>
      <c r="O41" s="796">
        <f>Measurement!N16</f>
        <v>15.072800000000001</v>
      </c>
      <c r="P41" s="797"/>
      <c r="Q41" s="794">
        <f>Measurement!T16</f>
        <v>15.8126</v>
      </c>
      <c r="R41" s="798"/>
    </row>
    <row r="42" spans="3:18" ht="29.25" customHeight="1" thickBot="1">
      <c r="C42" s="77"/>
      <c r="I42" s="84"/>
      <c r="J42" s="780" t="str">
        <f>lang!B215</f>
        <v>감정변이도</v>
      </c>
      <c r="K42" s="781"/>
      <c r="L42" s="319" t="str">
        <f>info!V43</f>
        <v>낮음</v>
      </c>
      <c r="M42" s="782">
        <f>info!W43</f>
        <v>6.2864300000000002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1.0125999999999999</v>
      </c>
      <c r="E44" s="249" t="s">
        <v>1072</v>
      </c>
      <c r="G44" s="289"/>
      <c r="H44" s="289"/>
      <c r="I44" s="290"/>
      <c r="J44" s="802">
        <f>info!$W$36</f>
        <v>56.708120000000001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45819.775937500002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nFQ6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( 46 , 44 )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1.159866907971715</v>
      </c>
      <c r="I20" s="862"/>
      <c r="J20" s="311" t="str">
        <f>lang!B174</f>
        <v>정보량</v>
      </c>
      <c r="K20" s="236">
        <f ca="1">info!N9</f>
        <v>51.527984000000018</v>
      </c>
      <c r="L20" s="312" t="str">
        <f>lang!B175</f>
        <v>에너지</v>
      </c>
      <c r="M20" s="863">
        <f ca="1">info!M9</f>
        <v>2.0677327999999999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23.859300000000001</v>
      </c>
      <c r="N32" s="816"/>
      <c r="O32" s="817">
        <f>Measurement!N7</f>
        <v>26.945499999999999</v>
      </c>
      <c r="P32" s="818"/>
      <c r="Q32" s="819">
        <f>Measurement!T7</f>
        <v>31.065300000000001</v>
      </c>
      <c r="R32" s="820"/>
    </row>
    <row r="33" spans="3:18" ht="12.75" customHeight="1">
      <c r="C33" s="77"/>
      <c r="I33" s="502">
        <f>Measurement!L8</f>
        <v>3</v>
      </c>
      <c r="J33" s="139" t="str">
        <f>lang!B15</f>
        <v>스트레스</v>
      </c>
      <c r="K33" s="90" t="s">
        <v>226</v>
      </c>
      <c r="L33" s="504" t="str">
        <f>Measurement!Y8</f>
        <v>보통</v>
      </c>
      <c r="M33" s="792">
        <f>Measurement!R8</f>
        <v>24.446400000000001</v>
      </c>
      <c r="N33" s="793"/>
      <c r="O33" s="806">
        <f>Measurement!N8</f>
        <v>24.9968</v>
      </c>
      <c r="P33" s="807"/>
      <c r="Q33" s="792">
        <f>Measurement!T8</f>
        <v>28.8432</v>
      </c>
      <c r="R33" s="808"/>
    </row>
    <row r="34" spans="3:18" ht="12.75" customHeight="1">
      <c r="C34" s="77"/>
      <c r="I34" s="502">
        <f>Measurement!L9</f>
        <v>4</v>
      </c>
      <c r="J34" s="139" t="str">
        <f>lang!B16</f>
        <v>불안</v>
      </c>
      <c r="K34" s="90" t="s">
        <v>227</v>
      </c>
      <c r="L34" s="504" t="str">
        <f>Measurement!Y9</f>
        <v>높음</v>
      </c>
      <c r="M34" s="792">
        <f>Measurement!R9</f>
        <v>31.356999999999999</v>
      </c>
      <c r="N34" s="793"/>
      <c r="O34" s="806">
        <f>Measurement!N9</f>
        <v>36.403300000000002</v>
      </c>
      <c r="P34" s="807"/>
      <c r="Q34" s="792">
        <f>Measurement!T9</f>
        <v>45.912500000000001</v>
      </c>
      <c r="R34" s="808"/>
    </row>
    <row r="35" spans="3:18" ht="12.75" customHeight="1">
      <c r="C35" s="77"/>
      <c r="I35" s="502">
        <f>Measurement!L10</f>
        <v>3</v>
      </c>
      <c r="J35" s="139" t="str">
        <f>lang!B17</f>
        <v>의심</v>
      </c>
      <c r="K35" s="90" t="s">
        <v>225</v>
      </c>
      <c r="L35" s="504" t="str">
        <f>Measurement!Y10</f>
        <v>보통</v>
      </c>
      <c r="M35" s="792">
        <f>Measurement!R10</f>
        <v>27.607199999999999</v>
      </c>
      <c r="N35" s="793"/>
      <c r="O35" s="806">
        <f>Measurement!N10</f>
        <v>28.962</v>
      </c>
      <c r="P35" s="807"/>
      <c r="Q35" s="792">
        <f>Measurement!T10</f>
        <v>30.7806</v>
      </c>
      <c r="R35" s="808"/>
    </row>
    <row r="36" spans="3:18" ht="12.75" customHeight="1">
      <c r="C36" s="77"/>
      <c r="I36" s="502">
        <f>Measurement!L11</f>
        <v>4</v>
      </c>
      <c r="J36" s="139" t="str">
        <f>lang!B18</f>
        <v>밸런스</v>
      </c>
      <c r="K36" s="90" t="s">
        <v>2171</v>
      </c>
      <c r="L36" s="504" t="str">
        <f>Measurement!Y11</f>
        <v>높음</v>
      </c>
      <c r="M36" s="792">
        <f>Measurement!R11</f>
        <v>68.390799999999999</v>
      </c>
      <c r="N36" s="793"/>
      <c r="O36" s="806">
        <f>Measurement!N11</f>
        <v>71.067999999999998</v>
      </c>
      <c r="P36" s="807"/>
      <c r="Q36" s="792">
        <f>Measurement!T11</f>
        <v>74.7714</v>
      </c>
      <c r="R36" s="808"/>
    </row>
    <row r="37" spans="3:18" ht="12.75" customHeight="1">
      <c r="C37" s="77"/>
      <c r="I37" s="502">
        <f>Measurement!L12</f>
        <v>5</v>
      </c>
      <c r="J37" s="139" t="str">
        <f>lang!B19</f>
        <v>카리스마</v>
      </c>
      <c r="K37" s="90" t="s">
        <v>229</v>
      </c>
      <c r="L37" s="504" t="str">
        <f>Measurement!Y12</f>
        <v>매우 높음</v>
      </c>
      <c r="M37" s="792">
        <f>Measurement!R12</f>
        <v>77.292699999999996</v>
      </c>
      <c r="N37" s="793"/>
      <c r="O37" s="806">
        <f>Measurement!N12</f>
        <v>82.443700000000007</v>
      </c>
      <c r="P37" s="807"/>
      <c r="Q37" s="792">
        <f>Measurement!T12</f>
        <v>82.641599999999997</v>
      </c>
      <c r="R37" s="808"/>
    </row>
    <row r="38" spans="3:18" ht="12.75" customHeight="1">
      <c r="C38" s="77"/>
      <c r="I38" s="502">
        <f>Measurement!L13</f>
        <v>1</v>
      </c>
      <c r="J38" s="139" t="str">
        <f>lang!B20</f>
        <v>에너지</v>
      </c>
      <c r="K38" s="90" t="s">
        <v>2170</v>
      </c>
      <c r="L38" s="504" t="str">
        <f>Measurement!Y13</f>
        <v>매우 낮음</v>
      </c>
      <c r="M38" s="792">
        <f>Measurement!R13</f>
        <v>9.8778900000000007</v>
      </c>
      <c r="N38" s="793"/>
      <c r="O38" s="806">
        <f>Measurement!N13</f>
        <v>11.0063</v>
      </c>
      <c r="P38" s="807"/>
      <c r="Q38" s="792">
        <f>Measurement!T13</f>
        <v>11.6645</v>
      </c>
      <c r="R38" s="808"/>
    </row>
    <row r="39" spans="3:18" ht="12.75" customHeight="1">
      <c r="C39" s="77"/>
      <c r="I39" s="502">
        <f>Measurement!L14</f>
        <v>4</v>
      </c>
      <c r="J39" s="139" t="str">
        <f>lang!B21</f>
        <v>자기조절</v>
      </c>
      <c r="K39" s="90" t="s">
        <v>230</v>
      </c>
      <c r="L39" s="504" t="str">
        <f>Measurement!Y14</f>
        <v>높음</v>
      </c>
      <c r="M39" s="792">
        <f>Measurement!R14</f>
        <v>75.341300000000004</v>
      </c>
      <c r="N39" s="793"/>
      <c r="O39" s="806">
        <f>Measurement!N14</f>
        <v>76.639399999999995</v>
      </c>
      <c r="P39" s="807"/>
      <c r="Q39" s="792">
        <f>Measurement!T14</f>
        <v>77.650700000000001</v>
      </c>
      <c r="R39" s="808"/>
    </row>
    <row r="40" spans="3:18" ht="12.75" customHeight="1">
      <c r="C40" s="77"/>
      <c r="I40" s="502">
        <f>Measurement!L15</f>
        <v>3</v>
      </c>
      <c r="J40" s="139" t="str">
        <f>lang!B22</f>
        <v>억제</v>
      </c>
      <c r="K40" s="91" t="s">
        <v>248</v>
      </c>
      <c r="L40" s="504" t="str">
        <f>Measurement!Y15</f>
        <v>보통</v>
      </c>
      <c r="M40" s="792">
        <f>Measurement!R15</f>
        <v>19.049700000000001</v>
      </c>
      <c r="N40" s="793"/>
      <c r="O40" s="806">
        <f>Measurement!N15</f>
        <v>21.4147</v>
      </c>
      <c r="P40" s="807"/>
      <c r="Q40" s="792">
        <f>Measurement!T15</f>
        <v>24.337199999999999</v>
      </c>
      <c r="R40" s="808"/>
    </row>
    <row r="41" spans="3:18" ht="12.75" customHeight="1" thickBot="1">
      <c r="C41" s="77"/>
      <c r="I41" s="502">
        <f>Measurement!L16</f>
        <v>2</v>
      </c>
      <c r="J41" s="140" t="str">
        <f>lang!B23</f>
        <v>신경성</v>
      </c>
      <c r="K41" s="92" t="s">
        <v>231</v>
      </c>
      <c r="L41" s="504" t="str">
        <f>Measurement!Y16</f>
        <v>낮음</v>
      </c>
      <c r="M41" s="794">
        <f>Measurement!R16</f>
        <v>1.3069599999999999</v>
      </c>
      <c r="N41" s="795"/>
      <c r="O41" s="796">
        <f>Measurement!N16</f>
        <v>15.072800000000001</v>
      </c>
      <c r="P41" s="797"/>
      <c r="Q41" s="794">
        <f>Measurement!T16</f>
        <v>15.8126</v>
      </c>
      <c r="R41" s="798"/>
    </row>
    <row r="42" spans="3:18" ht="29.25" customHeight="1" thickBot="1">
      <c r="C42" s="77"/>
      <c r="I42" s="84"/>
      <c r="J42" s="780" t="str">
        <f>lang!B215</f>
        <v>감정변이도</v>
      </c>
      <c r="K42" s="781"/>
      <c r="L42" s="319" t="str">
        <f>info!V43</f>
        <v>낮음</v>
      </c>
      <c r="M42" s="782">
        <f>info!W43</f>
        <v>6.2864300000000002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1.0125999999999999</v>
      </c>
      <c r="E44" s="249" t="s">
        <v>1195</v>
      </c>
      <c r="G44" s="289"/>
      <c r="H44" s="289"/>
      <c r="I44" s="290"/>
      <c r="J44" s="802">
        <f>info!$W$36</f>
        <v>56.708120000000001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45819.775937500002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nFQ6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(-0.14,-0.27)</v>
      </c>
      <c r="S18" s="966"/>
      <c r="T18" s="967"/>
    </row>
    <row r="19" spans="2:22" ht="16.5" customHeight="1">
      <c r="C19" s="136" t="str">
        <f>lang!B328</f>
        <v>최소값</v>
      </c>
      <c r="D19" s="105">
        <f ca="1">info!M7</f>
        <v>48.7697</v>
      </c>
      <c r="E19" s="94" t="str">
        <f>lang!B330</f>
        <v>평균값</v>
      </c>
      <c r="F19" s="971">
        <f ca="1">info!N9</f>
        <v>51.527984000000018</v>
      </c>
      <c r="G19" s="972"/>
      <c r="H19" s="912" t="str">
        <f>lang!B329</f>
        <v>최대값</v>
      </c>
      <c r="I19" s="913"/>
      <c r="J19" s="105">
        <f ca="1">info!M8</f>
        <v>55.491900000000008</v>
      </c>
      <c r="K19" s="137" t="str">
        <f>lang!B328</f>
        <v>최소값</v>
      </c>
      <c r="L19" s="105">
        <f ca="1">info!M5</f>
        <v>1.93736</v>
      </c>
      <c r="M19" s="94" t="str">
        <f>lang!B330</f>
        <v>평균값</v>
      </c>
      <c r="N19" s="971">
        <f ca="1">info!M9</f>
        <v>2.0677327999999999</v>
      </c>
      <c r="O19" s="972">
        <f>info!T9</f>
        <v>1</v>
      </c>
      <c r="P19" s="94" t="str">
        <f>lang!B329</f>
        <v>최대값</v>
      </c>
      <c r="Q19" s="105">
        <f ca="1">info!M6</f>
        <v>2.14358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24.959744058041885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1.0125949999999999</v>
      </c>
      <c r="N47" s="986"/>
      <c r="O47" s="451"/>
      <c r="P47" s="491" t="s">
        <v>1101</v>
      </c>
      <c r="Q47" s="987">
        <f>hist!M3</f>
        <v>0.30961300000000003</v>
      </c>
      <c r="R47" s="986"/>
      <c r="S47" s="451"/>
      <c r="T47" s="452"/>
    </row>
    <row r="48" spans="3:20" ht="18" customHeight="1">
      <c r="C48" s="931"/>
      <c r="D48" s="910"/>
      <c r="E48" s="910"/>
      <c r="F48" s="355"/>
      <c r="G48" s="355"/>
      <c r="H48" s="356"/>
      <c r="I48" s="356"/>
      <c r="J48" s="951"/>
      <c r="K48" s="951"/>
      <c r="L48" s="936"/>
      <c r="M48" s="988">
        <f>hist!N2</f>
        <v>0.49494199999999999</v>
      </c>
      <c r="N48" s="989"/>
      <c r="O48" s="451"/>
      <c r="P48" s="491" t="s">
        <v>1102</v>
      </c>
      <c r="Q48" s="986">
        <f>hist!N3</f>
        <v>0.26234299999999999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0.24496699999999999</v>
      </c>
      <c r="N49" s="991"/>
      <c r="O49" s="453"/>
      <c r="P49" s="454" t="s">
        <v>1588</v>
      </c>
      <c r="Q49" s="992">
        <f>hist!O3</f>
        <v>6.8823999999999996E-2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vision^nFQ6^1^1^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7</v>
      </c>
      <c r="CH4" s="305">
        <f>IF(SUM($AY$7:$AY$13)&gt;0,HLOOKUP(2,$BV$6:$CE$8,3,FALSE),"")</f>
        <v>3</v>
      </c>
      <c r="CI4" t="s">
        <v>1570</v>
      </c>
      <c r="CJ4" s="426">
        <f>DK17*100</f>
        <v>56.306968739188392</v>
      </c>
      <c r="CK4" s="422">
        <f>info!W21</f>
        <v>10.661039541187577</v>
      </c>
      <c r="CL4">
        <f>100-M!B19*100</f>
        <v>25.846699999999998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45819.775937500002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6.2864300000000002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3</v>
      </c>
      <c r="BX6" s="220">
        <f t="shared" si="0"/>
        <v>2</v>
      </c>
      <c r="BY6" s="220">
        <f t="shared" si="0"/>
        <v>6</v>
      </c>
      <c r="BZ6" s="220">
        <f t="shared" si="0"/>
        <v>10</v>
      </c>
      <c r="CA6" s="220">
        <f t="shared" si="0"/>
        <v>5</v>
      </c>
      <c r="CB6" s="220">
        <f t="shared" si="0"/>
        <v>1</v>
      </c>
      <c r="CC6" s="220">
        <f t="shared" si="0"/>
        <v>7</v>
      </c>
      <c r="CD6" s="220">
        <f t="shared" si="0"/>
        <v>9</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26.945499999999999</v>
      </c>
      <c r="O7" s="48">
        <f>M!C5*1</f>
        <v>1.3287199999999999</v>
      </c>
      <c r="P7" s="48">
        <f>M!D5*1</f>
        <v>4.9311499999999997</v>
      </c>
      <c r="Q7" s="48">
        <f>M!E5*1</f>
        <v>20</v>
      </c>
      <c r="R7" s="48">
        <f>IF(M!B5="","",M!F5*1)</f>
        <v>23.859300000000001</v>
      </c>
      <c r="S7" s="48">
        <f>M!G5*1</f>
        <v>50</v>
      </c>
      <c r="T7" s="48">
        <f>IF(M!B5="","",M!H5*1)</f>
        <v>31.065300000000001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-2.738075953447519</v>
      </c>
      <c r="AI7" s="98">
        <v>2.5024862326905418E-2</v>
      </c>
      <c r="AJ7" s="98">
        <v>-7.7313821231156016E-2</v>
      </c>
      <c r="AK7" s="98">
        <v>0.50012525104428274</v>
      </c>
      <c r="AL7" s="98">
        <v>-8.545985269705475E-2</v>
      </c>
      <c r="AM7" s="98">
        <f>$AH7*AI7+$AH8*AI8+$AH9*AI9+$AH10*AI10+$AH11*AI11+$AH12*AI12+$AH13*AI13+$AH14*AI14+$AH15*AI15+$AH16*AI16</f>
        <v>0.57819347215556971</v>
      </c>
      <c r="AN7" s="98">
        <f t="shared" ref="AN7:AP7" si="2">$AH7*AJ7+$AH8*AJ8+$AH9*AJ9+$AH10*AJ10+$AH11*AJ11+$AH12*AJ12+$AH13*AJ13+$AH14*AJ14+$AH15*AJ15+$AH16*AJ16</f>
        <v>2.221921326375853</v>
      </c>
      <c r="AO7" s="98">
        <f t="shared" si="2"/>
        <v>-2.4723345815509647</v>
      </c>
      <c r="AP7" s="98">
        <f t="shared" si="2"/>
        <v>0.15888482014024957</v>
      </c>
      <c r="AQ7" s="335">
        <f>IF(SUM(N7:N16)&gt;0, 0.8608*AM7+0.333*AN7+0.104*AO7+1.129*AP7,"")</f>
        <v>1.159866907971715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26.945499999999999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294.13673113880009</v>
      </c>
      <c r="BL7" s="56">
        <f t="shared" ref="BL7:BT7" si="3">BB7*$AY7+BB8*$AY8+BB9*$AY9+BB10*$AY10+BB11*$AY11+BB12*$AY12+BB13*$AY13+BB14</f>
        <v>295.50599857979995</v>
      </c>
      <c r="BM7" s="56">
        <f t="shared" si="3"/>
        <v>297.24871717280007</v>
      </c>
      <c r="BN7" s="56">
        <f t="shared" si="3"/>
        <v>288.66237147940006</v>
      </c>
      <c r="BO7" s="56">
        <f t="shared" si="3"/>
        <v>277.20795540420022</v>
      </c>
      <c r="BP7" s="56">
        <f t="shared" si="3"/>
        <v>290.27740966099998</v>
      </c>
      <c r="BQ7" s="56">
        <f t="shared" si="3"/>
        <v>297.27749816339986</v>
      </c>
      <c r="BR7" s="56">
        <f t="shared" si="3"/>
        <v>288.34645091079994</v>
      </c>
      <c r="BS7" s="56">
        <f t="shared" si="3"/>
        <v>277.87525825819995</v>
      </c>
      <c r="BT7" s="56">
        <f t="shared" si="3"/>
        <v>282.55850918959999</v>
      </c>
      <c r="BU7" s="56">
        <f>EXP(BK7)+EXP(BL7)+EXP(BM7)+EXP(BN7)+EXP(BO7)+EXP(BP7)+EXP(BQ7)+EXP(BR7)+EXP(BS7)+EXP(BT7)</f>
        <v>2.7903805421374509E+129</v>
      </c>
      <c r="BV7" s="56">
        <f>IF(SUM($AY$7:$AY$13)&gt;0,EXP(BK7)/$BU$7,"")</f>
        <v>1.9783167304365582E-2</v>
      </c>
      <c r="BW7" s="56">
        <f t="shared" ref="BW7:CE7" si="4">IF(SUM($AY$7:$AY$13)&gt;0,EXP(BL7)/$BU$7,"")</f>
        <v>7.7796689665038277E-2</v>
      </c>
      <c r="BX7" s="56">
        <f t="shared" si="4"/>
        <v>0.44444107166650598</v>
      </c>
      <c r="BY7" s="56">
        <f t="shared" si="4"/>
        <v>8.2949091116216143E-5</v>
      </c>
      <c r="BZ7" s="56">
        <f t="shared" si="4"/>
        <v>8.794718372387645E-10</v>
      </c>
      <c r="CA7" s="56">
        <f t="shared" si="4"/>
        <v>4.1707465775963986E-4</v>
      </c>
      <c r="CB7" s="56">
        <f t="shared" si="4"/>
        <v>0.45741838007245428</v>
      </c>
      <c r="CC7" s="56">
        <f t="shared" si="4"/>
        <v>6.0479622551387715E-5</v>
      </c>
      <c r="CD7" s="56">
        <f t="shared" si="4"/>
        <v>1.7140673566817768E-9</v>
      </c>
      <c r="CE7" s="56">
        <f t="shared" si="4"/>
        <v>1.853266694536782E-7</v>
      </c>
      <c r="CF7" s="418" t="s">
        <v>1870</v>
      </c>
      <c r="CG7" s="221">
        <f>IF(SUM($AY$7:$AY$13)&gt;0,HLOOKUP(1,$BV$6:$CE$7,2,FALSE),"")</f>
        <v>0.45741838007245428</v>
      </c>
      <c r="CH7" s="221">
        <f>IF(SUM($AY$7:$AY$13)&gt;0,HLOOKUP(2,$BV$6:$CE$7,2,FALSE),"")</f>
        <v>0.44444107166650598</v>
      </c>
      <c r="CI7" s="425" t="str">
        <f>"( "&amp;IF(CG7&lt;&gt;"",ROUND(CG7*100,0),"")&amp;" , "&amp;IF(CH7&lt;&gt;"",ROUND(CH7*100,0),"")&amp;" )"</f>
        <v>( 46 , 44 )</v>
      </c>
      <c r="CJ7" s="420">
        <f>CG7</f>
        <v>0.45741838007245428</v>
      </c>
      <c r="CK7" s="420">
        <f>CH7</f>
        <v>0.44444107166650598</v>
      </c>
      <c r="CL7" s="425" t="str">
        <f>CI7</f>
        <v>( 46 , 44 )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26.945499999999999</v>
      </c>
      <c r="DJ7" s="265">
        <f>(DI7-$DB7)/$DC7</f>
        <v>-1.3739578348144998</v>
      </c>
      <c r="DK7" s="266">
        <f>IF(DH7=1,(DJ7-DF7)^2,0)</f>
        <v>6.3520715062264941</v>
      </c>
      <c r="DL7" s="267">
        <f>IF(DH7=1,(DJ7-DG7)^2,0)</f>
        <v>11.602818594301104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24.9968</v>
      </c>
      <c r="O8" s="48">
        <f>M!C6*1</f>
        <v>1.05789</v>
      </c>
      <c r="P8" s="48">
        <f>M!D6*1</f>
        <v>4.2320900000000004</v>
      </c>
      <c r="Q8" s="48">
        <f>M!E6*1</f>
        <v>20</v>
      </c>
      <c r="R8" s="48">
        <f>IF(M!B6="","",M!F6*1)</f>
        <v>24.446400000000001</v>
      </c>
      <c r="S8" s="48">
        <f>M!G6*1</f>
        <v>40</v>
      </c>
      <c r="T8" s="48">
        <f>IF(M!B6="","",M!H6*1)</f>
        <v>28.8432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-1.1702938357605366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24.9968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3</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3</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24.9968</v>
      </c>
      <c r="DJ8" s="265">
        <f t="shared" ref="DJ8:DJ14" si="8">(DI8-$DB8)/$DC8</f>
        <v>-0.97741895421083536</v>
      </c>
      <c r="DK8" s="273">
        <f t="shared" ref="DK8:DK14" si="9">IF(DH8=1,(DJ8-DF8)^2,0)</f>
        <v>0.25524789279377869</v>
      </c>
      <c r="DL8" s="274">
        <f t="shared" ref="DL8:DL14" si="10">IF(DH8=1,(DJ8-DG8)^2,0)</f>
        <v>1.5598015227213846</v>
      </c>
    </row>
    <row r="9" spans="2:119" s="5" customFormat="1" ht="24.75" customHeight="1" thickBot="1">
      <c r="B9" s="62" t="str">
        <f>CONCATENATE(M7,"
(20 ~ 50)")</f>
        <v>적극/공격성
(20 ~ 50)</v>
      </c>
      <c r="C9" s="63">
        <f>R7</f>
        <v>23.859300000000001</v>
      </c>
      <c r="D9" s="64">
        <f>N7</f>
        <v>26.945499999999999</v>
      </c>
      <c r="E9" s="65">
        <f>T7</f>
        <v>31.065300000000001</v>
      </c>
      <c r="F9" s="65">
        <f>P7</f>
        <v>4.9311499999999997</v>
      </c>
      <c r="G9" s="66" t="str">
        <f>CONCATENATE(M8,"
(20 ~ 40)")</f>
        <v>스트레스
(20 ~ 40)</v>
      </c>
      <c r="H9" s="63">
        <f>R8</f>
        <v>24.446400000000001</v>
      </c>
      <c r="I9" s="67">
        <f>N8</f>
        <v>24.9968</v>
      </c>
      <c r="J9" s="63">
        <f>T8</f>
        <v>28.8432</v>
      </c>
      <c r="K9" s="68">
        <f>P8</f>
        <v>4.2320900000000004</v>
      </c>
      <c r="L9" s="1">
        <f>IF(M!B7="","",IF(N9&lt;U9,1,IF(N9&lt;V9,2,IF(N9&lt;W9,3,IF(N9&lt;X9,4,5)))))</f>
        <v>4</v>
      </c>
      <c r="M9" s="162" t="str">
        <f>lang!B16</f>
        <v>불안</v>
      </c>
      <c r="N9" s="48">
        <f>IF(M!B7="","",M!B7*1)</f>
        <v>36.403300000000002</v>
      </c>
      <c r="O9" s="48">
        <f>M!C7*1</f>
        <v>2.17408</v>
      </c>
      <c r="P9" s="48">
        <f>M!D7*1</f>
        <v>5.9722099999999996</v>
      </c>
      <c r="Q9" s="48">
        <f>M!E7*1</f>
        <v>15</v>
      </c>
      <c r="R9" s="48">
        <f>IF(M!B7="","",M!F7*1)</f>
        <v>31.356999999999999</v>
      </c>
      <c r="S9" s="48">
        <f>M!G7*1</f>
        <v>40</v>
      </c>
      <c r="T9" s="48">
        <f>IF(M!B7="","",M!H7*1)</f>
        <v>45.912500000000001</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2.0582686198787181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36.403300000000002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36.403300000000002</v>
      </c>
      <c r="DJ9" s="265">
        <f t="shared" si="8"/>
        <v>1.0498321988784691</v>
      </c>
      <c r="DK9" s="273">
        <f t="shared" si="9"/>
        <v>5.1439044720229372</v>
      </c>
      <c r="DL9" s="274">
        <f t="shared" si="10"/>
        <v>0.79485703312660461</v>
      </c>
      <c r="DM9"/>
      <c r="DN9"/>
    </row>
    <row r="10" spans="2:119" s="4" customFormat="1" ht="30.3" thickBot="1">
      <c r="B10" s="57" t="str">
        <f>CONCATENATE(M9,"
(15 ~ 40)")</f>
        <v>불안
(15 ~ 40)</v>
      </c>
      <c r="C10" s="17">
        <f>R9</f>
        <v>31.356999999999999</v>
      </c>
      <c r="D10" s="41">
        <f>N9</f>
        <v>36.403300000000002</v>
      </c>
      <c r="E10" s="43">
        <f>T9</f>
        <v>45.912500000000001</v>
      </c>
      <c r="F10" s="43">
        <f>P9</f>
        <v>5.9722099999999996</v>
      </c>
      <c r="G10" s="59" t="str">
        <f>CONCATENATE(M10,"
(20 ~ 50)")</f>
        <v>의심
(20 ~ 50)</v>
      </c>
      <c r="H10" s="17">
        <f>R10</f>
        <v>27.607199999999999</v>
      </c>
      <c r="I10" s="42">
        <f>N10</f>
        <v>28.962</v>
      </c>
      <c r="J10" s="17">
        <f>T10</f>
        <v>30.7806</v>
      </c>
      <c r="K10" s="18">
        <f>P10</f>
        <v>2.3350900000000001</v>
      </c>
      <c r="L10" s="1">
        <f>IF(M!B8="","",IF(N10&lt;U10,1,IF(N10&lt;V10,2,IF(N10&lt;W10,3,IF(N10&lt;X10,4,5)))))</f>
        <v>3</v>
      </c>
      <c r="M10" s="162" t="str">
        <f>lang!B17</f>
        <v>의심</v>
      </c>
      <c r="N10" s="48">
        <f>IF(M!B8="","",M!B8*1)</f>
        <v>28.962</v>
      </c>
      <c r="O10" s="48">
        <f>M!C8*1</f>
        <v>0.67628900000000003</v>
      </c>
      <c r="P10" s="48">
        <f>M!D8*1</f>
        <v>2.3350900000000001</v>
      </c>
      <c r="Q10" s="48">
        <f>M!E8*1</f>
        <v>20</v>
      </c>
      <c r="R10" s="48">
        <f>IF(M!B8="","",M!F8*1)</f>
        <v>27.607199999999999</v>
      </c>
      <c r="S10" s="48">
        <f>M!G8*1</f>
        <v>50</v>
      </c>
      <c r="T10" s="48">
        <f>IF(M!B8="","",M!H8*1)</f>
        <v>30.7806</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-0.36713254000873685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71.067999999999998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차분한 상태</v>
      </c>
      <c r="CI10" s="363"/>
      <c r="CJ10" s="516" t="str">
        <f>IF(CJ8&lt;&gt;"",HLOOKUP(CJ8,$CN$8:$CY$12,3,FALSE),"")</f>
        <v>차분한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71.067999999999998</v>
      </c>
      <c r="DJ10" s="265">
        <f t="shared" si="8"/>
        <v>0.56556693292189208</v>
      </c>
      <c r="DK10" s="273">
        <f t="shared" si="9"/>
        <v>0.67739582955646094</v>
      </c>
      <c r="DL10" s="274">
        <f t="shared" si="10"/>
        <v>4.5360464308638697</v>
      </c>
      <c r="DM10"/>
      <c r="DN10"/>
    </row>
    <row r="11" spans="2:119" s="4" customFormat="1" ht="24.75" customHeight="1" thickBot="1">
      <c r="B11" s="57" t="str">
        <f>CONCATENATE(M11,"
(50 ~ 100)")</f>
        <v>밸런스
(50 ~ 100)</v>
      </c>
      <c r="C11" s="17">
        <f>R11</f>
        <v>68.390799999999999</v>
      </c>
      <c r="D11" s="42">
        <f>N11</f>
        <v>71.067999999999998</v>
      </c>
      <c r="E11" s="17">
        <f>T11</f>
        <v>74.7714</v>
      </c>
      <c r="F11" s="17">
        <f>P11</f>
        <v>2.00569</v>
      </c>
      <c r="G11" s="59" t="str">
        <f>CONCATENATE(M12,"
(40 ~ 100)")</f>
        <v>카리스마
(40 ~ 100)</v>
      </c>
      <c r="H11" s="17">
        <f>R12</f>
        <v>77.292699999999996</v>
      </c>
      <c r="I11" s="42">
        <f>N12</f>
        <v>82.443700000000007</v>
      </c>
      <c r="J11" s="17">
        <f>T12</f>
        <v>82.641599999999997</v>
      </c>
      <c r="K11" s="18">
        <f>P12</f>
        <v>1.8658600000000001</v>
      </c>
      <c r="L11" s="1">
        <f>IF(M!B9="","",IF(N11&lt;U11,1,IF(N11&lt;V11,2,IF(N11&lt;W11,3,IF(N11&lt;X11,4,5)))))</f>
        <v>4</v>
      </c>
      <c r="M11" s="162" t="str">
        <f>lang!B18</f>
        <v>밸런스</v>
      </c>
      <c r="N11" s="48">
        <f>IF(M!B9="","",M!B9*1)</f>
        <v>71.067999999999998</v>
      </c>
      <c r="O11" s="48">
        <f>M!C9*1</f>
        <v>1.4254</v>
      </c>
      <c r="P11" s="48">
        <f>M!D9*1</f>
        <v>2.00569</v>
      </c>
      <c r="Q11" s="48">
        <f>M!E9*1</f>
        <v>50</v>
      </c>
      <c r="R11" s="48">
        <f>IF(M!B9="","",M!F9*1)</f>
        <v>68.390799999999999</v>
      </c>
      <c r="S11" s="48">
        <f>M!G9*1</f>
        <v>100</v>
      </c>
      <c r="T11" s="48">
        <f>IF(M!B9="","",M!H9*1)</f>
        <v>74.7714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7.722688334963107E-2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82.443700000000007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차분한 상태입니다.</v>
      </c>
      <c r="CI11" s="364" t="s">
        <v>1566</v>
      </c>
      <c r="CJ11" s="516" t="str">
        <f>IF(CJ8&lt;&gt;"",HLOOKUP(CJ8,$CN$8:$CY$12,4,FALSE),"")</f>
        <v>차분한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82.443700000000007</v>
      </c>
      <c r="DJ11" s="265">
        <f t="shared" si="8"/>
        <v>1.1495870383526012</v>
      </c>
      <c r="DK11" s="273">
        <f t="shared" si="9"/>
        <v>1.9367146899815283E-2</v>
      </c>
      <c r="DL11" s="274">
        <f t="shared" si="10"/>
        <v>2.3285496443979774</v>
      </c>
      <c r="DM11"/>
      <c r="DN11"/>
    </row>
    <row r="12" spans="2:119" s="4" customFormat="1" ht="24.75" customHeight="1" thickBot="1">
      <c r="B12" s="57" t="str">
        <f>CONCATENATE(M13,"
(10 ~ 50)")</f>
        <v>에너지
(10 ~ 50)</v>
      </c>
      <c r="C12" s="17">
        <f>R13</f>
        <v>9.8778900000000007</v>
      </c>
      <c r="D12" s="41">
        <f>N13</f>
        <v>11.0063</v>
      </c>
      <c r="E12" s="43">
        <f>T13</f>
        <v>11.6645</v>
      </c>
      <c r="F12" s="43">
        <f>P13</f>
        <v>4.6630200000000004</v>
      </c>
      <c r="G12" s="59" t="str">
        <f>CONCATENATE(M14,"
(50 ~ 100)")</f>
        <v>자기조절
(50 ~ 100)</v>
      </c>
      <c r="H12" s="17">
        <f>R14</f>
        <v>75.341300000000004</v>
      </c>
      <c r="I12" s="42">
        <f>N14</f>
        <v>76.639399999999995</v>
      </c>
      <c r="J12" s="17">
        <f>T14</f>
        <v>77.650700000000001</v>
      </c>
      <c r="K12" s="18">
        <f>P14</f>
        <v>0.78387799999999996</v>
      </c>
      <c r="L12" s="1">
        <f>IF(M!B10="","",IF(N12&lt;U12,1,IF(N12&lt;V12,2,IF(N12&lt;W12,3,IF(N12&lt;X12,4,5)))))</f>
        <v>5</v>
      </c>
      <c r="M12" s="162" t="str">
        <f>lang!B19</f>
        <v>카리스마</v>
      </c>
      <c r="N12" s="48">
        <f>IF(M!B10="","",M!B10*1)</f>
        <v>82.443700000000007</v>
      </c>
      <c r="O12" s="48">
        <f>M!C10*1</f>
        <v>1.5382899999999999</v>
      </c>
      <c r="P12" s="48">
        <f>M!D10*1</f>
        <v>1.8658600000000001</v>
      </c>
      <c r="Q12" s="48">
        <f>M!E10*1</f>
        <v>40</v>
      </c>
      <c r="R12" s="48">
        <f>IF(M!B10="","",M!F10*1)</f>
        <v>77.292699999999996</v>
      </c>
      <c r="S12" s="48">
        <f>M!G10*1</f>
        <v>100</v>
      </c>
      <c r="T12" s="48">
        <f>IF(M!B10="","",M!H10*1)</f>
        <v>82.641599999999997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1.3842802054765926</v>
      </c>
      <c r="AI12" s="98">
        <v>0.31913434649697919</v>
      </c>
      <c r="AJ12" s="98">
        <v>3.8587997439955973E-2</v>
      </c>
      <c r="AK12" s="98">
        <v>1.0272327081707585E-2</v>
      </c>
      <c r="AL12" s="98">
        <v>1.9404033844491575E-2</v>
      </c>
      <c r="AM12" s="101"/>
      <c r="AN12" s="101"/>
      <c r="AO12" s="101"/>
      <c r="AP12" s="101"/>
      <c r="AX12" s="171"/>
      <c r="AY12" s="219">
        <f>N13</f>
        <v>11.0063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11.0063</v>
      </c>
      <c r="DJ12" s="265">
        <f t="shared" si="8"/>
        <v>-1.0897004092468905</v>
      </c>
      <c r="DK12" s="273">
        <f t="shared" si="9"/>
        <v>8.86549180088541</v>
      </c>
      <c r="DL12" s="274">
        <f t="shared" si="10"/>
        <v>2.0479940990499692</v>
      </c>
      <c r="DM12"/>
      <c r="DN12"/>
    </row>
    <row r="13" spans="2:119" ht="24.75" customHeight="1" thickBot="1">
      <c r="B13" s="58" t="str">
        <f>CONCATENATE(M15,"
(10 ~ 25)")</f>
        <v>억제
(10 ~ 25)</v>
      </c>
      <c r="C13" s="44">
        <f>R15</f>
        <v>19.049700000000001</v>
      </c>
      <c r="D13" s="45">
        <f>N15</f>
        <v>21.4147</v>
      </c>
      <c r="E13" s="46">
        <f>T15</f>
        <v>24.337199999999999</v>
      </c>
      <c r="F13" s="46">
        <f>P15</f>
        <v>7.0385299999999997</v>
      </c>
      <c r="G13" s="60" t="str">
        <f>CONCATENATE(M16,"
(10 ~ 50)")</f>
        <v>신경성
(10 ~ 50)</v>
      </c>
      <c r="H13" s="44">
        <f>R16</f>
        <v>1.3069599999999999</v>
      </c>
      <c r="I13" s="45">
        <f>N16</f>
        <v>15.072800000000001</v>
      </c>
      <c r="J13" s="46">
        <f>T16</f>
        <v>15.8126</v>
      </c>
      <c r="K13" s="47">
        <f>P16</f>
        <v>29.036799999999999</v>
      </c>
      <c r="L13" s="1">
        <f>IF(M!B11="","",IF(N13&lt;U13,1,IF(N13&lt;V13,2,IF(N13&lt;W13,3,IF(N13&lt;X13,4,5)))))</f>
        <v>1</v>
      </c>
      <c r="M13" s="162" t="str">
        <f>lang!B20</f>
        <v>에너지</v>
      </c>
      <c r="N13" s="48">
        <f>IF(M!B11="","",M!B11*1)</f>
        <v>11.0063</v>
      </c>
      <c r="O13" s="48">
        <f>M!C11*1</f>
        <v>0.51322400000000001</v>
      </c>
      <c r="P13" s="48">
        <f>M!D11*1</f>
        <v>4.6630200000000004</v>
      </c>
      <c r="Q13" s="48">
        <f>M!E11*1</f>
        <v>10</v>
      </c>
      <c r="R13" s="48">
        <f>IF(M!B11="","",M!F11*1)</f>
        <v>9.8778900000000007</v>
      </c>
      <c r="S13" s="48">
        <f>M!G11*1</f>
        <v>50</v>
      </c>
      <c r="T13" s="48">
        <f>IF(M!B11="","",M!H11*1)</f>
        <v>11.6645</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-3.5889695380302524</v>
      </c>
      <c r="AI13" s="98">
        <v>0.16093442074971984</v>
      </c>
      <c r="AJ13" s="98">
        <v>-1.0988594420247608E-2</v>
      </c>
      <c r="AK13" s="98">
        <v>0.37151940745754808</v>
      </c>
      <c r="AL13" s="98">
        <v>8.9062029657998948E-2</v>
      </c>
      <c r="AM13" s="96"/>
      <c r="AN13" s="96"/>
      <c r="AO13" s="96"/>
      <c r="AP13" s="96"/>
      <c r="AX13" s="171"/>
      <c r="AY13" s="219">
        <f>info!W36</f>
        <v>56.708120000000001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15.072800000000001</v>
      </c>
      <c r="DJ13" s="265">
        <f t="shared" si="8"/>
        <v>-1.2267921334049539</v>
      </c>
      <c r="DK13" s="273">
        <f>IF(DH13=1,(DJ13-DF13)^2,0)</f>
        <v>2.7776431170825195</v>
      </c>
      <c r="DL13" s="274">
        <f t="shared" si="10"/>
        <v>0.73766269588293221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76.639399999999995</v>
      </c>
      <c r="O14" s="48">
        <f>M!C12*1</f>
        <v>0.60075999999999996</v>
      </c>
      <c r="P14" s="48">
        <f>M!D12*1</f>
        <v>0.78387799999999996</v>
      </c>
      <c r="Q14" s="48">
        <f>M!E12*1</f>
        <v>50</v>
      </c>
      <c r="R14" s="48">
        <f>IF(M!B12="","",M!F12*1)</f>
        <v>75.341300000000004</v>
      </c>
      <c r="S14" s="48">
        <f>M!G12*1</f>
        <v>100</v>
      </c>
      <c r="T14" s="48">
        <f>IF(M!B12="","",M!H12*1)</f>
        <v>77.650700000000001</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1.2259635867081415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64.41</v>
      </c>
      <c r="DJ14" s="265">
        <f t="shared" si="8"/>
        <v>0.73762646427215162</v>
      </c>
      <c r="DK14" s="279">
        <f t="shared" si="9"/>
        <v>0.65170910364393408</v>
      </c>
      <c r="DL14" s="280">
        <f t="shared" si="10"/>
        <v>8.2782198454334512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21.4147</v>
      </c>
      <c r="O15" s="48">
        <f>M!C13*1</f>
        <v>1.50728</v>
      </c>
      <c r="P15" s="48">
        <f>M!D13*1</f>
        <v>7.0385299999999997</v>
      </c>
      <c r="Q15" s="48">
        <f>M!E13*1</f>
        <v>10</v>
      </c>
      <c r="R15" s="48">
        <f>IF(M!B13="","",M!F13*1)</f>
        <v>19.049700000000001</v>
      </c>
      <c r="S15" s="48">
        <f>M!G13*1</f>
        <v>25</v>
      </c>
      <c r="T15" s="48">
        <f>IF(M!B13="","",M!H13*1)</f>
        <v>24.337199999999999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0.47424036068191472</v>
      </c>
      <c r="AI15" s="98">
        <v>-8.3250321124619289E-2</v>
      </c>
      <c r="AJ15" s="98">
        <v>-0.44690513063775733</v>
      </c>
      <c r="AK15" s="98">
        <v>0.12052818186953573</v>
      </c>
      <c r="AL15" s="98">
        <v>-2.4174505446491225E-2</v>
      </c>
      <c r="AM15" s="96"/>
      <c r="AN15" s="96"/>
      <c r="AO15" s="96"/>
      <c r="AP15" s="96"/>
      <c r="AX15" s="171"/>
      <c r="AY15" s="50">
        <f>SUM(AY7:AY14)</f>
        <v>309.57172000000003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24.742830869111351</v>
      </c>
      <c r="DL15" s="281">
        <f>IF(SUM($DI$7:$DI$14)&gt;0,SUM(DL7:DL14),0)</f>
        <v>31.885949865777292</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15.072800000000001</v>
      </c>
      <c r="O16" s="48">
        <f>M!C14*1</f>
        <v>4.3766699999999998</v>
      </c>
      <c r="P16" s="48">
        <f>M!D14*1</f>
        <v>29.036799999999999</v>
      </c>
      <c r="Q16" s="48">
        <f>M!E14*1</f>
        <v>10</v>
      </c>
      <c r="R16" s="48">
        <f>IF(M!B14="","",M!F14*1)</f>
        <v>1.3069599999999999</v>
      </c>
      <c r="S16" s="48">
        <f>M!G14*1</f>
        <v>50</v>
      </c>
      <c r="T16" s="48">
        <f>IF(M!B14="","",M!H14*1)</f>
        <v>15.8126</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-3.366214549938348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4.0415747304338882E-2</v>
      </c>
      <c r="DL16" s="281">
        <f>IF(DL15&gt;0,1/DL15,0)</f>
        <v>3.1361775459393948E-2</v>
      </c>
      <c r="DM16" t="s">
        <v>1207</v>
      </c>
    </row>
    <row r="17" spans="2:117" ht="21" customHeight="1" thickBot="1">
      <c r="B17" s="20"/>
      <c r="C17"/>
      <c r="D17"/>
      <c r="E17"/>
      <c r="F17"/>
      <c r="G17" s="1071"/>
      <c r="H17" s="827"/>
      <c r="I17" s="827"/>
      <c r="J17" s="827"/>
      <c r="K17" s="828"/>
      <c r="M17" s="163" t="str">
        <f>lang!B7</f>
        <v>긍정감정</v>
      </c>
      <c r="N17" s="54">
        <f>SUM(N11:N14)/4</f>
        <v>60.289350000000006</v>
      </c>
      <c r="O17" s="16">
        <f>N17/(N17+N18+N19)</f>
        <v>0.55895929909141473</v>
      </c>
      <c r="P17" s="54">
        <f>SUM(P11:P14)/4</f>
        <v>2.329612</v>
      </c>
      <c r="Q17" s="16">
        <f>P17/(P17+P18+P19)</f>
        <v>9.4183152945925178E-2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0.5630696873918839</v>
      </c>
      <c r="DL17" s="283"/>
      <c r="DM17" s="284" t="s">
        <v>1208</v>
      </c>
    </row>
    <row r="18" spans="2:117" ht="21" customHeight="1">
      <c r="B18" s="20"/>
      <c r="C18"/>
      <c r="D18"/>
      <c r="E18"/>
      <c r="F18"/>
      <c r="G18" s="1071"/>
      <c r="H18" s="827"/>
      <c r="I18" s="827"/>
      <c r="J18" s="827"/>
      <c r="K18" s="828"/>
      <c r="M18" s="163" t="str">
        <f>lang!B8</f>
        <v>부정감정</v>
      </c>
      <c r="N18" s="14">
        <f>SUM(N7:N10)/4</f>
        <v>29.326900000000002</v>
      </c>
      <c r="O18" s="16">
        <f>N18/(N17+N18+N19)</f>
        <v>0.27189783052104577</v>
      </c>
      <c r="P18" s="14">
        <f>SUM(P7:P10)/4</f>
        <v>4.3676349999999999</v>
      </c>
      <c r="Q18" s="16">
        <f>P18/(P17+P18+P19)</f>
        <v>0.17657774565763565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18.243749999999999</v>
      </c>
      <c r="O19" s="16">
        <f>N19/(N17+N18+N19)</f>
        <v>0.16914287038753936</v>
      </c>
      <c r="P19" s="14">
        <f>(P15+P16)/2</f>
        <v>18.037665000000001</v>
      </c>
      <c r="Q19" s="16">
        <f>P19/(P17+P18+P19)</f>
        <v>0.7292391013964391</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1.0125999999999999</v>
      </c>
      <c r="D24" s="34" t="str">
        <f>lang!B11</f>
        <v>편차</v>
      </c>
      <c r="E24" s="1077">
        <f>FH_info!G2*1</f>
        <v>0.49494199999999999</v>
      </c>
      <c r="F24" s="1078"/>
      <c r="G24" s="1075" t="str">
        <f>lang!B12</f>
        <v>정보(I)변화량</v>
      </c>
      <c r="H24" s="1076"/>
      <c r="I24" s="51" t="str">
        <f ca="1">CONCATENATE(info!N7,"-",info!N8)</f>
        <v>48.8-55.5</v>
      </c>
      <c r="J24" s="32" t="str">
        <f>lang!B13</f>
        <v>Kcal/분</v>
      </c>
      <c r="K24" s="31" t="str">
        <f ca="1">CONCATENATE(info!N5,"-",info!N6)</f>
        <v>1.9-2.1</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64.41</v>
      </c>
      <c r="F27" s="1043"/>
      <c r="G27" s="1055" t="str">
        <f>lang!B33</f>
        <v>정서안정성</v>
      </c>
      <c r="H27" s="1056"/>
      <c r="I27" s="1057"/>
      <c r="J27" s="993">
        <f>M!B19*100</f>
        <v>74.153300000000002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1.93736</v>
      </c>
      <c r="H2" s="50">
        <f>IF(FT!B2&lt;&gt;"",FT!B2*100,"")</f>
        <v>55.491900000000008</v>
      </c>
      <c r="I2" s="50">
        <f>(IF(G2&lt;&gt;"",1,""))</f>
        <v>1</v>
      </c>
      <c r="J2" t="str">
        <f>IF(FT!B2&lt;&gt;"",FT!E2,"")</f>
        <v>0 [0.000000]</v>
      </c>
      <c r="K2">
        <f>IF(FT!B2&lt;&gt;"",IF(FT!C2&lt;&gt;"",FT!C2,F2/$M$3*$M$4),"")</f>
        <v>0</v>
      </c>
      <c r="L2" t="s">
        <v>52</v>
      </c>
      <c r="M2">
        <f>FH_info!E2</f>
        <v>4.8833399999999996</v>
      </c>
      <c r="N2" s="75">
        <f>LOOKUP(O3,A2:A1000,B2:B1000)</f>
        <v>0.65111199999999991</v>
      </c>
      <c r="O2" s="50">
        <f>MAX(C2:C1000)</f>
        <v>1</v>
      </c>
      <c r="P2" t="s">
        <v>60</v>
      </c>
      <c r="Q2" t="s">
        <v>61</v>
      </c>
      <c r="R2" t="s">
        <v>62</v>
      </c>
      <c r="S2" t="s">
        <v>63</v>
      </c>
      <c r="T2" t="s">
        <v>64</v>
      </c>
      <c r="V2" s="50">
        <f>FT!G2*10</f>
        <v>1.96052</v>
      </c>
      <c r="W2" s="50">
        <f>FT!H2*100</f>
        <v>55.017300000000006</v>
      </c>
      <c r="Y2">
        <f>IF(I2=1,H2/G2,"")</f>
        <v>28.643050336540451</v>
      </c>
      <c r="Z2">
        <f>AVERAGE(Y2:Y2000)</f>
        <v>24.959744058041885</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1.96052</v>
      </c>
      <c r="H3" s="50">
        <f>IF(FT!B3&lt;&gt;"",FT!B3*100,"")</f>
        <v>55.017300000000006</v>
      </c>
      <c r="I3" s="50">
        <f t="shared" ref="I3:I66" si="2">(IF(G3&lt;&gt;"",1,""))</f>
        <v>1</v>
      </c>
      <c r="J3" t="str">
        <f>IF(FT!B3&lt;&gt;"",FT!E3,"")</f>
        <v>0 [0.352919]</v>
      </c>
      <c r="K3">
        <f>IF(FT!B3&lt;&gt;"",IF(FT!C3&lt;&gt;"",FT!C3,F3/$M$3*$M$4),"")</f>
        <v>0.35291899999999998</v>
      </c>
      <c r="L3" t="s">
        <v>53</v>
      </c>
      <c r="M3">
        <f>SUM(I2:I2005)</f>
        <v>25</v>
      </c>
      <c r="O3" s="104">
        <f>MATCH(O2,C2:C1000,0)-1</f>
        <v>34</v>
      </c>
      <c r="P3">
        <v>0</v>
      </c>
      <c r="Q3">
        <v>0</v>
      </c>
      <c r="R3">
        <f>IF(S4=0,M3,0)</f>
        <v>25</v>
      </c>
      <c r="S3">
        <f t="array" ref="S3">MAX(IF(ft_nq=0,row_n))</f>
        <v>1998</v>
      </c>
      <c r="T3">
        <f>R3-Q3</f>
        <v>25</v>
      </c>
      <c r="V3" s="50">
        <f>FT!G3*10</f>
        <v>2.0735700000000001</v>
      </c>
      <c r="W3" s="50">
        <f>FT!H3*100</f>
        <v>49.323499999999996</v>
      </c>
      <c r="Y3" s="75">
        <f t="shared" ref="Y3:Y66" si="3">IF(I3=1,H3/G3,"")</f>
        <v>28.062605839267135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1.98088</v>
      </c>
      <c r="H4" s="50">
        <f>IF(FT!B4&lt;&gt;"",FT!B4*100,"")</f>
        <v>54.597099999999998</v>
      </c>
      <c r="I4" s="50">
        <f t="shared" si="2"/>
        <v>1</v>
      </c>
      <c r="J4" t="str">
        <f>IF(FT!B4&lt;&gt;"",FT!E4,"")</f>
        <v>0 [0.743295]</v>
      </c>
      <c r="K4">
        <f>IF(FT!B4&lt;&gt;"",IF(FT!C4&lt;&gt;"",FT!C4,F4/$M$3*$M$4),"")</f>
        <v>0.74329500000000004</v>
      </c>
      <c r="L4" t="s">
        <v>246</v>
      </c>
      <c r="M4">
        <f>IF(M2&lt;&gt;0,M3/M2*2,0)</f>
        <v>10.238893871817242</v>
      </c>
      <c r="P4">
        <f>P3+1</f>
        <v>1</v>
      </c>
      <c r="Q4">
        <v>0</v>
      </c>
      <c r="R4">
        <f>IF(S4=1998,0,S4)</f>
        <v>0</v>
      </c>
      <c r="S4">
        <f t="array" ref="S4">MAX(IF(ft_nq=P4,row_n))</f>
        <v>0</v>
      </c>
      <c r="T4">
        <f>R4-Q4+1</f>
        <v>1</v>
      </c>
      <c r="V4" t="s">
        <v>209</v>
      </c>
      <c r="W4" s="23">
        <f>IF(ISERROR(V3-V2)=FALSE,(V3-V2)*10,0)</f>
        <v>1.1305000000000009</v>
      </c>
      <c r="Y4" s="75">
        <f t="shared" si="3"/>
        <v>27.56204313234522</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0.95419616119170791</v>
      </c>
      <c r="E5" s="50">
        <f t="shared" si="1"/>
        <v>2.2569384666695371E-5</v>
      </c>
      <c r="F5">
        <f t="shared" si="6"/>
        <v>3</v>
      </c>
      <c r="G5" s="50">
        <f>IF(FT!A5&lt;&gt;"",FT!A5*10,"")</f>
        <v>1.9983600000000001</v>
      </c>
      <c r="H5" s="50">
        <f>IF(FT!B5&lt;&gt;"",FT!B5*100,"")</f>
        <v>54.193800000000003</v>
      </c>
      <c r="I5" s="50">
        <f t="shared" si="2"/>
        <v>1</v>
      </c>
      <c r="J5" t="str">
        <f>IF(FT!B5&lt;&gt;"",FT!E5,"")</f>
        <v>0 [1.162417]</v>
      </c>
      <c r="K5">
        <f>IF(FT!B5&lt;&gt;"",IF(FT!C5&lt;&gt;"",FT!C5,F5/$M$3*$M$4),"")</f>
        <v>1.16242</v>
      </c>
      <c r="L5" t="s">
        <v>54</v>
      </c>
      <c r="M5" s="52">
        <f ca="1">IF(M3&gt;0,MIN(FT_E),0)</f>
        <v>1.93736</v>
      </c>
      <c r="N5" s="52">
        <f ca="1">IF(M3&gt;0,ROUND(M5,1),0)</f>
        <v>1.9</v>
      </c>
      <c r="P5">
        <f t="shared" ref="P5:P27" si="10">P4+1</f>
        <v>2</v>
      </c>
      <c r="Q5">
        <f>IF(S5=1998,0,R4)</f>
        <v>0</v>
      </c>
      <c r="R5">
        <f>IF(S5=1998,0,S5)</f>
        <v>0</v>
      </c>
      <c r="S5">
        <f t="array" ref="S5">MAX(IF(ft_nq=P5,row_n))</f>
        <v>0</v>
      </c>
      <c r="T5">
        <f t="shared" ref="T5:T27" si="11">R5-Q5+1</f>
        <v>1</v>
      </c>
      <c r="V5" t="s">
        <v>210</v>
      </c>
      <c r="W5" s="23">
        <f>IF(ISERROR(W3-W2)=FALSE,W3-W2,0)</f>
        <v>-5.6938000000000102</v>
      </c>
      <c r="Y5" s="75">
        <f t="shared" si="3"/>
        <v>27.119137692908183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v>
      </c>
      <c r="E6" s="50">
        <f t="shared" si="1"/>
        <v>2.7811407680551124E-5</v>
      </c>
      <c r="F6">
        <f t="shared" si="6"/>
        <v>4</v>
      </c>
      <c r="G6" s="50">
        <f>IF(FT!A6&lt;&gt;"",FT!A6*10,"")</f>
        <v>2.0120100000000001</v>
      </c>
      <c r="H6" s="50">
        <f>IF(FT!B6&lt;&gt;"",FT!B6*100,"")</f>
        <v>53.857600000000005</v>
      </c>
      <c r="I6" s="50">
        <f t="shared" si="2"/>
        <v>1</v>
      </c>
      <c r="J6" t="str">
        <f>IF(FT!B6&lt;&gt;"",FT!E6,"")</f>
        <v>0 [1.582179]</v>
      </c>
      <c r="K6">
        <f>IF(FT!B6&lt;&gt;"",IF(FT!C6&lt;&gt;"",FT!C6,F6/$M$3*$M$4),"")</f>
        <v>1.5821799999999999</v>
      </c>
      <c r="L6" t="s">
        <v>55</v>
      </c>
      <c r="M6" s="52">
        <f ca="1">IF(M3&gt;0,MAX(FT_E),0)</f>
        <v>2.14358</v>
      </c>
      <c r="N6" s="52">
        <f ca="1">IF(M3&gt;0,ROUND(M6,1),0)</f>
        <v>2.1</v>
      </c>
      <c r="P6">
        <f t="shared" si="10"/>
        <v>3</v>
      </c>
      <c r="Q6">
        <f t="shared" ref="Q6:Q27" si="12">IF(S6=1998,0,R5)</f>
        <v>0</v>
      </c>
      <c r="R6">
        <f t="shared" ref="R6:R27" si="13">IF(S6=1998,0,S6)</f>
        <v>0</v>
      </c>
      <c r="S6">
        <f t="array" ref="S6">MAX(IF(ft_nq=P6,row_n))</f>
        <v>0</v>
      </c>
      <c r="T6">
        <f t="shared" si="11"/>
        <v>1</v>
      </c>
      <c r="V6" t="s">
        <v>211</v>
      </c>
      <c r="W6" s="23">
        <f>IF(W4&lt;&gt;0,W5/W4,0)</f>
        <v>-5.0365325077399428</v>
      </c>
      <c r="Y6" s="75">
        <f t="shared" si="3"/>
        <v>26.768057812833934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2.0248499999999998</v>
      </c>
      <c r="H7" s="50">
        <f>IF(FT!B7&lt;&gt;"",FT!B7*100,"")</f>
        <v>53.537300000000002</v>
      </c>
      <c r="I7" s="50">
        <f t="shared" si="2"/>
        <v>1</v>
      </c>
      <c r="J7" t="str">
        <f>IF(FT!B7&lt;&gt;"",FT!E7,"")</f>
        <v>0 [1.979980]</v>
      </c>
      <c r="K7">
        <f>IF(FT!B7&lt;&gt;"",IF(FT!C7&lt;&gt;"",FT!C7,F7/$M$3*$M$4),"")</f>
        <v>1.9799800000000001</v>
      </c>
      <c r="L7" t="s">
        <v>56</v>
      </c>
      <c r="M7" s="366">
        <f ca="1">IF(M3&gt;0,MIN(FT_PH),0)</f>
        <v>48.7697</v>
      </c>
      <c r="N7" s="52">
        <f ca="1">IF(M3&gt;0,ROUND(M7,1),0)</f>
        <v>48.8</v>
      </c>
      <c r="P7">
        <f t="shared" si="10"/>
        <v>4</v>
      </c>
      <c r="Q7">
        <f t="shared" si="12"/>
        <v>0</v>
      </c>
      <c r="R7">
        <f t="shared" si="13"/>
        <v>0</v>
      </c>
      <c r="S7">
        <f t="array" ref="S7">MAX(IF(ft_nq=P7,row_n))</f>
        <v>0</v>
      </c>
      <c r="T7">
        <f t="shared" si="11"/>
        <v>1</v>
      </c>
      <c r="V7" t="s">
        <v>212</v>
      </c>
      <c r="W7" s="23">
        <f>DEGREES(ATAN(W6))</f>
        <v>-78.770011922279593</v>
      </c>
      <c r="X7" s="106">
        <v>0.05</v>
      </c>
      <c r="Y7" s="75">
        <f t="shared" si="3"/>
        <v>26.44013136775564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0.12171111508859854</v>
      </c>
      <c r="D8" s="50">
        <f>IF(hist!$D$2&gt;0,hist!B8/hist!$D$2,0)</f>
        <v>1</v>
      </c>
      <c r="E8" s="50">
        <f t="shared" si="1"/>
        <v>4.1969484184793039E-5</v>
      </c>
      <c r="F8">
        <f t="shared" si="6"/>
        <v>6</v>
      </c>
      <c r="G8" s="50">
        <f>IF(FT!A8&lt;&gt;"",FT!A8*10,"")</f>
        <v>2.0389499999999998</v>
      </c>
      <c r="H8" s="50">
        <f>IF(FT!B8&lt;&gt;"",FT!B8*100,"")</f>
        <v>53.187399999999997</v>
      </c>
      <c r="I8" s="50">
        <f t="shared" si="2"/>
        <v>1</v>
      </c>
      <c r="J8" t="str">
        <f>IF(FT!B8&lt;&gt;"",FT!E8,"")</f>
        <v>0 [2.383101]</v>
      </c>
      <c r="K8">
        <f>IF(FT!B8&lt;&gt;"",IF(FT!C8&lt;&gt;"",FT!C8,F8/$M$3*$M$4),"")</f>
        <v>2.3831000000000002</v>
      </c>
      <c r="L8" t="s">
        <v>57</v>
      </c>
      <c r="M8" s="52">
        <f ca="1">IF(M3&gt;0,MAX(FT_PH),0)</f>
        <v>55.491900000000008</v>
      </c>
      <c r="N8" s="52">
        <f ca="1">IF(M3&gt;0,ROUND(M8,1),0)</f>
        <v>55.5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26.085681355599696</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0</v>
      </c>
      <c r="D9" s="50">
        <f>IF(hist!$D$2&gt;0,hist!B9/hist!$D$2,0)</f>
        <v>0</v>
      </c>
      <c r="E9" s="50">
        <f t="shared" si="1"/>
        <v>5.1397386866100362E-5</v>
      </c>
      <c r="F9">
        <f t="shared" si="6"/>
        <v>7</v>
      </c>
      <c r="G9" s="50">
        <f>IF(FT!A9&lt;&gt;"",FT!A9*10,"")</f>
        <v>2.0539399999999999</v>
      </c>
      <c r="H9" s="50">
        <f>IF(FT!B9&lt;&gt;"",FT!B9*100,"")</f>
        <v>52.834599999999995</v>
      </c>
      <c r="I9" s="50">
        <f t="shared" si="2"/>
        <v>1</v>
      </c>
      <c r="J9" t="str">
        <f>IF(FT!B9&lt;&gt;"",FT!E9,"")</f>
        <v>0 [2.770681]</v>
      </c>
      <c r="K9">
        <f>IF(FT!B9&lt;&gt;"",IF(FT!C9&lt;&gt;"",FT!C9,F9/$M$3*$M$4),"")</f>
        <v>2.77068</v>
      </c>
      <c r="L9" t="s">
        <v>222</v>
      </c>
      <c r="M9" s="74">
        <f ca="1">IF(M3&gt;0,IF(COUNT(FT_E)&gt;0,AVERAGE(FT_E),0),0)</f>
        <v>2.0677327999999999</v>
      </c>
      <c r="N9" s="365">
        <f ca="1">IF(M3&gt;0,IF(COUNT(FT_PH)&gt;0,AVERAGE(FT_PH),0),0)</f>
        <v>51.527984000000018</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25.723536227932655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0.35940576337927332</v>
      </c>
      <c r="D10" s="50">
        <f>IF(hist!$D$2&gt;0,hist!B10/hist!$D$2,0)</f>
        <v>0.76467877772095771</v>
      </c>
      <c r="E10" s="50">
        <f t="shared" si="1"/>
        <v>6.2813042761581978E-5</v>
      </c>
      <c r="F10">
        <f t="shared" si="6"/>
        <v>8</v>
      </c>
      <c r="G10" s="50">
        <f>IF(FT!A10&lt;&gt;"",FT!A10*10,"")</f>
        <v>2.06826</v>
      </c>
      <c r="H10" s="50">
        <f>IF(FT!B10&lt;&gt;"",FT!B10*100,"")</f>
        <v>52.483699999999999</v>
      </c>
      <c r="I10" s="50">
        <f t="shared" si="2"/>
        <v>1</v>
      </c>
      <c r="J10" t="str">
        <f>IF(FT!B10&lt;&gt;"",FT!E10,"")</f>
        <v>0 [3.175271]</v>
      </c>
      <c r="K10">
        <f>IF(FT!B10&lt;&gt;"",IF(FT!C10&lt;&gt;"",FT!C10,F10/$M$3*$M$4),"")</f>
        <v>3.1752699999999998</v>
      </c>
      <c r="M10">
        <v>2</v>
      </c>
      <c r="P10">
        <f t="shared" si="10"/>
        <v>7</v>
      </c>
      <c r="Q10">
        <f t="shared" si="12"/>
        <v>0</v>
      </c>
      <c r="R10">
        <f t="shared" si="13"/>
        <v>0</v>
      </c>
      <c r="S10">
        <f t="array" ref="S10">MAX(IF(ft_nq=P10,row_n))</f>
        <v>0</v>
      </c>
      <c r="T10">
        <f t="shared" si="11"/>
        <v>1</v>
      </c>
      <c r="V10" t="s">
        <v>215</v>
      </c>
      <c r="X10" s="71" t="s">
        <v>270</v>
      </c>
      <c r="Y10" s="75">
        <f t="shared" si="3"/>
        <v>25.375774805875469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0</v>
      </c>
      <c r="D11" s="50">
        <f>IF(hist!$D$2&gt;0,hist!B11/hist!$D$2,0)</f>
        <v>0</v>
      </c>
      <c r="E11" s="50">
        <f t="shared" si="1"/>
        <v>7.6605510193685926E-5</v>
      </c>
      <c r="F11">
        <f t="shared" si="6"/>
        <v>9</v>
      </c>
      <c r="G11" s="50">
        <f>IF(FT!A11&lt;&gt;"",FT!A11*10,"")</f>
        <v>2.0825199999999997</v>
      </c>
      <c r="H11" s="50">
        <f>IF(FT!B11&lt;&gt;"",FT!B11*100,"")</f>
        <v>52.128900000000002</v>
      </c>
      <c r="I11" s="50">
        <f t="shared" si="2"/>
        <v>1</v>
      </c>
      <c r="J11" t="str">
        <f>IF(FT!B11&lt;&gt;"",FT!E11,"")</f>
        <v>0 [3.589379]</v>
      </c>
      <c r="K11">
        <f>IF(FT!B11&lt;&gt;"",IF(FT!C11&lt;&gt;"",FT!C11,F11/$M$3*$M$4),"")</f>
        <v>3.5893799999999998</v>
      </c>
      <c r="M11" s="49">
        <f>MAX(IF(ft_nq=1,row_n))</f>
        <v>0</v>
      </c>
      <c r="P11">
        <f t="shared" si="10"/>
        <v>8</v>
      </c>
      <c r="Q11">
        <f t="shared" si="12"/>
        <v>0</v>
      </c>
      <c r="R11">
        <f t="shared" si="13"/>
        <v>0</v>
      </c>
      <c r="S11">
        <f t="array" ref="S11">MAX(IF(ft_nq=P11,row_n))</f>
        <v>0</v>
      </c>
      <c r="T11">
        <f t="shared" si="11"/>
        <v>1</v>
      </c>
      <c r="V11" s="71" t="s">
        <v>216</v>
      </c>
      <c r="W11" s="23">
        <f>FT!H11*100</f>
        <v>48.7697</v>
      </c>
      <c r="Y11" s="75">
        <f t="shared" si="3"/>
        <v>25.031644353955787</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1</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v>
      </c>
      <c r="D12" s="50">
        <f>IF(hist!$D$2&gt;0,hist!B12/hist!$D$2,0)</f>
        <v>0</v>
      </c>
      <c r="E12" s="50">
        <f t="shared" si="1"/>
        <v>9.3233410648691951E-5</v>
      </c>
      <c r="F12">
        <f t="shared" si="6"/>
        <v>10</v>
      </c>
      <c r="G12" s="50">
        <f>IF(FT!A12&lt;&gt;"",FT!A12*10,"")</f>
        <v>2.0960799999999997</v>
      </c>
      <c r="H12" s="50">
        <f>IF(FT!B12&lt;&gt;"",FT!B12*100,"")</f>
        <v>51.795000000000002</v>
      </c>
      <c r="I12" s="50">
        <f t="shared" si="2"/>
        <v>1</v>
      </c>
      <c r="J12" t="str">
        <f>IF(FT!B12&lt;&gt;"",FT!E12,"")</f>
        <v>0 [4.033701]</v>
      </c>
      <c r="K12">
        <f>IF(FT!B12&lt;&gt;"",IF(FT!C12&lt;&gt;"",FT!C12,F12/$M$3*$M$4),"")</f>
        <v>4.0336999999999996</v>
      </c>
      <c r="M12">
        <f>M11+1</f>
        <v>1</v>
      </c>
      <c r="P12">
        <f t="shared" si="10"/>
        <v>9</v>
      </c>
      <c r="Q12">
        <f t="shared" si="12"/>
        <v>0</v>
      </c>
      <c r="R12">
        <f t="shared" si="13"/>
        <v>0</v>
      </c>
      <c r="S12">
        <f t="array" ref="S12">MAX(IF(ft_nq=P12,row_n))</f>
        <v>0</v>
      </c>
      <c r="T12">
        <f t="shared" si="11"/>
        <v>1</v>
      </c>
      <c r="V12" s="71" t="s">
        <v>217</v>
      </c>
      <c r="W12" s="23">
        <f>FT!H12*100</f>
        <v>55.491900000000008</v>
      </c>
      <c r="Y12" s="75">
        <f t="shared" si="3"/>
        <v>24.710411816342891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0.44442455700733846</v>
      </c>
      <c r="D13" s="50">
        <f>IF(hist!$D$2&gt;0,hist!B13/hist!$D$2,0)</f>
        <v>0.69428703434881245</v>
      </c>
      <c r="E13" s="50">
        <f t="shared" si="1"/>
        <v>1.132359998636666E-4</v>
      </c>
      <c r="F13">
        <f t="shared" si="6"/>
        <v>11</v>
      </c>
      <c r="G13" s="50">
        <f>IF(FT!A13&lt;&gt;"",FT!A13*10,"")</f>
        <v>2.1095700000000002</v>
      </c>
      <c r="H13" s="50">
        <f>IF(FT!B13&lt;&gt;"",FT!B13*100,"")</f>
        <v>51.494099999999996</v>
      </c>
      <c r="I13" s="50">
        <f t="shared" si="2"/>
        <v>1</v>
      </c>
      <c r="J13" t="str">
        <f>IF(FT!B13&lt;&gt;"",FT!E13,"")</f>
        <v>0 [4.399626]</v>
      </c>
      <c r="K13">
        <f>IF(FT!B13&lt;&gt;"",IF(FT!C13&lt;&gt;"",FT!C13,F13/$M$3*$M$4),"")</f>
        <v>4.3996300000000002</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24.409761230961756</v>
      </c>
    </row>
    <row r="14" spans="1:104">
      <c r="A14" s="50">
        <f t="shared" si="5"/>
        <v>12</v>
      </c>
      <c r="B14" s="50">
        <f t="shared" si="0"/>
        <v>0.22980423529411761</v>
      </c>
      <c r="C14" s="50">
        <f>IF(FH!$C$2&gt;0,FH!A14/FH!$C$2,0)</f>
        <v>0</v>
      </c>
      <c r="D14" s="50">
        <f>IF(hist!$D$2&gt;0,hist!B14/hist!$D$2,0)</f>
        <v>0</v>
      </c>
      <c r="E14" s="50">
        <f t="shared" si="1"/>
        <v>1.3724573318592807E-4</v>
      </c>
      <c r="F14">
        <f t="shared" si="6"/>
        <v>12</v>
      </c>
      <c r="G14" s="50">
        <f>IF(FT!A14&lt;&gt;"",FT!A14*10,"")</f>
        <v>2.1238299999999999</v>
      </c>
      <c r="H14" s="50">
        <f>IF(FT!B14&lt;&gt;"",FT!B14*100,"")</f>
        <v>51.143799999999992</v>
      </c>
      <c r="I14" s="50">
        <f t="shared" si="2"/>
        <v>1</v>
      </c>
      <c r="J14" t="str">
        <f>IF(FT!B14&lt;&gt;"",FT!E14,"")</f>
        <v>0 [4.815307]</v>
      </c>
      <c r="K14">
        <f>IF(FT!B14&lt;&gt;"",IF(FT!C14&lt;&gt;"",FT!C14,F14/$M$3*$M$4),"")</f>
        <v>4.8153100000000002</v>
      </c>
      <c r="M14">
        <f>M13+1</f>
        <v>1</v>
      </c>
      <c r="P14">
        <f t="shared" si="10"/>
        <v>11</v>
      </c>
      <c r="Q14">
        <f t="shared" si="12"/>
        <v>0</v>
      </c>
      <c r="R14">
        <f t="shared" si="13"/>
        <v>0</v>
      </c>
      <c r="S14">
        <f t="array" ref="S14">MAX(IF(ft_nq=P14,row_n))</f>
        <v>0</v>
      </c>
      <c r="T14">
        <f t="shared" si="11"/>
        <v>1</v>
      </c>
      <c r="V14" s="71" t="s">
        <v>221</v>
      </c>
      <c r="W14">
        <f>FT!H14</f>
        <v>1</v>
      </c>
      <c r="Y14" s="75">
        <f t="shared" si="3"/>
        <v>24.080929264583322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0.41757651691426523</v>
      </c>
      <c r="D15" s="50">
        <f>IF(hist!$D$2&gt;0,hist!B15/hist!$D$2,0)</f>
        <v>0.59502974939224096</v>
      </c>
      <c r="E15" s="50">
        <f t="shared" si="1"/>
        <v>1.6600247721131861E-4</v>
      </c>
      <c r="F15">
        <f t="shared" si="6"/>
        <v>13</v>
      </c>
      <c r="G15" s="50">
        <f>IF(FT!A15&lt;&gt;"",FT!A15*10,"")</f>
        <v>2.1353599999999999</v>
      </c>
      <c r="H15" s="50">
        <f>IF(FT!B15&lt;&gt;"",FT!B15*100,"")</f>
        <v>50.874299999999991</v>
      </c>
      <c r="I15" s="50">
        <f t="shared" si="2"/>
        <v>1</v>
      </c>
      <c r="J15" t="str">
        <f>IF(FT!B15&lt;&gt;"",FT!E15,"")</f>
        <v>0 [5.222363]</v>
      </c>
      <c r="K15">
        <f>IF(FT!B15&lt;&gt;"",IF(FT!C15&lt;&gt;"",FT!C15,F15/$M$3*$M$4),"")</f>
        <v>5.2223600000000001</v>
      </c>
      <c r="M15">
        <f t="array" ref="M15">MAX(IF(ft_nq=3,row_n))</f>
        <v>0</v>
      </c>
      <c r="P15">
        <f t="shared" si="10"/>
        <v>12</v>
      </c>
      <c r="Q15">
        <f t="shared" si="12"/>
        <v>0</v>
      </c>
      <c r="R15">
        <f t="shared" si="13"/>
        <v>0</v>
      </c>
      <c r="S15">
        <f t="array" ref="S15">MAX(IF(ft_nq=P15,row_n))</f>
        <v>0</v>
      </c>
      <c r="T15">
        <f t="shared" si="11"/>
        <v>1</v>
      </c>
      <c r="V15" s="23">
        <f>FT!G15*10</f>
        <v>2.0329299999999999</v>
      </c>
      <c r="W15" s="23">
        <f>FT!H15*100</f>
        <v>48.7697</v>
      </c>
      <c r="Y15" s="75">
        <f t="shared" si="3"/>
        <v>23.824694665068183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0</v>
      </c>
      <c r="D16" s="50">
        <f>IF(hist!$D$2&gt;0,hist!B16/hist!$D$2,0)</f>
        <v>0</v>
      </c>
      <c r="E16" s="50">
        <f t="shared" si="1"/>
        <v>2.003695262044659E-4</v>
      </c>
      <c r="F16">
        <f t="shared" si="6"/>
        <v>14</v>
      </c>
      <c r="G16" s="50">
        <f>IF(FT!A16&lt;&gt;"",FT!A16*10,"")</f>
        <v>2.14358</v>
      </c>
      <c r="H16" s="50">
        <f>IF(FT!B16&lt;&gt;"",FT!B16*100,"")</f>
        <v>50.624000000000002</v>
      </c>
      <c r="I16" s="50">
        <f t="shared" si="2"/>
        <v>1</v>
      </c>
      <c r="J16" t="str">
        <f>IF(FT!B16&lt;&gt;"",FT!E16,"")</f>
        <v>0 [5.632495]</v>
      </c>
      <c r="K16">
        <f>IF(FT!B16&lt;&gt;"",IF(FT!C16&lt;&gt;"",FT!C16,F16/$M$3*$M$4),"")</f>
        <v>5.6324899999999998</v>
      </c>
      <c r="M16">
        <f>M15+1</f>
        <v>1</v>
      </c>
      <c r="P16">
        <f t="shared" si="10"/>
        <v>13</v>
      </c>
      <c r="Q16">
        <f t="shared" si="12"/>
        <v>0</v>
      </c>
      <c r="R16">
        <f t="shared" si="13"/>
        <v>0</v>
      </c>
      <c r="S16">
        <f t="array" ref="S16">MAX(IF(ft_nq=P16,row_n))</f>
        <v>0</v>
      </c>
      <c r="T16">
        <f t="shared" si="11"/>
        <v>1</v>
      </c>
      <c r="V16" s="23">
        <f>FT!G16*10</f>
        <v>1.93736</v>
      </c>
      <c r="W16" s="23">
        <f>FT!H16*100</f>
        <v>55.491900000000008</v>
      </c>
      <c r="Y16" s="75">
        <f t="shared" si="3"/>
        <v>23.616566678173896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0</v>
      </c>
      <c r="D17" s="50">
        <f>IF(hist!$D$2&gt;0,hist!B17/hist!$D$2,0)</f>
        <v>0</v>
      </c>
      <c r="E17" s="50">
        <f t="shared" si="1"/>
        <v>2.4135158680559619E-4</v>
      </c>
      <c r="F17">
        <f t="shared" si="6"/>
        <v>15</v>
      </c>
      <c r="G17" s="50">
        <f>IF(FT!A17&lt;&gt;"",FT!A17*10,"")</f>
        <v>2.1424000000000003</v>
      </c>
      <c r="H17" s="50">
        <f>IF(FT!B17&lt;&gt;"",FT!B17*100,"")</f>
        <v>50.393100000000004</v>
      </c>
      <c r="I17" s="50">
        <f t="shared" si="2"/>
        <v>1</v>
      </c>
      <c r="J17" t="str">
        <f>IF(FT!B17&lt;&gt;"",FT!E17,"")</f>
        <v>0 [6.030188]</v>
      </c>
      <c r="K17">
        <f>IF(FT!B17&lt;&gt;"",IF(FT!C17&lt;&gt;"",FT!C17,F17/$M$3*$M$4),"")</f>
        <v>6.0301900000000002</v>
      </c>
      <c r="M17">
        <f>M3+1</f>
        <v>26</v>
      </c>
      <c r="P17">
        <f t="shared" si="10"/>
        <v>14</v>
      </c>
      <c r="Q17">
        <f t="shared" si="12"/>
        <v>0</v>
      </c>
      <c r="R17">
        <f t="shared" si="13"/>
        <v>0</v>
      </c>
      <c r="S17">
        <f t="array" ref="S17">MAX(IF(ft_nq=P17,row_n))</f>
        <v>0</v>
      </c>
      <c r="T17">
        <f t="shared" si="11"/>
        <v>1</v>
      </c>
      <c r="V17" t="s">
        <v>1522</v>
      </c>
      <c r="Y17" s="75">
        <f t="shared" si="3"/>
        <v>23.521797983569826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0.40719527474494366</v>
      </c>
      <c r="D18" s="50">
        <f>IF(hist!$D$2&gt;0,hist!B18/hist!$D$2,0)</f>
        <v>0.51677217493003413</v>
      </c>
      <c r="E18" s="50">
        <f t="shared" si="1"/>
        <v>2.9011489761363837E-4</v>
      </c>
      <c r="F18">
        <f t="shared" si="6"/>
        <v>16</v>
      </c>
      <c r="G18" s="50">
        <f>IF(FT!A18&lt;&gt;"",FT!A18*10,"")</f>
        <v>2.1358999999999999</v>
      </c>
      <c r="H18" s="50">
        <f>IF(FT!B18&lt;&gt;"",FT!B18*100,"")</f>
        <v>50.096799999999995</v>
      </c>
      <c r="I18" s="50">
        <f t="shared" si="2"/>
        <v>1</v>
      </c>
      <c r="J18" t="str">
        <f>IF(FT!B18&lt;&gt;"",FT!E18,"")</f>
        <v>0 [6.449679]</v>
      </c>
      <c r="K18">
        <f>IF(FT!B18&lt;&gt;"",IF(FT!C18&lt;&gt;"",FT!C18,F18/$M$3*$M$4),"")</f>
        <v>6.4496799999999999</v>
      </c>
      <c r="P18">
        <f t="shared" si="10"/>
        <v>15</v>
      </c>
      <c r="Q18">
        <f t="shared" si="12"/>
        <v>0</v>
      </c>
      <c r="R18">
        <f t="shared" si="13"/>
        <v>0</v>
      </c>
      <c r="S18">
        <f t="array" ref="S18">MAX(IF(ft_nq=P18,row_n))</f>
        <v>0</v>
      </c>
      <c r="T18">
        <f t="shared" si="11"/>
        <v>1</v>
      </c>
      <c r="V18" s="288">
        <f>M!B18*100</f>
        <v>64.41</v>
      </c>
      <c r="W18" s="287">
        <f>100-M!B19*100</f>
        <v>25.846699999999998</v>
      </c>
      <c r="X18" t="str">
        <f>"(" &amp; ROUND(V18,1) &amp; " , " &amp; ROUND(100-W18,1) &amp; ")"</f>
        <v>(64.4 , 74.2)</v>
      </c>
      <c r="Y18" s="75">
        <f t="shared" si="3"/>
        <v>23.4546561168594</v>
      </c>
      <c r="Z18">
        <f>M!B18*100</f>
        <v>64.41</v>
      </c>
      <c r="AA18">
        <f>100-M!B19*100</f>
        <v>25.846699999999998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0</v>
      </c>
      <c r="D19" s="50">
        <f>IF(hist!$D$2&gt;0,hist!B19/hist!$D$2,0)</f>
        <v>0</v>
      </c>
      <c r="E19" s="50">
        <f t="shared" si="1"/>
        <v>3.4800965093789385E-4</v>
      </c>
      <c r="F19">
        <f t="shared" si="6"/>
        <v>17</v>
      </c>
      <c r="G19" s="50">
        <f>IF(FT!A19&lt;&gt;"",FT!A19*10,"")</f>
        <v>2.1252900000000001</v>
      </c>
      <c r="H19" s="50">
        <f>IF(FT!B19&lt;&gt;"",FT!B19*100,"")</f>
        <v>49.805999999999997</v>
      </c>
      <c r="I19" s="50">
        <f t="shared" si="2"/>
        <v>1</v>
      </c>
      <c r="J19" t="str">
        <f>IF(FT!B19&lt;&gt;"",FT!E19,"")</f>
        <v>0 [6.852224]</v>
      </c>
      <c r="K19">
        <f>IF(FT!B19&lt;&gt;"",IF(FT!C19&lt;&gt;"",FT!C19,F19/$M$3*$M$4),"")</f>
        <v>6.85222</v>
      </c>
      <c r="P19">
        <f t="shared" si="10"/>
        <v>16</v>
      </c>
      <c r="Q19">
        <f t="shared" si="12"/>
        <v>0</v>
      </c>
      <c r="R19">
        <f t="shared" si="13"/>
        <v>0</v>
      </c>
      <c r="S19">
        <f t="array" ref="S19">MAX(IF(ft_nq=P19,row_n))</f>
        <v>0</v>
      </c>
      <c r="T19">
        <f t="shared" si="11"/>
        <v>1</v>
      </c>
      <c r="V19" t="s">
        <v>1521</v>
      </c>
      <c r="Y19" s="75">
        <f t="shared" si="3"/>
        <v>23.434919469813529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0</v>
      </c>
      <c r="D20" s="50">
        <f>IF(hist!$D$2&gt;0,hist!B20/hist!$D$2,0)</f>
        <v>0</v>
      </c>
      <c r="E20" s="50">
        <f t="shared" si="1"/>
        <v>4.1659488182078426E-4</v>
      </c>
      <c r="F20">
        <f t="shared" si="6"/>
        <v>18</v>
      </c>
      <c r="G20" s="50">
        <f>IF(FT!A20&lt;&gt;"",FT!A20*10,"")</f>
        <v>2.1153599999999999</v>
      </c>
      <c r="H20" s="50">
        <f>IF(FT!B20&lt;&gt;"",FT!B20*100,"")</f>
        <v>49.587299999999999</v>
      </c>
      <c r="I20" s="50">
        <f t="shared" si="2"/>
        <v>1</v>
      </c>
      <c r="J20" t="str">
        <f>IF(FT!B20&lt;&gt;"",FT!E20,"")</f>
        <v>0 [7.242630]</v>
      </c>
      <c r="K20">
        <f>IF(FT!B20&lt;&gt;"",IF(FT!C20&lt;&gt;"",FT!C20,F20/$M$3*$M$4),"")</f>
        <v>7.2426300000000001</v>
      </c>
      <c r="P20">
        <f t="shared" si="10"/>
        <v>17</v>
      </c>
      <c r="Q20">
        <f t="shared" si="12"/>
        <v>0</v>
      </c>
      <c r="R20">
        <f t="shared" si="13"/>
        <v>0</v>
      </c>
      <c r="S20">
        <f t="array" ref="S20">MAX(IF(ft_nq=P20,row_n))</f>
        <v>0</v>
      </c>
      <c r="T20">
        <f t="shared" si="11"/>
        <v>1</v>
      </c>
      <c r="V20" s="56">
        <v>50</v>
      </c>
      <c r="W20">
        <v>50</v>
      </c>
      <c r="Y20" s="75">
        <f t="shared" si="3"/>
        <v>23.441541865214433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0.60085913728297835</v>
      </c>
      <c r="D21" s="50">
        <f>IF(hist!$D$2&gt;0,hist!B21/hist!$D$2,0)</f>
        <v>0.42892512556947027</v>
      </c>
      <c r="E21" s="50">
        <f t="shared" si="1"/>
        <v>4.9766598380262606E-4</v>
      </c>
      <c r="F21">
        <f t="shared" si="6"/>
        <v>19</v>
      </c>
      <c r="G21" s="50">
        <f>IF(FT!A21&lt;&gt;"",FT!A21*10,"")</f>
        <v>2.1068000000000002</v>
      </c>
      <c r="H21" s="50">
        <f>IF(FT!B21&lt;&gt;"",FT!B21*100,"")</f>
        <v>49.486899999999999</v>
      </c>
      <c r="I21" s="50">
        <f t="shared" si="2"/>
        <v>1</v>
      </c>
      <c r="J21" t="str">
        <f>IF(FT!B21&lt;&gt;"",FT!E21,"")</f>
        <v>0 [7.654307]</v>
      </c>
      <c r="K21">
        <f>IF(FT!B21&lt;&gt;"",IF(FT!C21&lt;&gt;"",FT!C21,F21/$M$3*$M$4),"")</f>
        <v>7.6543099999999997</v>
      </c>
      <c r="P21">
        <f t="shared" si="10"/>
        <v>18</v>
      </c>
      <c r="Q21">
        <f t="shared" si="12"/>
        <v>0</v>
      </c>
      <c r="R21">
        <f t="shared" si="13"/>
        <v>0</v>
      </c>
      <c r="S21">
        <f t="array" ref="S21">MAX(IF(ft_nq=P21,row_n))</f>
        <v>0</v>
      </c>
      <c r="T21">
        <f t="shared" si="11"/>
        <v>1</v>
      </c>
      <c r="V21" s="288">
        <f>Measurement!DK17*100</f>
        <v>56.306968739188392</v>
      </c>
      <c r="W21" s="287">
        <f>'R3'!I3</f>
        <v>10.661039541187577</v>
      </c>
      <c r="X21" t="str">
        <f>"(" &amp; ROUND(V21,1) &amp; " , " &amp; ROUND(W21,1) &amp; ")" &amp; CHAR(10) &amp; AR26</f>
        <v>(56.3 , 10.7)
한가로운</v>
      </c>
      <c r="Y21" s="75">
        <f t="shared" si="3"/>
        <v>23.489130434782606</v>
      </c>
      <c r="AA21">
        <f>100-M!B19*100</f>
        <v>25.846699999999998</v>
      </c>
      <c r="AC21">
        <f>'R3'!I3</f>
        <v>10.661039541187577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0</v>
      </c>
      <c r="D22" s="50">
        <f>IF(hist!$D$2&gt;0,hist!B22/hist!$D$2,0)</f>
        <v>0</v>
      </c>
      <c r="E22" s="50">
        <f t="shared" si="1"/>
        <v>5.9328500124227292E-4</v>
      </c>
      <c r="F22">
        <f t="shared" si="6"/>
        <v>20</v>
      </c>
      <c r="G22" s="50">
        <f>IF(FT!A22&lt;&gt;"",FT!A22*10,"")</f>
        <v>2.0937999999999999</v>
      </c>
      <c r="H22" s="50">
        <f>IF(FT!B22&lt;&gt;"",FT!B22*100,"")</f>
        <v>49.424399999999999</v>
      </c>
      <c r="I22" s="50">
        <f t="shared" si="2"/>
        <v>1</v>
      </c>
      <c r="J22" t="str">
        <f>IF(FT!B22&lt;&gt;"",FT!E22,"")</f>
        <v>0 [8.048330]</v>
      </c>
      <c r="K22">
        <f>IF(FT!B22&lt;&gt;"",IF(FT!C22&lt;&gt;"",FT!C22,F22/$M$3*$M$4),"")</f>
        <v>8.04833</v>
      </c>
      <c r="P22">
        <f t="shared" si="10"/>
        <v>19</v>
      </c>
      <c r="Q22">
        <f t="shared" si="12"/>
        <v>0</v>
      </c>
      <c r="R22">
        <f t="shared" si="13"/>
        <v>0</v>
      </c>
      <c r="S22">
        <f t="array" ref="S22">MAX(IF(ft_nq=P22,row_n))</f>
        <v>0</v>
      </c>
      <c r="T22">
        <f t="shared" si="11"/>
        <v>1</v>
      </c>
      <c r="V22" s="300">
        <f>X23</f>
        <v>90</v>
      </c>
      <c r="W22" s="300">
        <f>X23</f>
        <v>90</v>
      </c>
      <c r="X22" t="s">
        <v>1188</v>
      </c>
      <c r="Y22" s="75">
        <f t="shared" si="3"/>
        <v>23.605119877734264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0.62878109897977452</v>
      </c>
      <c r="D23" s="50">
        <f>IF(hist!$D$2&gt;0,hist!B23/hist!$D$2,0)</f>
        <v>0.33822311465404425</v>
      </c>
      <c r="E23" s="50">
        <f t="shared" si="1"/>
        <v>7.0581383371467077E-4</v>
      </c>
      <c r="F23">
        <f t="shared" si="6"/>
        <v>21</v>
      </c>
      <c r="G23" s="50">
        <f>IF(FT!A23&lt;&gt;"",FT!A23*10,"")</f>
        <v>2.0735700000000001</v>
      </c>
      <c r="H23" s="50">
        <f>IF(FT!B23&lt;&gt;"",FT!B23*100,"")</f>
        <v>49.323499999999996</v>
      </c>
      <c r="I23" s="50">
        <f t="shared" si="2"/>
        <v>1</v>
      </c>
      <c r="J23" t="str">
        <f>IF(FT!B23&lt;&gt;"",FT!E23,"")</f>
        <v>0 [8.475566]</v>
      </c>
      <c r="K23">
        <f>IF(FT!B23&lt;&gt;"",IF(FT!C23&lt;&gt;"",FT!C23,F23/$M$3*$M$4),"")</f>
        <v>8.4755699999999994</v>
      </c>
      <c r="P23">
        <f t="shared" si="10"/>
        <v>20</v>
      </c>
      <c r="Q23">
        <f t="shared" si="12"/>
        <v>0</v>
      </c>
      <c r="R23">
        <f t="shared" si="13"/>
        <v>0</v>
      </c>
      <c r="S23">
        <f t="array" ref="S23">MAX(IF(ft_nq=P23,row_n))</f>
        <v>0</v>
      </c>
      <c r="T23">
        <f t="shared" si="11"/>
        <v>1</v>
      </c>
      <c r="V23" s="300">
        <f>100-X23</f>
        <v>10</v>
      </c>
      <c r="W23" s="300">
        <f>X23</f>
        <v>90</v>
      </c>
      <c r="X23">
        <v>90</v>
      </c>
      <c r="Y23" s="75">
        <f t="shared" si="3"/>
        <v>23.786754245094205</v>
      </c>
      <c r="AQ23">
        <v>2</v>
      </c>
      <c r="AR23" s="440" t="str">
        <f t="shared" si="15"/>
        <v/>
      </c>
      <c r="AS23" s="441" t="str">
        <f t="shared" si="14"/>
        <v/>
      </c>
      <c r="AT23" s="441" t="str">
        <f t="shared" si="14"/>
        <v/>
      </c>
      <c r="AU23" s="441" t="str">
        <f t="shared" si="14"/>
        <v/>
      </c>
      <c r="AV23" s="442" t="str">
        <f t="shared" si="14"/>
        <v/>
      </c>
      <c r="AW23" s="441" t="str">
        <f t="shared" si="14"/>
        <v>한가로운</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0</v>
      </c>
      <c r="D24" s="50">
        <f>IF(hist!$D$2&gt;0,hist!B24/hist!$D$2,0)</f>
        <v>0</v>
      </c>
      <c r="E24" s="50">
        <f t="shared" si="1"/>
        <v>8.3795046845069844E-4</v>
      </c>
      <c r="F24">
        <f t="shared" si="6"/>
        <v>22</v>
      </c>
      <c r="G24" s="50">
        <f>IF(FT!A24&lt;&gt;"",FT!A24*10,"")</f>
        <v>2.05532</v>
      </c>
      <c r="H24" s="50">
        <f>IF(FT!B24&lt;&gt;"",FT!B24*100,"")</f>
        <v>49.143799999999999</v>
      </c>
      <c r="I24" s="50">
        <f t="shared" si="2"/>
        <v>1</v>
      </c>
      <c r="J24" t="str">
        <f>IF(FT!B24&lt;&gt;"",FT!E24,"")</f>
        <v>0 [8.881219]</v>
      </c>
      <c r="K24">
        <f>IF(FT!B24&lt;&gt;"",IF(FT!C24&lt;&gt;"",FT!C24,F24/$M$3*$M$4),"")</f>
        <v>8.8812200000000008</v>
      </c>
      <c r="P24">
        <f t="shared" si="10"/>
        <v>21</v>
      </c>
      <c r="Q24">
        <f t="shared" si="12"/>
        <v>0</v>
      </c>
      <c r="R24">
        <f t="shared" si="13"/>
        <v>0</v>
      </c>
      <c r="S24">
        <f t="array" ref="S24">MAX(IF(ft_nq=P24,row_n))</f>
        <v>0</v>
      </c>
      <c r="T24">
        <f t="shared" si="11"/>
        <v>1</v>
      </c>
      <c r="V24" s="300">
        <f>100-X23</f>
        <v>10</v>
      </c>
      <c r="W24" s="300">
        <f>100-X23</f>
        <v>10</v>
      </c>
      <c r="Y24" s="75">
        <f t="shared" si="3"/>
        <v>23.910534612615066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0</v>
      </c>
      <c r="D25" s="50">
        <f>IF(hist!$D$2&gt;0,hist!B25/hist!$D$2,0)</f>
        <v>0</v>
      </c>
      <c r="E25" s="50">
        <f t="shared" si="1"/>
        <v>9.9276833133476127E-4</v>
      </c>
      <c r="F25">
        <f t="shared" si="6"/>
        <v>23</v>
      </c>
      <c r="G25" s="50">
        <f>IF(FT!A25&lt;&gt;"",FT!A25*10,"")</f>
        <v>2.0458799999999999</v>
      </c>
      <c r="H25" s="50">
        <f>IF(FT!B25&lt;&gt;"",FT!B25*100,"")</f>
        <v>48.907299999999999</v>
      </c>
      <c r="I25" s="50">
        <f t="shared" si="2"/>
        <v>1</v>
      </c>
      <c r="J25" t="str">
        <f>IF(FT!B25&lt;&gt;"",FT!E25,"")</f>
        <v>0 [9.279415]</v>
      </c>
      <c r="K25">
        <f>IF(FT!B25&lt;&gt;"",IF(FT!C25&lt;&gt;"",FT!C25,F25/$M$3*$M$4),"")</f>
        <v>9.27942</v>
      </c>
      <c r="P25">
        <f t="shared" si="10"/>
        <v>22</v>
      </c>
      <c r="Q25">
        <f t="shared" si="12"/>
        <v>0</v>
      </c>
      <c r="R25">
        <f t="shared" si="13"/>
        <v>0</v>
      </c>
      <c r="S25">
        <f t="array" ref="S25">MAX(IF(ft_nq=P25,row_n))</f>
        <v>0</v>
      </c>
      <c r="T25">
        <f t="shared" si="11"/>
        <v>1</v>
      </c>
      <c r="V25" s="300">
        <f>X23</f>
        <v>90</v>
      </c>
      <c r="W25" s="300">
        <f>100-X23</f>
        <v>10</v>
      </c>
      <c r="Y25" s="75">
        <f t="shared" si="3"/>
        <v>23.905263260797309</v>
      </c>
    </row>
    <row r="26" spans="1:120">
      <c r="A26" s="50">
        <f t="shared" si="5"/>
        <v>24</v>
      </c>
      <c r="B26" s="50">
        <f t="shared" si="0"/>
        <v>0.45960847058823523</v>
      </c>
      <c r="C26" s="50">
        <f>IF(FH!$C$2&gt;0,FH!A26/FH!$C$2,0)</f>
        <v>0.87256130302487922</v>
      </c>
      <c r="D26" s="50">
        <f>IF(hist!$D$2&gt;0,hist!B26/hist!$D$2,0)</f>
        <v>0.26280162130206791</v>
      </c>
      <c r="E26" s="50">
        <f t="shared" si="1"/>
        <v>1.173758815010095E-3</v>
      </c>
      <c r="F26">
        <f t="shared" si="6"/>
        <v>24</v>
      </c>
      <c r="G26" s="50">
        <f>IF(FT!A26&lt;&gt;"",FT!A26*10,"")</f>
        <v>2.0329299999999999</v>
      </c>
      <c r="H26" s="50">
        <f>IF(FT!B26&lt;&gt;"",FT!B26*100,"")</f>
        <v>48.7697</v>
      </c>
      <c r="I26" s="50">
        <f t="shared" si="2"/>
        <v>1</v>
      </c>
      <c r="J26" t="str">
        <f>IF(FT!B26&lt;&gt;"",FT!E26,"")</f>
        <v>0 [9.680248]</v>
      </c>
      <c r="K26">
        <f>IF(FT!B26&lt;&gt;"",IF(FT!C26&lt;&gt;"",FT!C26,F26/$M$3*$M$4),"")</f>
        <v>9.6802499999999991</v>
      </c>
      <c r="P26">
        <f t="shared" si="10"/>
        <v>23</v>
      </c>
      <c r="Q26">
        <f t="shared" si="12"/>
        <v>0</v>
      </c>
      <c r="R26">
        <f t="shared" si="13"/>
        <v>0</v>
      </c>
      <c r="S26">
        <f t="array" ref="S26">MAX(IF(ft_nq=P26,row_n))</f>
        <v>0</v>
      </c>
      <c r="T26">
        <f t="shared" si="11"/>
        <v>1</v>
      </c>
      <c r="V26" s="300">
        <f>X23</f>
        <v>90</v>
      </c>
      <c r="W26" s="300">
        <f>X23</f>
        <v>90</v>
      </c>
      <c r="Y26" s="75">
        <f t="shared" si="3"/>
        <v>23.989857004422191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row>
    <row r="27" spans="1:120">
      <c r="A27" s="50">
        <f t="shared" si="5"/>
        <v>25</v>
      </c>
      <c r="B27" s="50">
        <f t="shared" si="0"/>
        <v>0.47875882352941174</v>
      </c>
      <c r="C27" s="50">
        <f>IF(FH!$C$2&gt;0,FH!A27/FH!$C$2,0)</f>
        <v>0</v>
      </c>
      <c r="D27" s="50">
        <f>IF(hist!$D$2&gt;0,hist!B27/hist!$D$2,0)</f>
        <v>0</v>
      </c>
      <c r="E27" s="50">
        <f t="shared" si="1"/>
        <v>1.384877003567264E-3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0.49790917647058819</v>
      </c>
      <c r="C28" s="50">
        <f>IF(FH!$C$2&gt;0,FH!A28/FH!$C$2,0)</f>
        <v>0.91838195811705758</v>
      </c>
      <c r="D28" s="50">
        <f>IF(hist!$D$2&gt;0,hist!B28/hist!$D$2,0)</f>
        <v>0.20901910590294762</v>
      </c>
      <c r="E28" s="50">
        <f t="shared" si="1"/>
        <v>1.6305905665619661E-3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0.5170595294117647</v>
      </c>
      <c r="C29" s="50">
        <f>IF(FH!$C$2&gt;0,FH!A29/FH!$C$2,0)</f>
        <v>0</v>
      </c>
      <c r="D29" s="50">
        <f>IF(hist!$D$2&gt;0,hist!B29/hist!$D$2,0)</f>
        <v>0</v>
      </c>
      <c r="E29" s="50">
        <f t="shared" si="1"/>
        <v>1.9159317402483616E-3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0.53620988235294109</v>
      </c>
      <c r="C30" s="50">
        <f>IF(FH!$C$2&gt;0,FH!A30/FH!$C$2,0)</f>
        <v>0</v>
      </c>
      <c r="D30" s="50">
        <f>IF(hist!$D$2&gt;0,hist!B30/hist!$D$2,0)</f>
        <v>0</v>
      </c>
      <c r="E30" s="50">
        <f t="shared" si="1"/>
        <v>2.2465522505429204E-3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0.84750313227134422</v>
      </c>
      <c r="D31" s="50">
        <f>IF(hist!$D$2&gt;0,hist!B31/hist!$D$2,0)</f>
        <v>0.17319334352097024</v>
      </c>
      <c r="E31" s="50">
        <f t="shared" si="1"/>
        <v>2.6287809600922616E-3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0</v>
      </c>
      <c r="D32" s="50">
        <f>IF(hist!$D$2&gt;0,hist!B32/hist!$D$2,0)</f>
        <v>0</v>
      </c>
      <c r="E32" s="50">
        <f t="shared" si="1"/>
        <v>3.0696839407975628E-3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0.86862359047789517</v>
      </c>
      <c r="D33" s="50">
        <f>IF(hist!$D$2&gt;0,hist!B33/hist!$D$2,0)</f>
        <v>0.14201817333872271</v>
      </c>
      <c r="E33" s="50">
        <f t="shared" si="1"/>
        <v>3.5771265833185397E-3</v>
      </c>
      <c r="F33">
        <f t="shared" si="6"/>
        <v>31</v>
      </c>
      <c r="G33" s="50" t="str">
        <f>IF(FT!A33&lt;&gt;"",FT!A33*10,"")</f>
        <v/>
      </c>
      <c r="H33" s="50" t="str">
        <f>IF(FT!B33&lt;&gt;"",FT!B33*100,"")</f>
        <v/>
      </c>
      <c r="I33" s="50" t="str">
        <f t="shared" si="2"/>
        <v/>
      </c>
      <c r="J33" t="str">
        <f>IF(FT!B33&lt;&gt;"",FT!E33,"")</f>
        <v/>
      </c>
      <c r="K33" t="str">
        <f>IF(FT!B33&lt;&gt;"",IF(FT!C33&lt;&gt;"",FT!C33,F33/$M$3*$M$4),"")</f>
        <v/>
      </c>
      <c r="W33" s="23">
        <f>FH_info!G2</f>
        <v>0.49494199999999999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0</v>
      </c>
      <c r="D34" s="50">
        <f>IF(hist!$D$2&gt;0,hist!B34/hist!$D$2,0)</f>
        <v>0</v>
      </c>
      <c r="E34" s="50">
        <f t="shared" si="1"/>
        <v>4.1598372567217103E-3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50.505800000000001</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0</v>
      </c>
      <c r="D35" s="50">
        <f>IF(hist!$D$2&gt;0,hist!B35/hist!$D$2,0)</f>
        <v>0</v>
      </c>
      <c r="E35" s="50">
        <f t="shared" si="1"/>
        <v>4.8274719250690941E-3</v>
      </c>
      <c r="F35">
        <f t="shared" si="6"/>
        <v>33</v>
      </c>
      <c r="G35" s="50" t="str">
        <f>IF(FT!A35&lt;&gt;"",FT!A35*10,"")</f>
        <v/>
      </c>
      <c r="H35" s="50" t="str">
        <f>IF(FT!B35&lt;&gt;"",FT!B35*100,"")</f>
        <v/>
      </c>
      <c r="I35" s="50" t="str">
        <f t="shared" si="2"/>
        <v/>
      </c>
      <c r="J35" t="str">
        <f>IF(FT!B35&lt;&gt;"",FT!E35,"")</f>
        <v/>
      </c>
      <c r="K35" t="str">
        <f>IF(FT!B35&lt;&gt;"",IF(FT!C35&lt;&gt;"",FT!C35,F35/$M$3*$M$4),"")</f>
        <v/>
      </c>
      <c r="V35" s="52">
        <f>IF(V36&gt;3,100,V36/3*100)</f>
        <v>33.75333333333333</v>
      </c>
      <c r="W35" s="23">
        <f>IF(FH_info!G2*1&lt;&gt;0,(1-NORMSDIST((FH_info!G2*1-0.5308)/0.1538))*100,0)</f>
        <v>59.217634847916031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1</v>
      </c>
      <c r="D36" s="50">
        <f>IF(hist!$D$2&gt;0,hist!B36/hist!$D$2,0)</f>
        <v>0.12045753759680472</v>
      </c>
      <c r="E36" s="50">
        <f t="shared" si="1"/>
        <v>5.5906790141509516E-3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1.0125999999999999</v>
      </c>
      <c r="W36" s="495">
        <f>IF(W34&gt;=60,30/40*(W34-60)+70,IF(W34&gt;=35,35/25*(W34-35)+35,IF(W34&gt;=0,W34,0)))</f>
        <v>56.708120000000001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0</v>
      </c>
      <c r="D37" s="50">
        <f>IF(hist!$D$2&gt;0,hist!B37/hist!$D$2,0)</f>
        <v>0</v>
      </c>
      <c r="E37" s="50">
        <f t="shared" si="1"/>
        <v>6.4611637018270468E-3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0</v>
      </c>
      <c r="D38" s="50">
        <f>IF(hist!$D$2&gt;0,hist!B38/hist!$D$2,0)</f>
        <v>0</v>
      </c>
      <c r="E38" s="50">
        <f t="shared" si="1"/>
        <v>7.4517506809490897E-3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0.97136209056738865</v>
      </c>
      <c r="D39" s="50">
        <f>IF(hist!$D$2&gt;0,hist!B39/hist!$D$2,0)</f>
        <v>9.7756194418752065E-2</v>
      </c>
      <c r="E39" s="50">
        <f t="shared" si="1"/>
        <v>8.5764443163170792E-3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0</v>
      </c>
      <c r="D40" s="50">
        <f>IF(hist!$D$2&gt;0,hist!B40/hist!$D$2,0)</f>
        <v>0</v>
      </c>
      <c r="E40" s="50">
        <f t="shared" si="1"/>
        <v>9.8504849886441159E-3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0.84249149812063728</v>
      </c>
      <c r="D41" s="50">
        <f>IF(hist!$D$2&gt;0,hist!B41/hist!$D$2,0)</f>
        <v>8.6223751836733156E-2</v>
      </c>
      <c r="E41" s="50">
        <f t="shared" si="1"/>
        <v>1.129040029148352E-2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0</v>
      </c>
      <c r="D42" s="50">
        <f>IF(hist!$D$2&gt;0,hist!B42/hist!$D$2,0)</f>
        <v>0</v>
      </c>
      <c r="E42" s="50">
        <f t="shared" si="1"/>
        <v>1.2914049624270193E-2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0</v>
      </c>
      <c r="D43" s="50">
        <f>IF(hist!$D$2&gt;0,hist!B43/hist!$D$2,0)</f>
        <v>0</v>
      </c>
      <c r="E43" s="50">
        <f t="shared" si="1"/>
        <v>1.4740660609133042E-2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6.2864300000000002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0.91909790585287277</v>
      </c>
      <c r="D44" s="50">
        <f>IF(hist!$D$2&gt;0,hist!B44/hist!$D$2,0)</f>
        <v>7.4882482864257235E-2</v>
      </c>
      <c r="E44" s="50">
        <f t="shared" si="1"/>
        <v>1.6790855654339836E-2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0</v>
      </c>
      <c r="D45" s="50">
        <f>IF(hist!$D$2&gt;0,hist!B45/hist!$D$2,0)</f>
        <v>0</v>
      </c>
      <c r="E45" s="50">
        <f t="shared" si="1"/>
        <v>1.9086666896800004E-2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0.79505996062287465</v>
      </c>
      <c r="D46" s="50">
        <f>IF(hist!$D$2&gt;0,hist!B46/hist!$D$2,0)</f>
        <v>6.0752114134438373E-2</v>
      </c>
      <c r="E46" s="50">
        <f t="shared" si="1"/>
        <v>2.1651537683848452E-2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0</v>
      </c>
      <c r="D47" s="50">
        <f>IF(hist!$D$2&gt;0,hist!B47/hist!$D$2,0)</f>
        <v>0</v>
      </c>
      <c r="E47" s="50">
        <f t="shared" si="1"/>
        <v>2.4510308704597819E-2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0</v>
      </c>
      <c r="D48" s="50">
        <f>IF(hist!$D$2&gt;0,hist!B48/hist!$D$2,0)</f>
        <v>0</v>
      </c>
      <c r="E48" s="50">
        <f t="shared" si="1"/>
        <v>2.7689186857580463E-2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0.88151064972257032</v>
      </c>
      <c r="D49" s="50">
        <f>IF(hist!$D$2&gt;0,hist!B49/hist!$D$2,0)</f>
        <v>5.2193669457190742E-2</v>
      </c>
      <c r="E49" s="50">
        <f t="shared" si="1"/>
        <v>3.1215694948309905E-2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0.91921694117647046</v>
      </c>
      <c r="C50" s="50">
        <f>IF(FH!$C$2&gt;0,FH!A50/FH!$C$2,0)</f>
        <v>0</v>
      </c>
      <c r="D50" s="50">
        <f>IF(hist!$D$2&gt;0,hist!B50/hist!$D$2,0)</f>
        <v>0</v>
      </c>
      <c r="E50" s="50">
        <f t="shared" si="1"/>
        <v>3.5118600351753688E-2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0.93836729411764708</v>
      </c>
      <c r="C51" s="50">
        <f>IF(FH!$C$2&gt;0,FH!A51/FH!$C$2,0)</f>
        <v>0.88079470198675502</v>
      </c>
      <c r="D51" s="50">
        <f>IF(hist!$D$2&gt;0,hist!B51/hist!$D$2,0)</f>
        <v>4.2005640042196021E-2</v>
      </c>
      <c r="E51" s="50">
        <f t="shared" si="1"/>
        <v>3.9427820854296268E-2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0.95751764705882347</v>
      </c>
      <c r="C52" s="50">
        <f>IF(FH!$C$2&gt;0,FH!A52/FH!$C$2,0)</f>
        <v>0</v>
      </c>
      <c r="D52" s="50">
        <f>IF(hist!$D$2&gt;0,hist!B52/hist!$D$2,0)</f>
        <v>0</v>
      </c>
      <c r="E52" s="50">
        <f t="shared" si="1"/>
        <v>4.4174306011000933E-2</v>
      </c>
      <c r="F52">
        <f t="shared" si="6"/>
        <v>50</v>
      </c>
      <c r="G52" s="50" t="str">
        <f>IF(FT!A52&lt;&gt;"",FT!A52*10,"")</f>
        <v/>
      </c>
      <c r="H52" s="50" t="str">
        <f>IF(FT!B52&lt;&gt;"",FT!B52*100,"")</f>
        <v/>
      </c>
      <c r="I52" s="50" t="str">
        <f t="shared" si="2"/>
        <v/>
      </c>
      <c r="J52" t="str">
        <f>IF(FT!B52&lt;&gt;"",FT!E52,"")</f>
        <v/>
      </c>
      <c r="K52" t="str">
        <f>IF(FT!B52&lt;&gt;"",IF(FT!C52&lt;&gt;"",FT!C52,F52/$M$3*$M$4),"")</f>
        <v/>
      </c>
      <c r="V52" s="288">
        <f>Measurement!DK17*100</f>
        <v>56.306968739188392</v>
      </c>
      <c r="W52" s="303">
        <f ca="1">100-N9</f>
        <v>48.472015999999982</v>
      </c>
      <c r="X52" t="str">
        <f ca="1">"(" &amp; ROUND(V52,1) &amp; " , " &amp; ROUND(100-W52,1) &amp; ")"</f>
        <v>(56.3 , 51.5)</v>
      </c>
      <c r="Y52" s="75" t="str">
        <f t="shared" si="3"/>
        <v/>
      </c>
    </row>
    <row r="53" spans="1:25">
      <c r="A53" s="50">
        <f t="shared" si="5"/>
        <v>51</v>
      </c>
      <c r="B53" s="50">
        <f t="shared" si="0"/>
        <v>0.97666799999999998</v>
      </c>
      <c r="C53" s="50">
        <f>IF(FH!$C$2&gt;0,FH!A53/FH!$C$2,0)</f>
        <v>0</v>
      </c>
      <c r="D53" s="50">
        <f>IF(hist!$D$2&gt;0,hist!B53/hist!$D$2,0)</f>
        <v>0</v>
      </c>
      <c r="E53" s="50">
        <f t="shared" si="1"/>
        <v>4.9389892519804891E-2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0.99581835294117638</v>
      </c>
      <c r="C54" s="50">
        <f>IF(FH!$C$2&gt;0,FH!A54/FH!$C$2,0)</f>
        <v>0.942008233398962</v>
      </c>
      <c r="D54" s="50">
        <f>IF(hist!$D$2&gt;0,hist!B54/hist!$D$2,0)</f>
        <v>3.7392665359748799E-2</v>
      </c>
      <c r="E54" s="50">
        <f t="shared" si="1"/>
        <v>5.510713232705533E-2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1.0149687058823529</v>
      </c>
      <c r="C55" s="50">
        <f>IF(FH!$C$2&gt;0,FH!A55/FH!$C$2,0)</f>
        <v>0</v>
      </c>
      <c r="D55" s="50">
        <f>IF(hist!$D$2&gt;0,hist!B55/hist!$D$2,0)</f>
        <v>0</v>
      </c>
      <c r="E55" s="50">
        <f t="shared" si="1"/>
        <v>6.1359092440129756E-2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1.0341190588235294</v>
      </c>
      <c r="C56" s="50">
        <f>IF(FH!$C$2&gt;0,FH!A56/FH!$C$2,0)</f>
        <v>0</v>
      </c>
      <c r="D56" s="50">
        <f>IF(hist!$D$2&gt;0,hist!B56/hist!$D$2,0)</f>
        <v>0</v>
      </c>
      <c r="E56" s="50">
        <f t="shared" si="1"/>
        <v>6.8179125733536211E-2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1.0532694117647059</v>
      </c>
      <c r="C57" s="50">
        <f>IF(FH!$C$2&gt;0,FH!A57/FH!$C$2,0)</f>
        <v>0.88544836226955437</v>
      </c>
      <c r="D57" s="50">
        <f>IF(hist!$D$2&gt;0,hist!B57/hist!$D$2,0)</f>
        <v>3.1009089019721697E-2</v>
      </c>
      <c r="E57" s="50">
        <f t="shared" si="1"/>
        <v>7.5600612394626621E-2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1.0724197647058822</v>
      </c>
      <c r="C58" s="50">
        <f>IF(FH!$C$2&gt;0,FH!A58/FH!$C$2,0)</f>
        <v>0</v>
      </c>
      <c r="D58" s="50">
        <f>IF(hist!$D$2&gt;0,hist!B58/hist!$D$2,0)</f>
        <v>0</v>
      </c>
      <c r="E58" s="50">
        <f t="shared" si="1"/>
        <v>8.3656672062545623E-2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1.0915701176470587</v>
      </c>
      <c r="C59" s="50">
        <f>IF(FH!$C$2&gt;0,FH!A59/FH!$C$2,0)</f>
        <v>0.9076427420798282</v>
      </c>
      <c r="D59" s="50">
        <f>IF(hist!$D$2&gt;0,hist!B59/hist!$D$2,0)</f>
        <v>2.6888122318863162E-2</v>
      </c>
      <c r="E59" s="50">
        <f t="shared" si="1"/>
        <v>9.2379847166757456E-2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1.1107204705882352</v>
      </c>
      <c r="C60" s="50">
        <f>IF(FH!$C$2&gt;0,FH!A60/FH!$C$2,0)</f>
        <v>0</v>
      </c>
      <c r="D60" s="50">
        <f>IF(hist!$D$2&gt;0,hist!B60/hist!$D$2,0)</f>
        <v>0</v>
      </c>
      <c r="E60" s="50">
        <f t="shared" si="1"/>
        <v>0.10180175846564353</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1.1298708235294117</v>
      </c>
      <c r="C61" s="50">
        <f>IF(FH!$C$2&gt;0,FH!A61/FH!$C$2,0)</f>
        <v>0</v>
      </c>
      <c r="D61" s="50">
        <f>IF(hist!$D$2&gt;0,hist!B61/hist!$D$2,0)</f>
        <v>0</v>
      </c>
      <c r="E61" s="50">
        <f t="shared" si="1"/>
        <v>0.11195273431613657</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1.1490211764705882</v>
      </c>
      <c r="C62" s="50">
        <f>IF(FH!$C$2&gt;0,FH!A62/FH!$C$2,0)</f>
        <v>0.81206371934848753</v>
      </c>
      <c r="D62" s="50">
        <f>IF(hist!$D$2&gt;0,hist!B62/hist!$D$2,0)</f>
        <v>2.3152614714184137E-2</v>
      </c>
      <c r="E62" s="50">
        <f t="shared" si="1"/>
        <v>0.12286141576567912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1.1681715294117647</v>
      </c>
      <c r="C63" s="50">
        <f>IF(FH!$C$2&gt;0,FH!A63/FH!$C$2,0)</f>
        <v>0</v>
      </c>
      <c r="D63" s="50">
        <f>IF(hist!$D$2&gt;0,hist!B63/hist!$D$2,0)</f>
        <v>0</v>
      </c>
      <c r="E63" s="50">
        <f t="shared" si="1"/>
        <v>0.13455434014018003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1.187321882352941</v>
      </c>
      <c r="C64" s="50">
        <f>IF(FH!$C$2&gt;0,FH!A64/FH!$C$2,0)</f>
        <v>0.79881868623590491</v>
      </c>
      <c r="D64" s="50">
        <f>IF(hist!$D$2&gt;0,hist!B64/hist!$D$2,0)</f>
        <v>1.9326230426860106E-2</v>
      </c>
      <c r="E64" s="50">
        <f t="shared" si="1"/>
        <v>0.14705550639699966</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1.2064722352941175</v>
      </c>
      <c r="C65" s="50">
        <f>IF(FH!$C$2&gt;0,FH!A65/FH!$C$2,0)</f>
        <v>0</v>
      </c>
      <c r="D65" s="50">
        <f>IF(hist!$D$2&gt;0,hist!B65/hist!$D$2,0)</f>
        <v>0</v>
      </c>
      <c r="E65" s="50">
        <f t="shared" si="1"/>
        <v>0.16038592611003383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1.225622588235294</v>
      </c>
      <c r="C66" s="50">
        <f>IF(FH!$C$2&gt;0,FH!A66/FH!$C$2,0)</f>
        <v>0</v>
      </c>
      <c r="D66" s="50">
        <f>IF(hist!$D$2&gt;0,hist!B66/hist!$D$2,0)</f>
        <v>0</v>
      </c>
      <c r="E66" s="50">
        <f t="shared" si="1"/>
        <v>0.17456316454330933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1.2447729411764703</v>
      </c>
      <c r="C67" s="50">
        <f>IF(FH!$C$2&gt;0,FH!A67/FH!$C$2,0)</f>
        <v>0.64471093610166463</v>
      </c>
      <c r="D67" s="50">
        <f>IF(hist!$D$2&gt;0,hist!B67/hist!$D$2,0)</f>
        <v>1.6756501552089832E-2</v>
      </c>
      <c r="E67" s="50">
        <f t="shared" ref="E67:E130" si="17">NORMDIST(B67,2,0.421,FALSE)</f>
        <v>0.18960087683786836</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1.263923294117647</v>
      </c>
      <c r="C68" s="50">
        <f>IF(FH!$C$2&gt;0,FH!A68/FH!$C$2,0)</f>
        <v>0</v>
      </c>
      <c r="D68" s="50">
        <f>IF(hist!$D$2&gt;0,hist!B68/hist!$D$2,0)</f>
        <v>0</v>
      </c>
      <c r="E68" s="50">
        <f t="shared" si="17"/>
        <v>0.20550834487108205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1.2830736470588235</v>
      </c>
      <c r="C69" s="50">
        <f>IF(FH!$C$2&gt;0,FH!A69/FH!$C$2,0)</f>
        <v>0.64918560945051018</v>
      </c>
      <c r="D69" s="50">
        <f>IF(hist!$D$2&gt;0,hist!B69/hist!$D$2,0)</f>
        <v>1.3522405720730065E-2</v>
      </c>
      <c r="E69" s="50">
        <f t="shared" si="17"/>
        <v>0.22229002083442398</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1.3022239999999998</v>
      </c>
      <c r="C70" s="50">
        <f>IF(FH!$C$2&gt;0,FH!A70/FH!$C$2,0)</f>
        <v>0</v>
      </c>
      <c r="D70" s="50">
        <f>IF(hist!$D$2&gt;0,hist!B70/hist!$D$2,0)</f>
        <v>0</v>
      </c>
      <c r="E70" s="50">
        <f t="shared" si="17"/>
        <v>0.23994508400148046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1.3213743529411763</v>
      </c>
      <c r="C71" s="50">
        <f>IF(FH!$C$2&gt;0,FH!A71/FH!$C$2,0)</f>
        <v>0</v>
      </c>
      <c r="D71" s="50">
        <f>IF(hist!$D$2&gt;0,hist!B71/hist!$D$2,0)</f>
        <v>0</v>
      </c>
      <c r="E71" s="50">
        <f t="shared" si="17"/>
        <v>0.25846701750898105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1.3405247058823528</v>
      </c>
      <c r="C72" s="50">
        <f>IF(FH!$C$2&gt;0,FH!A72/FH!$C$2,0)</f>
        <v>0.6307499552532666</v>
      </c>
      <c r="D72" s="50">
        <f>IF(hist!$D$2&gt;0,hist!B72/hist!$D$2,0)</f>
        <v>1.2434973902480141E-2</v>
      </c>
      <c r="E72" s="50">
        <f t="shared" si="17"/>
        <v>0.27784321223679836</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1.3596750588235293</v>
      </c>
      <c r="C73" s="50">
        <f>IF(FH!$C$2&gt;0,FH!A73/FH!$C$2,0)</f>
        <v>0</v>
      </c>
      <c r="D73" s="50">
        <f>IF(hist!$D$2&gt;0,hist!B73/hist!$D$2,0)</f>
        <v>0</v>
      </c>
      <c r="E73" s="50">
        <f t="shared" si="17"/>
        <v>0.29805460503583353</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1.3788254117647056</v>
      </c>
      <c r="C74" s="50">
        <f>IF(FH!$C$2&gt;0,FH!A74/FH!$C$2,0)</f>
        <v>0</v>
      </c>
      <c r="D74" s="50">
        <f>IF(hist!$D$2&gt;0,hist!B74/hist!$D$2,0)</f>
        <v>0</v>
      </c>
      <c r="E74" s="50">
        <f t="shared" si="17"/>
        <v>0.31907535860425718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1.3979757647058821</v>
      </c>
      <c r="C75" s="50">
        <f>IF(FH!$C$2&gt;0,FH!A75/FH!$C$2,0)</f>
        <v>0.54966887417218546</v>
      </c>
      <c r="D75" s="50">
        <f>IF(hist!$D$2&gt;0,hist!B75/hist!$D$2,0)</f>
        <v>9.5894701976365123E-3</v>
      </c>
      <c r="E75" s="50">
        <f t="shared" si="17"/>
        <v>0.34087259024304423</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1.4171261176470589</v>
      </c>
      <c r="C76" s="50">
        <f>IF(FH!$C$2&gt;0,FH!A76/FH!$C$2,0)</f>
        <v>0</v>
      </c>
      <c r="D76" s="50">
        <f>IF(hist!$D$2&gt;0,hist!B76/hist!$D$2,0)</f>
        <v>0</v>
      </c>
      <c r="E76" s="50">
        <f t="shared" si="17"/>
        <v>0.36340615652322628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1.4362764705882352</v>
      </c>
      <c r="C77" s="50">
        <f>IF(FH!$C$2&gt;0,FH!A77/FH!$C$2,0)</f>
        <v>0.69876499015571869</v>
      </c>
      <c r="D77" s="50">
        <f>IF(hist!$D$2&gt;0,hist!B77/hist!$D$2,0)</f>
        <v>8.226261198952891E-3</v>
      </c>
      <c r="E77" s="50">
        <f t="shared" si="17"/>
        <v>0.38662850056413611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1.4554268235294117</v>
      </c>
      <c r="C78" s="50">
        <f>IF(FH!$C$2&gt;0,FH!A78/FH!$C$2,0)</f>
        <v>0</v>
      </c>
      <c r="D78" s="50">
        <f>IF(hist!$D$2&gt;0,hist!B78/hist!$D$2,0)</f>
        <v>0</v>
      </c>
      <c r="E78" s="50">
        <f t="shared" si="17"/>
        <v>0.41048456815087486</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1.4745771764705879</v>
      </c>
      <c r="C79" s="50">
        <f>IF(FH!$C$2&gt;0,FH!A79/FH!$C$2,0)</f>
        <v>0</v>
      </c>
      <c r="D79" s="50">
        <f>IF(hist!$D$2&gt;0,hist!B79/hist!$D$2,0)</f>
        <v>0</v>
      </c>
      <c r="E79" s="50">
        <f t="shared" si="17"/>
        <v>0.43491179830978921</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1.4937275294117647</v>
      </c>
      <c r="C80" s="50">
        <f>IF(FH!$C$2&gt;0,FH!A80/FH!$C$2,0)</f>
        <v>0.65777698228029358</v>
      </c>
      <c r="D80" s="50">
        <f>IF(hist!$D$2&gt;0,hist!B80/hist!$D$2,0)</f>
        <v>6.7000946666386976E-3</v>
      </c>
      <c r="E80" s="50">
        <f t="shared" si="17"/>
        <v>0.45984019321533393</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1.5128778823529412</v>
      </c>
      <c r="C81" s="50">
        <f>IF(FH!$C$2&gt;0,FH!A81/FH!$C$2,0)</f>
        <v>0</v>
      </c>
      <c r="D81" s="50">
        <f>IF(hist!$D$2&gt;0,hist!B81/hist!$D$2,0)</f>
        <v>0</v>
      </c>
      <c r="E81" s="50">
        <f t="shared" si="17"/>
        <v>0.48519247142570265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1.5320282352941175</v>
      </c>
      <c r="C82" s="50">
        <f>IF(FH!$C$2&gt;0,FH!A82/FH!$C$2,0)</f>
        <v>0.56989439770896722</v>
      </c>
      <c r="D82" s="50">
        <f>IF(hist!$D$2&gt;0,hist!B82/hist!$D$2,0)</f>
        <v>5.3118143741810089E-3</v>
      </c>
      <c r="E82" s="50">
        <f t="shared" si="17"/>
        <v>0.51088430744670277</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1.551178588235294</v>
      </c>
      <c r="C83" s="50">
        <f>IF(FH!$C$2&gt;0,FH!A83/FH!$C$2,0)</f>
        <v>0</v>
      </c>
      <c r="D83" s="50">
        <f>IF(hist!$D$2&gt;0,hist!B83/hist!$D$2,0)</f>
        <v>0</v>
      </c>
      <c r="E83" s="50">
        <f t="shared" si="17"/>
        <v>0.53682465951513436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1.5703289411764705</v>
      </c>
      <c r="C84" s="50">
        <f>IF(FH!$C$2&gt;0,FH!A84/FH!$C$2,0)</f>
        <v>0</v>
      </c>
      <c r="D84" s="50">
        <f>IF(hist!$D$2&gt;0,hist!B84/hist!$D$2,0)</f>
        <v>0</v>
      </c>
      <c r="E84" s="50">
        <f t="shared" si="17"/>
        <v>0.56291618628922202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1.589479294117647</v>
      </c>
      <c r="C85" s="50">
        <f>IF(FH!$C$2&gt;0,FH!A85/FH!$C$2,0)</f>
        <v>0.58188652228387328</v>
      </c>
      <c r="D85" s="50">
        <f>IF(hist!$D$2&gt;0,hist!B85/hist!$D$2,0)</f>
        <v>3.8169851963141418E-3</v>
      </c>
      <c r="E85" s="50">
        <f t="shared" si="17"/>
        <v>0.58905575185199877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1.6086296470588233</v>
      </c>
      <c r="C86" s="50">
        <f>IF(FH!$C$2&gt;0,FH!A86/FH!$C$2,0)</f>
        <v>0</v>
      </c>
      <c r="D86" s="50">
        <f>IF(hist!$D$2&gt;0,hist!B86/hist!$D$2,0)</f>
        <v>0</v>
      </c>
      <c r="E86" s="50">
        <f t="shared" si="17"/>
        <v>0.61513501709417284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1.6277799999999998</v>
      </c>
      <c r="C87" s="50">
        <f>IF(FH!$C$2&gt;0,FH!A87/FH!$C$2,0)</f>
        <v>0</v>
      </c>
      <c r="D87" s="50">
        <f>IF(hist!$D$2&gt;0,hist!B87/hist!$D$2,0)</f>
        <v>0</v>
      </c>
      <c r="E87" s="50">
        <f t="shared" si="17"/>
        <v>0.64104111416846066</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1.6469303529411765</v>
      </c>
      <c r="C88" s="50">
        <f>IF(FH!$C$2&gt;0,FH!A88/FH!$C$2,0)</f>
        <v>0.4333273671022016</v>
      </c>
      <c r="D88" s="50">
        <f>IF(hist!$D$2&gt;0,hist!B88/hist!$D$2,0)</f>
        <v>3.0429339736184977E-3</v>
      </c>
      <c r="E88" s="50">
        <f t="shared" si="17"/>
        <v>0.66665739932200685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1.6660807058823528</v>
      </c>
      <c r="C89" s="50">
        <f>IF(FH!$C$2&gt;0,FH!A89/FH!$C$2,0)</f>
        <v>0</v>
      </c>
      <c r="D89" s="50">
        <f>IF(hist!$D$2&gt;0,hist!B89/hist!$D$2,0)</f>
        <v>0</v>
      </c>
      <c r="E89" s="50">
        <f t="shared" si="17"/>
        <v>0.69186427804316497</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1.6852310588235293</v>
      </c>
      <c r="C90" s="50">
        <f>IF(FH!$C$2&gt;0,FH!A90/FH!$C$2,0)</f>
        <v>0.53713978879541802</v>
      </c>
      <c r="D90" s="50">
        <f>IF(hist!$D$2&gt;0,hist!B90/hist!$D$2,0)</f>
        <v>1.9429653333013685E-3</v>
      </c>
      <c r="E90" s="50">
        <f t="shared" si="17"/>
        <v>0.71654009513025518</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1.7043814117647056</v>
      </c>
      <c r="C91" s="50">
        <f>IF(FH!$C$2&gt;0,FH!A91/FH!$C$2,0)</f>
        <v>0</v>
      </c>
      <c r="D91" s="50">
        <f>IF(hist!$D$2&gt;0,hist!B91/hist!$D$2,0)</f>
        <v>0</v>
      </c>
      <c r="E91" s="50">
        <f t="shared" si="17"/>
        <v>0.74056208102991883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1.7235317647058823</v>
      </c>
      <c r="C92" s="50">
        <f>IF(FH!$C$2&gt;0,FH!A92/FH!$C$2,0)</f>
        <v>0</v>
      </c>
      <c r="D92" s="50">
        <f>IF(hist!$D$2&gt;0,hist!B92/hist!$D$2,0)</f>
        <v>0</v>
      </c>
      <c r="E92" s="50">
        <f t="shared" si="17"/>
        <v>0.76380734462809508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1.7426821176470586</v>
      </c>
      <c r="C93" s="50">
        <f>IF(FH!$C$2&gt;0,FH!A93/FH!$C$2,0)</f>
        <v>0.43887596205477003</v>
      </c>
      <c r="D93" s="50">
        <f>IF(hist!$D$2&gt;0,hist!B93/hist!$D$2,0)</f>
        <v>1.5042306192371E-3</v>
      </c>
      <c r="E93" s="50">
        <f t="shared" si="17"/>
        <v>0.78615390163308707</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1.7618324705882351</v>
      </c>
      <c r="C94" s="50">
        <f>IF(FH!$C$2&gt;0,FH!A94/FH!$C$2,0)</f>
        <v>0</v>
      </c>
      <c r="D94" s="50">
        <f>IF(hist!$D$2&gt;0,hist!B94/hist!$D$2,0)</f>
        <v>0</v>
      </c>
      <c r="E94" s="50">
        <f t="shared" si="17"/>
        <v>0.80748172679193464</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1.7809828235294116</v>
      </c>
      <c r="C95" s="50">
        <f>IF(FH!$C$2&gt;0,FH!A95/FH!$C$2,0)</f>
        <v>0.224449615178092</v>
      </c>
      <c r="D95" s="50">
        <f>IF(hist!$D$2&gt;0,hist!B95/hist!$D$2,0)</f>
        <v>9.8088293284074473E-4</v>
      </c>
      <c r="E95" s="50">
        <f t="shared" si="17"/>
        <v>0.82767381745025015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1.8001331764705881</v>
      </c>
      <c r="C96" s="50">
        <f>IF(FH!$C$2&gt;0,FH!A96/FH!$C$2,0)</f>
        <v>0</v>
      </c>
      <c r="D96" s="50">
        <f>IF(hist!$D$2&gt;0,hist!B96/hist!$D$2,0)</f>
        <v>0</v>
      </c>
      <c r="E96" s="50">
        <f t="shared" si="17"/>
        <v>0.84661725542109534</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1.8192835294117646</v>
      </c>
      <c r="C97" s="50">
        <f>IF(FH!$C$2&gt;0,FH!A97/FH!$C$2,0)</f>
        <v>0</v>
      </c>
      <c r="D97" s="50">
        <f>IF(hist!$D$2&gt;0,hist!B97/hist!$D$2,0)</f>
        <v>0</v>
      </c>
      <c r="E97" s="50">
        <f t="shared" si="17"/>
        <v>0.86420425378621013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1.8384338823529409</v>
      </c>
      <c r="C98" s="50">
        <f>IF(FH!$C$2&gt;0,FH!A98/FH!$C$2,0)</f>
        <v>0.36746017540719533</v>
      </c>
      <c r="D98" s="50">
        <f>IF(hist!$D$2&gt;0,hist!B98/hist!$D$2,0)</f>
        <v>7.1450954413762255E-4</v>
      </c>
      <c r="E98" s="50">
        <f t="shared" si="17"/>
        <v>0.88033317512513976</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1.8575842352941174</v>
      </c>
      <c r="C99" s="50">
        <f>IF(FH!$C$2&gt;0,FH!A99/FH!$C$2,0)</f>
        <v>0</v>
      </c>
      <c r="D99" s="50">
        <f>IF(hist!$D$2&gt;0,hist!B99/hist!$D$2,0)</f>
        <v>0</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0.27277608734562381</v>
      </c>
      <c r="D100" s="50">
        <f>IF(hist!$D$2&gt;0,hist!B100/hist!$D$2,0)</f>
        <v>5.233476863963553E-4</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v>
      </c>
      <c r="D101" s="50">
        <f>IF(hist!$D$2&gt;0,hist!B101/hist!$D$2,0)</f>
        <v>0</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v>
      </c>
      <c r="D102" s="50">
        <f>IF(hist!$D$2&gt;0,hist!B102/hist!$D$2,0)</f>
        <v>0</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0.19402183640594237</v>
      </c>
      <c r="D103" s="50">
        <f>IF(hist!$D$2&gt;0,hist!B103/hist!$D$2,0)</f>
        <v>5.5468504084368062E-4</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v>
      </c>
      <c r="D104" s="50">
        <f>IF(hist!$D$2&gt;0,hist!B104/hist!$D$2,0)</f>
        <v>0</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v>
      </c>
      <c r="D105" s="50">
        <f>IF(hist!$D$2&gt;0,hist!B105/hist!$D$2,0)</f>
        <v>0</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0.31770180776803297</v>
      </c>
      <c r="D106" s="50">
        <f>IF(hist!$D$2&gt;0,hist!B106/hist!$D$2,0)</f>
        <v>1.7549435569777584E-4</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v>
      </c>
      <c r="D107" s="50">
        <f>IF(hist!$D$2&gt;0,hist!B107/hist!$D$2,0)</f>
        <v>0</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0.17397529980311438</v>
      </c>
      <c r="D108" s="50">
        <f>IF(hist!$D$2&gt;0,hist!B108/hist!$D$2,0)</f>
        <v>1.0654888540918039E-4</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v>
      </c>
      <c r="D109" s="50">
        <f>IF(hist!$D$2&gt;0,hist!B109/hist!$D$2,0)</f>
        <v>0</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v>
      </c>
      <c r="D110" s="50">
        <f>IF(hist!$D$2&gt;0,hist!B110/hist!$D$2,0)</f>
        <v>0</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0.17361732593520673</v>
      </c>
      <c r="D111" s="50">
        <f>IF(hist!$D$2&gt;0,hist!B111/hist!$D$2,0)</f>
        <v>2.8204324110695625E-5</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v>
      </c>
      <c r="D112" s="50">
        <f>IF(hist!$D$2&gt;0,hist!B112/hist!$D$2,0)</f>
        <v>0</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0.17308036513334527</v>
      </c>
      <c r="D113" s="50">
        <f>IF(hist!$D$2&gt;0,hist!B113/hist!$D$2,0)</f>
        <v>1.8802882740463751E-5</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v>
      </c>
      <c r="D114" s="50">
        <f>IF(hist!$D$2&gt;0,hist!B114/hist!$D$2,0)</f>
        <v>0</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v>
      </c>
      <c r="D115" s="50">
        <f>IF(hist!$D$2&gt;0,hist!B115/hist!$D$2,0)</f>
        <v>0</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0.12027921961696796</v>
      </c>
      <c r="D116" s="50">
        <f>IF(hist!$D$2&gt;0,hist!B116/hist!$D$2,0)</f>
        <v>4.7007206851159376E-5</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v>
      </c>
      <c r="D117" s="50">
        <f>IF(hist!$D$2&gt;0,hist!B117/hist!$D$2,0)</f>
        <v>0</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4.277787721496331E-2</v>
      </c>
      <c r="D118" s="50">
        <f>IF(hist!$D$2&gt;0,hist!B118/hist!$D$2,0)</f>
        <v>3.1330303366297722E-6</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v>
      </c>
      <c r="D119" s="50">
        <f>IF(hist!$D$2&gt;0,hist!B119/hist!$D$2,0)</f>
        <v>0</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v>
      </c>
      <c r="D120" s="50">
        <f>IF(hist!$D$2&gt;0,hist!B120/hist!$D$2,0)</f>
        <v>0</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2.0941471272597101E-2</v>
      </c>
      <c r="D121" s="50">
        <f>IF(hist!$D$2&gt;0,hist!B121/hist!$D$2,0)</f>
        <v>9.4014413702318755E-6</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v>
      </c>
      <c r="D122" s="50">
        <f>IF(hist!$D$2&gt;0,hist!B122/hist!$D$2,0)</f>
        <v>0</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v>
      </c>
      <c r="D123" s="50">
        <f>IF(hist!$D$2&gt;0,hist!B123/hist!$D$2,0)</f>
        <v>0</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v>
      </c>
      <c r="D124" s="50">
        <f>IF(hist!$D$2&gt;0,hist!B124/hist!$D$2,0)</f>
        <v>0</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v>
      </c>
      <c r="D125" s="50">
        <f>IF(hist!$D$2&gt;0,hist!B125/hist!$D$2,0)</f>
        <v>0</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v>
      </c>
      <c r="D126" s="50">
        <f>IF(hist!$D$2&gt;0,hist!B126/hist!$D$2,0)</f>
        <v>0</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v>
      </c>
      <c r="D127" s="50">
        <f>IF(hist!$D$2&gt;0,hist!B127/hist!$D$2,0)</f>
        <v>0</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v>
      </c>
      <c r="D128" s="50">
        <f>IF(hist!$D$2&gt;0,hist!B128/hist!$D$2,0)</f>
        <v>0</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v>
      </c>
      <c r="D129" s="50">
        <f>IF(hist!$D$2&gt;0,hist!B129/hist!$D$2,0)</f>
        <v>0</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v>
      </c>
      <c r="D130" s="50">
        <f>IF(hist!$D$2&gt;0,hist!B130/hist!$D$2,0)</f>
        <v>0</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0</v>
      </c>
      <c r="D131" s="50">
        <f>IF(hist!$D$2&gt;0,hist!B131/hist!$D$2,0)</f>
        <v>0</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v>
      </c>
      <c r="D132" s="50">
        <f>IF(hist!$D$2&gt;0,hist!B132/hist!$D$2,0)</f>
        <v>0</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v>
      </c>
      <c r="D133" s="50">
        <f>IF(hist!$D$2&gt;0,hist!B133/hist!$D$2,0)</f>
        <v>0</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0</v>
      </c>
      <c r="D134" s="50">
        <f>IF(hist!$D$2&gt;0,hist!B134/hist!$D$2,0)</f>
        <v>0</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v>
      </c>
      <c r="D135" s="50">
        <f>IF(hist!$D$2&gt;0,hist!B135/hist!$D$2,0)</f>
        <v>0</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0</v>
      </c>
      <c r="D136" s="50">
        <f>IF(hist!$D$2&gt;0,hist!B136/hist!$D$2,0)</f>
        <v>0</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v>
      </c>
      <c r="D137" s="50">
        <f>IF(hist!$D$2&gt;0,hist!B137/hist!$D$2,0)</f>
        <v>0</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v>
      </c>
      <c r="D138" s="50">
        <f>IF(hist!$D$2&gt;0,hist!B138/hist!$D$2,0)</f>
        <v>0</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0</v>
      </c>
      <c r="D139" s="50">
        <f>IF(hist!$D$2&gt;0,hist!B139/hist!$D$2,0)</f>
        <v>0</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v>
      </c>
      <c r="D140" s="50">
        <f>IF(hist!$D$2&gt;0,hist!B140/hist!$D$2,0)</f>
        <v>0</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v>
      </c>
      <c r="D141" s="50">
        <f>IF(hist!$D$2&gt;0,hist!B141/hist!$D$2,0)</f>
        <v>0</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0</v>
      </c>
      <c r="D142" s="50">
        <f>IF(hist!$D$2&gt;0,hist!B142/hist!$D$2,0)</f>
        <v>0</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v>
      </c>
      <c r="D143" s="50">
        <f>IF(hist!$D$2&gt;0,hist!B143/hist!$D$2,0)</f>
        <v>0</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0</v>
      </c>
      <c r="D144" s="50">
        <f>IF(hist!$D$2&gt;0,hist!B144/hist!$D$2,0)</f>
        <v>0</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v>
      </c>
      <c r="D145" s="50">
        <f>IF(hist!$D$2&gt;0,hist!B145/hist!$D$2,0)</f>
        <v>0</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0</v>
      </c>
      <c r="D146" s="50">
        <f>IF(hist!$D$2&gt;0,hist!B146/hist!$D$2,0)</f>
        <v>0</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0</v>
      </c>
      <c r="D147" s="50">
        <f>IF(hist!$D$2&gt;0,hist!B147/hist!$D$2,0)</f>
        <v>0</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0</v>
      </c>
      <c r="D148" s="50">
        <f>IF(hist!$D$2&gt;0,hist!B148/hist!$D$2,0)</f>
        <v>0</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0</v>
      </c>
      <c r="D149" s="50">
        <f>IF(hist!$D$2&gt;0,hist!B149/hist!$D$2,0)</f>
        <v>0</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0</v>
      </c>
      <c r="D150" s="50">
        <f>IF(hist!$D$2&gt;0,hist!B150/hist!$D$2,0)</f>
        <v>0</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0</v>
      </c>
      <c r="D151" s="50">
        <f>IF(hist!$D$2&gt;0,hist!B151/hist!$D$2,0)</f>
        <v>0</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0</v>
      </c>
      <c r="D152" s="50">
        <f>IF(hist!$D$2&gt;0,hist!B152/hist!$D$2,0)</f>
        <v>0</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0</v>
      </c>
      <c r="D153" s="50">
        <f>IF(hist!$D$2&gt;0,hist!B153/hist!$D$2,0)</f>
        <v>0</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0</v>
      </c>
      <c r="D154" s="50">
        <f>IF(hist!$D$2&gt;0,hist!B154/hist!$D$2,0)</f>
        <v>0</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0</v>
      </c>
      <c r="D155" s="50">
        <f>IF(hist!$D$2&gt;0,hist!B155/hist!$D$2,0)</f>
        <v>0</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0</v>
      </c>
      <c r="D156" s="50">
        <f>IF(hist!$D$2&gt;0,hist!B156/hist!$D$2,0)</f>
        <v>0</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0</v>
      </c>
      <c r="D157" s="50">
        <f>IF(hist!$D$2&gt;0,hist!B157/hist!$D$2,0)</f>
        <v>0</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0</v>
      </c>
      <c r="D158" s="50">
        <f>IF(hist!$D$2&gt;0,hist!B158/hist!$D$2,0)</f>
        <v>0</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0</v>
      </c>
      <c r="D159" s="50">
        <f>IF(hist!$D$2&gt;0,hist!B159/hist!$D$2,0)</f>
        <v>0</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0</v>
      </c>
      <c r="D160" s="50">
        <f>IF(hist!$D$2&gt;0,hist!B160/hist!$D$2,0)</f>
        <v>0</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0</v>
      </c>
      <c r="D161" s="50">
        <f>IF(hist!$D$2&gt;0,hist!B161/hist!$D$2,0)</f>
        <v>0</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0</v>
      </c>
      <c r="D162" s="50">
        <f>IF(hist!$D$2&gt;0,hist!B162/hist!$D$2,0)</f>
        <v>0</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0</v>
      </c>
      <c r="D163" s="50">
        <f>IF(hist!$D$2&gt;0,hist!B163/hist!$D$2,0)</f>
        <v>0</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0</v>
      </c>
      <c r="D164" s="50">
        <f>IF(hist!$D$2&gt;0,hist!B164/hist!$D$2,0)</f>
        <v>0</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0</v>
      </c>
      <c r="D165" s="50">
        <f>IF(hist!$D$2&gt;0,hist!B165/hist!$D$2,0)</f>
        <v>0</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0</v>
      </c>
      <c r="D166" s="50">
        <f>IF(hist!$D$2&gt;0,hist!B166/hist!$D$2,0)</f>
        <v>0</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0</v>
      </c>
      <c r="D167" s="50">
        <f>IF(hist!$D$2&gt;0,hist!B167/hist!$D$2,0)</f>
        <v>0</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0</v>
      </c>
      <c r="D168" s="50">
        <f>IF(hist!$D$2&gt;0,hist!B168/hist!$D$2,0)</f>
        <v>0</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0</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0</v>
      </c>
      <c r="D170" s="50">
        <f>IF(hist!$D$2&gt;0,hist!B170/hist!$D$2,0)</f>
        <v>0</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0</v>
      </c>
      <c r="D171" s="50">
        <f>IF(hist!$D$2&gt;0,hist!B171/hist!$D$2,0)</f>
        <v>0</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0</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0</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0</v>
      </c>
      <c r="D174" s="50">
        <f>IF(hist!$D$2&gt;0,hist!B174/hist!$D$2,0)</f>
        <v>0</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0</v>
      </c>
      <c r="D175" s="50">
        <f>IF(hist!$D$2&gt;0,hist!B175/hist!$D$2,0)</f>
        <v>0</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v>
      </c>
      <c r="D178" s="50">
        <f>IF(hist!$D$2&gt;0,hist!B178/hist!$D$2,0)</f>
        <v>0</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v>
      </c>
      <c r="D180" s="50">
        <f>IF(hist!$D$2&gt;0,hist!B180/hist!$D$2,0)</f>
        <v>0</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v>
      </c>
      <c r="D183" s="50">
        <f>IF(hist!$D$2&gt;0,hist!B183/hist!$D$2,0)</f>
        <v>0</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v>
      </c>
      <c r="D185" s="50">
        <f>IF(hist!$D$2&gt;0,hist!B185/hist!$D$2,0)</f>
        <v>0</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v>
      </c>
      <c r="D188" s="50">
        <f>IF(hist!$D$2&gt;0,hist!B188/hist!$D$2,0)</f>
        <v>0</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v>
      </c>
      <c r="D191" s="50">
        <f>IF(hist!$D$2&gt;0,hist!B191/hist!$D$2,0)</f>
        <v>0</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v>
      </c>
      <c r="D193" s="50">
        <f>IF(hist!$D$2&gt;0,hist!B193/hist!$D$2,0)</f>
        <v>0</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v>
      </c>
      <c r="D196" s="50">
        <f>IF(hist!$D$2&gt;0,hist!B196/hist!$D$2,0)</f>
        <v>0</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v>
      </c>
      <c r="D198" s="50">
        <f>IF(hist!$D$2&gt;0,hist!B198/hist!$D$2,0)</f>
        <v>0</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v>
      </c>
      <c r="D201" s="50">
        <f>IF(hist!$D$2&gt;0,hist!B201/hist!$D$2,0)</f>
        <v>0</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v>
      </c>
      <c r="D203" s="50">
        <f>IF(hist!$D$2&gt;0,hist!B203/hist!$D$2,0)</f>
        <v>0</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v>
      </c>
      <c r="D206" s="50">
        <f>IF(hist!$D$2&gt;0,hist!B206/hist!$D$2,0)</f>
        <v>0</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v>
      </c>
      <c r="D209" s="50">
        <f>IF(hist!$D$2&gt;0,hist!B209/hist!$D$2,0)</f>
        <v>0</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v>
      </c>
      <c r="D211" s="50">
        <f>IF(hist!$D$2&gt;0,hist!B211/hist!$D$2,0)</f>
        <v>0</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v>
      </c>
      <c r="D214" s="50">
        <f>IF(hist!$D$2&gt;0,hist!B214/hist!$D$2,0)</f>
        <v>0</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v>
      </c>
      <c r="D216" s="50">
        <f>IF(hist!$D$2&gt;0,hist!B216/hist!$D$2,0)</f>
        <v>0</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v>
      </c>
      <c r="D219" s="50">
        <f>IF(hist!$D$2&gt;0,hist!B219/hist!$D$2,0)</f>
        <v>0</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v>
      </c>
      <c r="D221" s="50">
        <f>IF(hist!$D$2&gt;0,hist!B221/hist!$D$2,0)</f>
        <v>0</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0</v>
      </c>
      <c r="D224" s="50">
        <f>IF(hist!$D$2&gt;0,hist!B224/hist!$D$2,0)</f>
        <v>0</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0</v>
      </c>
      <c r="D227" s="50">
        <f>IF(hist!$D$2&gt;0,hist!B227/hist!$D$2,0)</f>
        <v>0</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26.945499999999999</v>
      </c>
      <c r="C5" s="49">
        <v>1.3287199999999999</v>
      </c>
      <c r="D5" s="49">
        <v>4.9311499999999997</v>
      </c>
      <c r="E5" s="49">
        <v>20</v>
      </c>
      <c r="F5" s="49">
        <v>23.859300000000001</v>
      </c>
      <c r="G5" s="49">
        <v>50</v>
      </c>
      <c r="H5" s="49">
        <v>31.065300000000001</v>
      </c>
    </row>
    <row r="6" spans="1:10">
      <c r="A6" t="s">
        <v>1111</v>
      </c>
      <c r="B6" s="49">
        <v>24.9968</v>
      </c>
      <c r="C6" s="49">
        <v>1.05789</v>
      </c>
      <c r="D6" s="49">
        <v>4.2320900000000004</v>
      </c>
      <c r="E6" s="49">
        <v>20</v>
      </c>
      <c r="F6" s="49">
        <v>24.446400000000001</v>
      </c>
      <c r="G6" s="49">
        <v>40</v>
      </c>
      <c r="H6" s="49">
        <v>28.8432</v>
      </c>
    </row>
    <row r="7" spans="1:10">
      <c r="A7" t="s">
        <v>1112</v>
      </c>
      <c r="B7" s="49">
        <v>36.403300000000002</v>
      </c>
      <c r="C7" s="49">
        <v>2.17408</v>
      </c>
      <c r="D7" s="49">
        <v>5.9722099999999996</v>
      </c>
      <c r="E7" s="49">
        <v>15</v>
      </c>
      <c r="F7" s="49">
        <v>31.356999999999999</v>
      </c>
      <c r="G7" s="49">
        <v>40</v>
      </c>
      <c r="H7" s="49">
        <v>45.912500000000001</v>
      </c>
    </row>
    <row r="8" spans="1:10">
      <c r="A8" t="s">
        <v>1113</v>
      </c>
      <c r="B8" s="49">
        <v>28.962</v>
      </c>
      <c r="C8" s="49">
        <v>0.67628900000000003</v>
      </c>
      <c r="D8" s="49">
        <v>2.3350900000000001</v>
      </c>
      <c r="E8" s="49">
        <v>20</v>
      </c>
      <c r="F8" s="49">
        <v>27.607199999999999</v>
      </c>
      <c r="G8" s="49">
        <v>50</v>
      </c>
      <c r="H8" s="49">
        <v>30.7806</v>
      </c>
    </row>
    <row r="9" spans="1:10">
      <c r="A9" t="s">
        <v>1114</v>
      </c>
      <c r="B9" s="49">
        <v>71.067999999999998</v>
      </c>
      <c r="C9" s="49">
        <v>1.4254</v>
      </c>
      <c r="D9" s="49">
        <v>2.00569</v>
      </c>
      <c r="E9" s="49">
        <v>50</v>
      </c>
      <c r="F9" s="49">
        <v>68.390799999999999</v>
      </c>
      <c r="G9" s="49">
        <v>100</v>
      </c>
      <c r="H9" s="49">
        <v>74.7714</v>
      </c>
    </row>
    <row r="10" spans="1:10">
      <c r="A10" t="s">
        <v>1115</v>
      </c>
      <c r="B10" s="49">
        <v>82.443700000000007</v>
      </c>
      <c r="C10" s="49">
        <v>1.5382899999999999</v>
      </c>
      <c r="D10" s="49">
        <v>1.8658600000000001</v>
      </c>
      <c r="E10" s="49">
        <v>40</v>
      </c>
      <c r="F10" s="49">
        <v>77.292699999999996</v>
      </c>
      <c r="G10" s="49">
        <v>100</v>
      </c>
      <c r="H10" s="49">
        <v>82.641599999999997</v>
      </c>
    </row>
    <row r="11" spans="1:10">
      <c r="A11" t="s">
        <v>1116</v>
      </c>
      <c r="B11" s="49">
        <v>11.0063</v>
      </c>
      <c r="C11" s="49">
        <v>0.51322400000000001</v>
      </c>
      <c r="D11" s="49">
        <v>4.6630200000000004</v>
      </c>
      <c r="E11" s="49">
        <v>10</v>
      </c>
      <c r="F11" s="49">
        <v>9.8778900000000007</v>
      </c>
      <c r="G11" s="49">
        <v>50</v>
      </c>
      <c r="H11" s="49">
        <v>11.6645</v>
      </c>
    </row>
    <row r="12" spans="1:10">
      <c r="A12" t="s">
        <v>1117</v>
      </c>
      <c r="B12" s="49">
        <v>76.639399999999995</v>
      </c>
      <c r="C12" s="49">
        <v>0.60075999999999996</v>
      </c>
      <c r="D12" s="49">
        <v>0.78387799999999996</v>
      </c>
      <c r="E12" s="49">
        <v>50</v>
      </c>
      <c r="F12" s="49">
        <v>75.341300000000004</v>
      </c>
      <c r="G12" s="49">
        <v>100</v>
      </c>
      <c r="H12" s="49">
        <v>77.650700000000001</v>
      </c>
    </row>
    <row r="13" spans="1:10">
      <c r="A13" t="s">
        <v>1118</v>
      </c>
      <c r="B13" s="49">
        <v>21.4147</v>
      </c>
      <c r="C13" s="49">
        <v>1.50728</v>
      </c>
      <c r="D13" s="49">
        <v>7.0385299999999997</v>
      </c>
      <c r="E13" s="49">
        <v>10</v>
      </c>
      <c r="F13" s="49">
        <v>19.049700000000001</v>
      </c>
      <c r="G13" s="49">
        <v>25</v>
      </c>
      <c r="H13" s="49">
        <v>24.337199999999999</v>
      </c>
      <c r="J13" s="49"/>
    </row>
    <row r="14" spans="1:10">
      <c r="A14" t="s">
        <v>1119</v>
      </c>
      <c r="B14" s="49">
        <v>15.072800000000001</v>
      </c>
      <c r="C14" s="49">
        <v>4.3766699999999998</v>
      </c>
      <c r="D14" s="49">
        <v>29.036799999999999</v>
      </c>
      <c r="E14" s="49">
        <v>10</v>
      </c>
      <c r="F14" s="49">
        <v>1.3069599999999999</v>
      </c>
      <c r="G14" s="49">
        <v>50</v>
      </c>
      <c r="H14" s="49">
        <v>15.8126</v>
      </c>
    </row>
    <row r="15" spans="1:10">
      <c r="A15" t="s">
        <v>1120</v>
      </c>
      <c r="B15" s="49">
        <v>-0.143315</v>
      </c>
      <c r="C15" s="49">
        <v>0</v>
      </c>
      <c r="D15" s="49">
        <v>0</v>
      </c>
      <c r="E15" s="49">
        <v>0</v>
      </c>
      <c r="F15" s="49">
        <v>0</v>
      </c>
      <c r="G15" s="49">
        <v>0</v>
      </c>
      <c r="H15" s="49">
        <v>0</v>
      </c>
    </row>
    <row r="16" spans="1:10">
      <c r="A16" t="s">
        <v>1121</v>
      </c>
      <c r="B16" s="49">
        <v>-0.27027299999999999</v>
      </c>
      <c r="C16" s="49">
        <v>0</v>
      </c>
      <c r="D16" s="49">
        <v>0</v>
      </c>
      <c r="E16" s="49">
        <v>0</v>
      </c>
      <c r="F16" s="49">
        <v>0</v>
      </c>
      <c r="G16" s="49">
        <v>0</v>
      </c>
      <c r="H16" s="49">
        <v>0</v>
      </c>
    </row>
    <row r="17" spans="1:8">
      <c r="A17" t="s">
        <v>1122</v>
      </c>
      <c r="B17" s="49">
        <v>6.2864300000000002</v>
      </c>
      <c r="C17" s="49">
        <v>0</v>
      </c>
      <c r="D17" s="49">
        <v>0</v>
      </c>
      <c r="E17" s="49">
        <v>0</v>
      </c>
      <c r="F17" s="49">
        <v>0</v>
      </c>
      <c r="G17" s="49">
        <v>0</v>
      </c>
      <c r="H17" s="49">
        <v>0</v>
      </c>
    </row>
    <row r="18" spans="1:8">
      <c r="A18" t="s">
        <v>1123</v>
      </c>
      <c r="B18" s="49">
        <v>0.64410000000000001</v>
      </c>
      <c r="C18" s="49">
        <v>0</v>
      </c>
      <c r="D18" s="49">
        <v>0</v>
      </c>
      <c r="E18" s="49">
        <v>0</v>
      </c>
      <c r="F18" s="49">
        <v>0</v>
      </c>
      <c r="G18" s="49">
        <v>0</v>
      </c>
      <c r="H18" s="49">
        <v>0</v>
      </c>
    </row>
    <row r="19" spans="1:8">
      <c r="A19" t="s">
        <v>1124</v>
      </c>
      <c r="B19" s="49">
        <v>0.741533</v>
      </c>
      <c r="C19" s="49">
        <v>0</v>
      </c>
      <c r="D19" s="49">
        <v>0</v>
      </c>
      <c r="E19" s="49">
        <v>0</v>
      </c>
      <c r="F19" s="49">
        <v>0</v>
      </c>
      <c r="G19" s="49">
        <v>0</v>
      </c>
      <c r="H19" s="49">
        <v>0</v>
      </c>
    </row>
    <row r="20" spans="1:8">
      <c r="A20" t="s">
        <v>1125</v>
      </c>
      <c r="B20" s="49">
        <v>2.7202400000000001E-3</v>
      </c>
      <c r="C20" s="49">
        <v>4.9979400000000002E-3</v>
      </c>
      <c r="D20" s="49">
        <v>1.8373200000000001</v>
      </c>
      <c r="E20" s="49">
        <v>0</v>
      </c>
      <c r="F20" s="49">
        <v>2.0232700000000002E-3</v>
      </c>
      <c r="G20" s="49">
        <v>0</v>
      </c>
      <c r="H20" s="49">
        <v>4.01035E-2</v>
      </c>
    </row>
    <row r="21" spans="1:8">
      <c r="A21" t="s">
        <v>1126</v>
      </c>
      <c r="B21" s="49">
        <v>9.4982E-3</v>
      </c>
      <c r="C21" s="49">
        <v>2.8339199999999998E-2</v>
      </c>
      <c r="D21" s="49">
        <v>2.9836399999999998</v>
      </c>
      <c r="E21" s="49">
        <v>0</v>
      </c>
      <c r="F21" s="49">
        <v>2.6676199999999999E-3</v>
      </c>
      <c r="G21" s="49">
        <v>0</v>
      </c>
      <c r="H21" s="49">
        <v>0.15986600000000001</v>
      </c>
    </row>
    <row r="22" spans="1:8">
      <c r="A22" t="s">
        <v>1127</v>
      </c>
      <c r="B22" s="49">
        <v>32.316000000000003</v>
      </c>
      <c r="C22" s="49">
        <v>9.8881300000000003</v>
      </c>
      <c r="D22" s="49">
        <v>0.30598199999999998</v>
      </c>
      <c r="E22" s="49">
        <v>0</v>
      </c>
      <c r="F22" s="49">
        <v>22.662700000000001</v>
      </c>
      <c r="G22" s="49">
        <v>0</v>
      </c>
      <c r="H22" s="49">
        <v>63.733199999999997</v>
      </c>
    </row>
    <row r="23" spans="1:8">
      <c r="A23" t="s">
        <v>1128</v>
      </c>
      <c r="B23" s="49">
        <v>16.422699999999999</v>
      </c>
      <c r="C23" s="49">
        <v>0.46470800000000001</v>
      </c>
      <c r="D23" s="49">
        <v>2.8296600000000002E-2</v>
      </c>
      <c r="E23" s="49">
        <v>0</v>
      </c>
      <c r="F23" s="49">
        <v>14.943099999999999</v>
      </c>
      <c r="G23" s="49">
        <v>0</v>
      </c>
      <c r="H23" s="49">
        <v>16.691600000000001</v>
      </c>
    </row>
    <row r="24" spans="1:8">
      <c r="A24" t="s">
        <v>1129</v>
      </c>
      <c r="B24" s="49">
        <v>3.2469899999999999E-3</v>
      </c>
      <c r="C24" s="49">
        <v>2.46145E-3</v>
      </c>
      <c r="D24" s="49">
        <v>0.75807199999999997</v>
      </c>
      <c r="E24" s="49">
        <v>0</v>
      </c>
      <c r="F24" s="49">
        <v>2.30423E-3</v>
      </c>
      <c r="G24" s="49">
        <v>0</v>
      </c>
      <c r="H24" s="49">
        <v>1.09303E-2</v>
      </c>
    </row>
    <row r="25" spans="1:8">
      <c r="A25" t="s">
        <v>1130</v>
      </c>
      <c r="B25" s="49">
        <v>1.5439700000000001E-2</v>
      </c>
      <c r="C25" s="49">
        <v>1.8058899999999999E-2</v>
      </c>
      <c r="D25" s="49">
        <v>1.16964</v>
      </c>
      <c r="E25" s="49">
        <v>0</v>
      </c>
      <c r="F25" s="49">
        <v>7.4501300000000001E-3</v>
      </c>
      <c r="G25" s="49">
        <v>0</v>
      </c>
      <c r="H25" s="49">
        <v>6.3385399999999995E-2</v>
      </c>
    </row>
    <row r="26" spans="1:8">
      <c r="A26" t="s">
        <v>1131</v>
      </c>
      <c r="B26" s="49">
        <v>5.4665699999999998E-4</v>
      </c>
      <c r="C26" s="49">
        <v>4.3201200000000001E-4</v>
      </c>
      <c r="D26" s="49">
        <v>0.79028100000000001</v>
      </c>
      <c r="E26" s="49">
        <v>0</v>
      </c>
      <c r="F26" s="173">
        <v>4.1681200000000002E-4</v>
      </c>
      <c r="G26" s="49">
        <v>0</v>
      </c>
      <c r="H26" s="49">
        <v>3.999E-3</v>
      </c>
    </row>
    <row r="27" spans="1:8">
      <c r="A27" t="s">
        <v>1132</v>
      </c>
      <c r="B27" s="173">
        <v>-9.8201600000000002E-6</v>
      </c>
      <c r="C27" s="49">
        <v>4.22595E-4</v>
      </c>
      <c r="D27" s="49">
        <v>-43.0334</v>
      </c>
      <c r="E27" s="49">
        <v>0</v>
      </c>
      <c r="F27" s="49">
        <v>-2.9176900000000001E-3</v>
      </c>
      <c r="G27" s="49">
        <v>0</v>
      </c>
      <c r="H27" s="49">
        <v>2.3579299999999998E-3</v>
      </c>
    </row>
    <row r="28" spans="1:8">
      <c r="A28" t="s">
        <v>1133</v>
      </c>
      <c r="B28" s="49">
        <v>1.37587E-3</v>
      </c>
      <c r="C28" s="49">
        <v>2.37901E-3</v>
      </c>
      <c r="D28" s="49">
        <v>1.7291000000000001</v>
      </c>
      <c r="E28" s="49">
        <v>0</v>
      </c>
      <c r="F28" s="49">
        <v>5.5338499999999999E-4</v>
      </c>
      <c r="G28" s="49">
        <v>0</v>
      </c>
      <c r="H28" s="49">
        <v>1.38932E-2</v>
      </c>
    </row>
    <row r="29" spans="1:8">
      <c r="A29" t="s">
        <v>1134</v>
      </c>
      <c r="B29" s="49">
        <v>53.663400000000003</v>
      </c>
      <c r="C29" s="49">
        <v>6.9630400000000003</v>
      </c>
      <c r="D29" s="49">
        <v>0.12975400000000001</v>
      </c>
      <c r="E29" s="49">
        <v>0</v>
      </c>
      <c r="F29" s="49">
        <v>39.607500000000002</v>
      </c>
      <c r="G29" s="49">
        <v>0</v>
      </c>
      <c r="H29" s="49">
        <v>74.585400000000007</v>
      </c>
    </row>
    <row r="30" spans="1:8">
      <c r="A30" t="s">
        <v>1135</v>
      </c>
      <c r="B30" s="49">
        <v>16.2028</v>
      </c>
      <c r="C30" s="49">
        <v>0.46260600000000002</v>
      </c>
      <c r="D30" s="49">
        <v>2.8550900000000001E-2</v>
      </c>
      <c r="E30" s="49">
        <v>0</v>
      </c>
      <c r="F30" s="49">
        <v>14.789899999999999</v>
      </c>
      <c r="G30" s="49">
        <v>0</v>
      </c>
      <c r="H30" s="49">
        <v>16.587199999999999</v>
      </c>
    </row>
    <row r="31" spans="1:8">
      <c r="A31" t="s">
        <v>1136</v>
      </c>
      <c r="B31" s="49">
        <v>104.197</v>
      </c>
      <c r="C31" s="49">
        <v>4.4474499999999999</v>
      </c>
      <c r="D31" s="49">
        <v>4.2682999999999999E-2</v>
      </c>
      <c r="E31" s="49">
        <v>0</v>
      </c>
      <c r="F31" s="49">
        <v>101.77800000000001</v>
      </c>
      <c r="G31" s="49">
        <v>0</v>
      </c>
      <c r="H31" s="49">
        <v>118.092</v>
      </c>
    </row>
    <row r="32" spans="1:8">
      <c r="A32" t="s">
        <v>1137</v>
      </c>
      <c r="B32" s="49">
        <v>0.364033</v>
      </c>
      <c r="C32" s="49">
        <v>2.1740800000000001E-2</v>
      </c>
      <c r="D32" s="49">
        <v>5.97221E-2</v>
      </c>
      <c r="E32" s="49">
        <v>0.15</v>
      </c>
      <c r="F32" s="49">
        <v>0.31357000000000002</v>
      </c>
      <c r="G32" s="49">
        <v>0.4</v>
      </c>
      <c r="H32" s="49">
        <v>0.45912500000000001</v>
      </c>
    </row>
    <row r="33" spans="1:8">
      <c r="A33" t="s">
        <v>1138</v>
      </c>
      <c r="B33" s="49">
        <v>0.18375900000000001</v>
      </c>
      <c r="C33" s="49">
        <v>1.82851E-3</v>
      </c>
      <c r="D33" s="49">
        <v>9.9506300000000002E-3</v>
      </c>
      <c r="E33" s="49">
        <v>0</v>
      </c>
      <c r="F33" s="49">
        <v>0.17666399999999999</v>
      </c>
      <c r="G33" s="49">
        <v>0</v>
      </c>
      <c r="H33" s="49">
        <v>0.18463099999999999</v>
      </c>
    </row>
    <row r="34" spans="1:8">
      <c r="A34" t="s">
        <v>1139</v>
      </c>
      <c r="B34" s="49">
        <v>0.214147</v>
      </c>
      <c r="C34" s="49">
        <v>1.5072800000000001E-2</v>
      </c>
      <c r="D34" s="49">
        <v>7.0385299999999998E-2</v>
      </c>
      <c r="E34" s="49">
        <v>0.1</v>
      </c>
      <c r="F34" s="49">
        <v>0.190498</v>
      </c>
      <c r="G34" s="49">
        <v>0.25</v>
      </c>
      <c r="H34" s="49">
        <v>0.243372</v>
      </c>
    </row>
    <row r="35" spans="1:8">
      <c r="A35" t="s">
        <v>1140</v>
      </c>
      <c r="B35" s="49">
        <v>9.8812300000000006E-2</v>
      </c>
      <c r="C35" s="49">
        <v>1.9093599999999999E-2</v>
      </c>
      <c r="D35" s="49">
        <v>0.19323100000000001</v>
      </c>
      <c r="E35" s="49">
        <v>0</v>
      </c>
      <c r="F35" s="49">
        <v>6.2434900000000002E-2</v>
      </c>
      <c r="G35" s="49">
        <v>0</v>
      </c>
      <c r="H35" s="49">
        <v>0.12715499999999999</v>
      </c>
    </row>
    <row r="36" spans="1:8">
      <c r="A36" t="s">
        <v>1141</v>
      </c>
      <c r="B36" s="49">
        <v>0.18947900000000001</v>
      </c>
      <c r="C36" s="49">
        <v>9.5153799999999997E-2</v>
      </c>
      <c r="D36" s="49">
        <v>0.50218700000000005</v>
      </c>
      <c r="E36" s="49">
        <v>0</v>
      </c>
      <c r="F36" s="49">
        <v>5.5825300000000001E-2</v>
      </c>
      <c r="G36" s="49">
        <v>0</v>
      </c>
      <c r="H36" s="49">
        <v>0.466277</v>
      </c>
    </row>
    <row r="37" spans="1:8">
      <c r="A37" t="s">
        <v>1142</v>
      </c>
      <c r="B37" s="49">
        <v>0.150728</v>
      </c>
      <c r="C37" s="49">
        <v>4.3766699999999999E-2</v>
      </c>
      <c r="D37" s="49">
        <v>0.29036800000000001</v>
      </c>
      <c r="E37" s="49">
        <v>0.1</v>
      </c>
      <c r="F37" s="49">
        <v>1.3069600000000001E-2</v>
      </c>
      <c r="G37" s="49">
        <v>0.5</v>
      </c>
      <c r="H37" s="49">
        <v>0.15812599999999999</v>
      </c>
    </row>
    <row r="38" spans="1:8">
      <c r="A38" t="s">
        <v>1143</v>
      </c>
      <c r="B38" s="49">
        <v>20.372599999999998</v>
      </c>
      <c r="C38" s="49">
        <v>70.122100000000003</v>
      </c>
      <c r="D38" s="49">
        <v>3.4419900000000001</v>
      </c>
      <c r="E38" s="49">
        <v>0</v>
      </c>
      <c r="F38" s="49">
        <v>-191.14099999999999</v>
      </c>
      <c r="G38" s="49">
        <v>0</v>
      </c>
      <c r="H38" s="49">
        <v>262.28899999999999</v>
      </c>
    </row>
    <row r="39" spans="1:8">
      <c r="A39" t="s">
        <v>1144</v>
      </c>
      <c r="B39" s="49">
        <v>13.202999999999999</v>
      </c>
      <c r="C39" s="49">
        <v>11.0937</v>
      </c>
      <c r="D39" s="49">
        <v>0.84024299999999996</v>
      </c>
      <c r="E39" s="49">
        <v>0</v>
      </c>
      <c r="F39" s="49">
        <v>-2.9185099999999999</v>
      </c>
      <c r="G39" s="49">
        <v>0</v>
      </c>
      <c r="H39" s="49">
        <v>42.743099999999998</v>
      </c>
    </row>
    <row r="40" spans="1:8">
      <c r="A40" t="s">
        <v>1145</v>
      </c>
      <c r="B40" s="49">
        <v>-1.2843800000000001</v>
      </c>
      <c r="C40" s="49">
        <v>0.17161199999999999</v>
      </c>
      <c r="D40" s="49">
        <v>-0.13361500000000001</v>
      </c>
      <c r="E40" s="49">
        <v>0</v>
      </c>
      <c r="F40" s="49">
        <v>-1.58158</v>
      </c>
      <c r="G40" s="49">
        <v>0</v>
      </c>
      <c r="H40" s="49">
        <v>-0.77682300000000004</v>
      </c>
    </row>
    <row r="41" spans="1:8">
      <c r="A41" t="s">
        <v>1146</v>
      </c>
      <c r="B41" s="49">
        <v>0.14155799999999999</v>
      </c>
      <c r="C41" s="49">
        <v>0.455899</v>
      </c>
      <c r="D41" s="49">
        <v>3.22058</v>
      </c>
      <c r="E41" s="49">
        <v>0</v>
      </c>
      <c r="F41" s="49">
        <v>-1</v>
      </c>
      <c r="G41" s="49">
        <v>0</v>
      </c>
      <c r="H41" s="49">
        <v>1</v>
      </c>
    </row>
    <row r="42" spans="1:8">
      <c r="A42" t="s">
        <v>1147</v>
      </c>
      <c r="B42" s="49">
        <v>0.40787800000000002</v>
      </c>
      <c r="C42" s="49">
        <v>0.253635</v>
      </c>
      <c r="D42" s="49">
        <v>0.62183999999999995</v>
      </c>
      <c r="E42" s="49">
        <v>0</v>
      </c>
      <c r="F42" s="49">
        <v>-8.7914900000000004E-2</v>
      </c>
      <c r="G42" s="49">
        <v>0</v>
      </c>
      <c r="H42" s="49">
        <v>0.92263899999999999</v>
      </c>
    </row>
    <row r="43" spans="1:8">
      <c r="A43" t="s">
        <v>1148</v>
      </c>
      <c r="B43" s="49">
        <v>-9.6961699999999998E-2</v>
      </c>
      <c r="C43" s="49">
        <v>8.7715499999999995E-3</v>
      </c>
      <c r="D43" s="49">
        <v>-9.0464000000000003E-2</v>
      </c>
      <c r="E43" s="49">
        <v>0</v>
      </c>
      <c r="F43" s="49">
        <v>-0.113801</v>
      </c>
      <c r="G43" s="49">
        <v>0</v>
      </c>
      <c r="H43" s="49">
        <v>-7.3952500000000004E-2</v>
      </c>
    </row>
    <row r="44" spans="1:8">
      <c r="A44" t="s">
        <v>1149</v>
      </c>
      <c r="B44" s="49">
        <v>1.38134</v>
      </c>
      <c r="C44" s="49">
        <v>6.7949799999999998</v>
      </c>
      <c r="D44" s="49">
        <v>4.9191200000000004</v>
      </c>
      <c r="E44" s="49">
        <v>0</v>
      </c>
      <c r="F44" s="49">
        <v>-12.5427</v>
      </c>
      <c r="G44" s="49">
        <v>0</v>
      </c>
      <c r="H44" s="49">
        <v>15.4422</v>
      </c>
    </row>
    <row r="45" spans="1:8">
      <c r="A45" t="s">
        <v>1150</v>
      </c>
      <c r="B45" s="49">
        <v>46.790900000000001</v>
      </c>
      <c r="C45" s="49">
        <v>10.1412</v>
      </c>
      <c r="D45" s="49">
        <v>0.21673400000000001</v>
      </c>
      <c r="E45" s="49">
        <v>0</v>
      </c>
      <c r="F45" s="49">
        <v>38.052399999999999</v>
      </c>
      <c r="G45" s="49">
        <v>0</v>
      </c>
      <c r="H45" s="49">
        <v>70.592399999999998</v>
      </c>
    </row>
    <row r="46" spans="1:8">
      <c r="A46" t="s">
        <v>1151</v>
      </c>
      <c r="B46" s="49">
        <v>25.365400000000001</v>
      </c>
      <c r="C46" s="49">
        <v>1.3259099999999999</v>
      </c>
      <c r="D46" s="49">
        <v>5.2272300000000001E-2</v>
      </c>
      <c r="E46" s="49">
        <v>0</v>
      </c>
      <c r="F46" s="49">
        <v>21.999600000000001</v>
      </c>
      <c r="G46" s="49">
        <v>0</v>
      </c>
      <c r="H46" s="49">
        <v>26.791</v>
      </c>
    </row>
    <row r="47" spans="1:8">
      <c r="A47" t="s">
        <v>1152</v>
      </c>
      <c r="B47" s="49">
        <v>0.230876</v>
      </c>
      <c r="C47" s="49">
        <v>0.12622800000000001</v>
      </c>
      <c r="D47" s="49">
        <v>0.54673499999999997</v>
      </c>
      <c r="E47" s="49">
        <v>0</v>
      </c>
      <c r="F47" s="49">
        <v>0.13058</v>
      </c>
      <c r="G47" s="49">
        <v>0</v>
      </c>
      <c r="H47" s="49">
        <v>0.54414499999999999</v>
      </c>
    </row>
    <row r="48" spans="1:8">
      <c r="A48" t="s">
        <v>1153</v>
      </c>
      <c r="B48" s="49">
        <v>0.55050600000000005</v>
      </c>
      <c r="C48" s="49">
        <v>2.97241E-2</v>
      </c>
      <c r="D48" s="49">
        <v>5.3994100000000003E-2</v>
      </c>
      <c r="E48" s="49">
        <v>0</v>
      </c>
      <c r="F48" s="49">
        <v>0.50553899999999996</v>
      </c>
      <c r="G48" s="49">
        <v>0</v>
      </c>
      <c r="H48" s="49">
        <v>0.63523399999999997</v>
      </c>
    </row>
    <row r="50" spans="1:4">
      <c r="A50" t="str">
        <f>lang!B7</f>
        <v>긍정감정</v>
      </c>
      <c r="B50" s="134">
        <f>SUM(B9:B12)</f>
        <v>241.15740000000002</v>
      </c>
      <c r="C50" s="134"/>
      <c r="D50" s="134">
        <f t="shared" ref="D50" si="0">SUM(D9:D12)</f>
        <v>9.3184480000000001</v>
      </c>
    </row>
    <row r="51" spans="1:4">
      <c r="A51" t="str">
        <f>lang!B8</f>
        <v>부정감정</v>
      </c>
      <c r="B51" s="134">
        <f>SUM(B5:B8)</f>
        <v>117.30760000000001</v>
      </c>
      <c r="C51" s="134"/>
      <c r="D51" s="134">
        <f t="shared" ref="D51" si="1">SUM(D5:D8)</f>
        <v>17.47054</v>
      </c>
    </row>
    <row r="52" spans="1:4">
      <c r="A52" t="str">
        <f>lang!B9</f>
        <v>생리감정</v>
      </c>
      <c r="B52" s="134">
        <f>SUM(B13:B14)</f>
        <v>36.487499999999997</v>
      </c>
      <c r="C52" s="134"/>
      <c r="D52" s="134">
        <f t="shared" ref="D52" si="2">SUM(D13:D14)</f>
        <v>36.075330000000001</v>
      </c>
    </row>
    <row r="53" spans="1:4">
      <c r="B53" s="50">
        <f>SUM(B50:B52)</f>
        <v>394.95250000000004</v>
      </c>
      <c r="D53" s="50">
        <f>SUM(D50:D52)</f>
        <v>62.864317999999997</v>
      </c>
    </row>
    <row r="54" spans="1:4">
      <c r="A54" t="str">
        <f>lang!B7</f>
        <v>긍정감정</v>
      </c>
      <c r="B54" s="135">
        <f>IF(B$53&lt;&gt;0,B50/B$53,0)</f>
        <v>0.61059848969179842</v>
      </c>
      <c r="C54" s="135"/>
      <c r="D54" s="135">
        <f>IF(D$53&lt;&gt;0,D50/D$53,0)</f>
        <v>0.1482311157817699</v>
      </c>
    </row>
    <row r="55" spans="1:4">
      <c r="A55" t="str">
        <f>lang!B8</f>
        <v>부정감정</v>
      </c>
      <c r="B55" s="135">
        <f>IF(B$53&lt;&gt;0,B51/B$53,0)</f>
        <v>0.2970169830549243</v>
      </c>
      <c r="C55" s="135"/>
      <c r="D55" s="135">
        <f>IF(D$53&lt;&gt;0,D51/D$53,0)</f>
        <v>0.27790868581442341</v>
      </c>
    </row>
    <row r="56" spans="1:4">
      <c r="A56" t="str">
        <f>lang!B9</f>
        <v>생리감정</v>
      </c>
      <c r="B56" s="135">
        <f>IF(B$53&lt;&gt;0,B52/B$53,0)</f>
        <v>9.2384527253277282E-2</v>
      </c>
      <c r="C56" s="135"/>
      <c r="D56" s="135">
        <f>IF(D$53&lt;&gt;0,D52/D$53,0)</f>
        <v>0.57386019840380675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13.967499999999999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1.7</v>
      </c>
      <c r="B8" s="49">
        <v>1.7</v>
      </c>
    </row>
    <row r="9" spans="1:3">
      <c r="A9" s="49">
        <v>0</v>
      </c>
      <c r="B9" s="49">
        <v>0</v>
      </c>
    </row>
    <row r="10" spans="1:3">
      <c r="A10" s="49">
        <v>5.0199999999999996</v>
      </c>
      <c r="B10" s="49">
        <v>5.0199999999999996</v>
      </c>
    </row>
    <row r="11" spans="1:3">
      <c r="A11" s="49">
        <v>0</v>
      </c>
      <c r="B11" s="49">
        <v>0</v>
      </c>
    </row>
    <row r="12" spans="1:3">
      <c r="A12" s="49">
        <v>0</v>
      </c>
      <c r="B12" s="49">
        <v>0</v>
      </c>
    </row>
    <row r="13" spans="1:3">
      <c r="A13" s="49">
        <v>6.2074999999999996</v>
      </c>
      <c r="B13" s="49">
        <v>6.2074999999999996</v>
      </c>
    </row>
    <row r="14" spans="1:3">
      <c r="A14" s="49">
        <v>0</v>
      </c>
      <c r="B14" s="49">
        <v>0</v>
      </c>
    </row>
    <row r="15" spans="1:3">
      <c r="A15" s="49">
        <v>5.8324999999999996</v>
      </c>
      <c r="B15" s="49">
        <v>5.8324999999999996</v>
      </c>
    </row>
    <row r="16" spans="1:3">
      <c r="A16" s="49">
        <v>0</v>
      </c>
      <c r="B16" s="49">
        <v>0</v>
      </c>
    </row>
    <row r="17" spans="1:2">
      <c r="A17" s="49">
        <v>0</v>
      </c>
      <c r="B17" s="49">
        <v>0</v>
      </c>
    </row>
    <row r="18" spans="1:2">
      <c r="A18" s="49">
        <v>5.6875</v>
      </c>
      <c r="B18" s="49">
        <v>5.6875</v>
      </c>
    </row>
    <row r="19" spans="1:2">
      <c r="A19" s="49">
        <v>0</v>
      </c>
      <c r="B19" s="49">
        <v>0</v>
      </c>
    </row>
    <row r="20" spans="1:2">
      <c r="A20" s="49">
        <v>0</v>
      </c>
      <c r="B20" s="49">
        <v>0</v>
      </c>
    </row>
    <row r="21" spans="1:2">
      <c r="A21" s="49">
        <v>8.3925000000000001</v>
      </c>
      <c r="B21" s="49">
        <v>8.3925000000000001</v>
      </c>
    </row>
    <row r="22" spans="1:2">
      <c r="A22" s="49">
        <v>0</v>
      </c>
      <c r="B22" s="49">
        <v>0</v>
      </c>
    </row>
    <row r="23" spans="1:2">
      <c r="A23" s="49">
        <v>8.7825000000000006</v>
      </c>
      <c r="B23" s="49">
        <v>8.7825000000000006</v>
      </c>
    </row>
    <row r="24" spans="1:2">
      <c r="A24" s="49">
        <v>0</v>
      </c>
      <c r="B24" s="49">
        <v>0</v>
      </c>
    </row>
    <row r="25" spans="1:2">
      <c r="A25" s="49">
        <v>0</v>
      </c>
      <c r="B25" s="49">
        <v>0</v>
      </c>
    </row>
    <row r="26" spans="1:2">
      <c r="A26" s="49">
        <v>12.1875</v>
      </c>
      <c r="B26" s="49">
        <v>12.1875</v>
      </c>
    </row>
    <row r="27" spans="1:2">
      <c r="A27" s="49">
        <v>0</v>
      </c>
      <c r="B27" s="49">
        <v>0</v>
      </c>
    </row>
    <row r="28" spans="1:2">
      <c r="A28" s="49">
        <v>12.827500000000001</v>
      </c>
      <c r="B28" s="49">
        <v>12.827500000000001</v>
      </c>
    </row>
    <row r="29" spans="1:2">
      <c r="A29" s="49">
        <v>0</v>
      </c>
      <c r="B29" s="49">
        <v>0</v>
      </c>
    </row>
    <row r="30" spans="1:2">
      <c r="A30" s="49">
        <v>0</v>
      </c>
      <c r="B30" s="49">
        <v>0</v>
      </c>
    </row>
    <row r="31" spans="1:2">
      <c r="A31" s="49">
        <v>11.8375</v>
      </c>
      <c r="B31" s="49">
        <v>11.8375</v>
      </c>
    </row>
    <row r="32" spans="1:2">
      <c r="A32" s="49">
        <v>0</v>
      </c>
      <c r="B32" s="49">
        <v>0</v>
      </c>
    </row>
    <row r="33" spans="1:2">
      <c r="A33" s="49">
        <v>12.1325</v>
      </c>
      <c r="B33" s="49">
        <v>12.1325</v>
      </c>
    </row>
    <row r="34" spans="1:2">
      <c r="A34" s="49">
        <v>0</v>
      </c>
      <c r="B34" s="49">
        <v>0</v>
      </c>
    </row>
    <row r="35" spans="1:2">
      <c r="A35" s="49">
        <v>0</v>
      </c>
      <c r="B35" s="49">
        <v>0</v>
      </c>
    </row>
    <row r="36" spans="1:2">
      <c r="A36" s="49">
        <v>13.967499999999999</v>
      </c>
      <c r="B36" s="49">
        <v>13.967499999999999</v>
      </c>
    </row>
    <row r="37" spans="1:2">
      <c r="A37" s="49">
        <v>0</v>
      </c>
      <c r="B37" s="49">
        <v>0</v>
      </c>
    </row>
    <row r="38" spans="1:2">
      <c r="A38" s="49">
        <v>0</v>
      </c>
      <c r="B38" s="49">
        <v>0</v>
      </c>
    </row>
    <row r="39" spans="1:2">
      <c r="A39" s="49">
        <v>13.567500000000001</v>
      </c>
      <c r="B39" s="49">
        <v>13.567500000000001</v>
      </c>
    </row>
    <row r="40" spans="1:2">
      <c r="A40" s="49">
        <v>0</v>
      </c>
      <c r="B40" s="49">
        <v>0</v>
      </c>
    </row>
    <row r="41" spans="1:2">
      <c r="A41" s="49">
        <v>11.7675</v>
      </c>
      <c r="B41" s="49">
        <v>11.7675</v>
      </c>
    </row>
    <row r="42" spans="1:2">
      <c r="A42" s="49">
        <v>0</v>
      </c>
      <c r="B42" s="49">
        <v>0</v>
      </c>
    </row>
    <row r="43" spans="1:2">
      <c r="A43" s="49">
        <v>0</v>
      </c>
      <c r="B43" s="49">
        <v>0</v>
      </c>
    </row>
    <row r="44" spans="1:2">
      <c r="A44" s="49">
        <v>12.8375</v>
      </c>
      <c r="B44" s="49">
        <v>12.8375</v>
      </c>
    </row>
    <row r="45" spans="1:2">
      <c r="A45" s="49">
        <v>0</v>
      </c>
      <c r="B45" s="49">
        <v>0</v>
      </c>
    </row>
    <row r="46" spans="1:2">
      <c r="A46" s="49">
        <v>11.105</v>
      </c>
      <c r="B46" s="49">
        <v>11.105</v>
      </c>
    </row>
    <row r="47" spans="1:2">
      <c r="A47" s="49">
        <v>0</v>
      </c>
      <c r="B47" s="49">
        <v>0</v>
      </c>
    </row>
    <row r="48" spans="1:2">
      <c r="A48" s="49">
        <v>0</v>
      </c>
      <c r="B48" s="49">
        <v>0</v>
      </c>
    </row>
    <row r="49" spans="1:2">
      <c r="A49" s="49">
        <v>12.3125</v>
      </c>
      <c r="B49" s="49">
        <v>12.3125</v>
      </c>
    </row>
    <row r="50" spans="1:2">
      <c r="A50" s="49">
        <v>0</v>
      </c>
      <c r="B50" s="49">
        <v>0</v>
      </c>
    </row>
    <row r="51" spans="1:2">
      <c r="A51" s="49">
        <v>12.3025</v>
      </c>
      <c r="B51" s="49">
        <v>12.3025</v>
      </c>
    </row>
    <row r="52" spans="1:2">
      <c r="A52" s="49">
        <v>0</v>
      </c>
      <c r="B52" s="49">
        <v>0</v>
      </c>
    </row>
    <row r="53" spans="1:2">
      <c r="A53" s="49">
        <v>0</v>
      </c>
      <c r="B53" s="49">
        <v>0</v>
      </c>
    </row>
    <row r="54" spans="1:2">
      <c r="A54" s="49">
        <v>13.157500000000001</v>
      </c>
      <c r="B54" s="49">
        <v>13.157500000000001</v>
      </c>
    </row>
    <row r="55" spans="1:2">
      <c r="A55" s="49">
        <v>0</v>
      </c>
      <c r="B55" s="49">
        <v>0</v>
      </c>
    </row>
    <row r="56" spans="1:2">
      <c r="A56" s="49">
        <v>0</v>
      </c>
      <c r="B56" s="49">
        <v>0</v>
      </c>
    </row>
    <row r="57" spans="1:2">
      <c r="A57" s="49">
        <v>12.3675</v>
      </c>
      <c r="B57" s="49">
        <v>12.3675</v>
      </c>
    </row>
    <row r="58" spans="1:2">
      <c r="A58" s="49">
        <v>0</v>
      </c>
      <c r="B58" s="49">
        <v>0</v>
      </c>
    </row>
    <row r="59" spans="1:2">
      <c r="A59" s="49">
        <v>12.6775</v>
      </c>
      <c r="B59" s="49">
        <v>12.6775</v>
      </c>
    </row>
    <row r="60" spans="1:2">
      <c r="A60" s="49">
        <v>0</v>
      </c>
      <c r="B60" s="49">
        <v>0</v>
      </c>
    </row>
    <row r="61" spans="1:2">
      <c r="A61" s="49">
        <v>0</v>
      </c>
      <c r="B61" s="49">
        <v>0</v>
      </c>
    </row>
    <row r="62" spans="1:2">
      <c r="A62" s="49">
        <v>11.342499999999999</v>
      </c>
      <c r="B62" s="49">
        <v>11.342499999999999</v>
      </c>
    </row>
    <row r="63" spans="1:2">
      <c r="A63" s="49">
        <v>0</v>
      </c>
      <c r="B63" s="49">
        <v>0</v>
      </c>
    </row>
    <row r="64" spans="1:2">
      <c r="A64" s="49">
        <v>11.157500000000001</v>
      </c>
      <c r="B64" s="49">
        <v>11.157500000000001</v>
      </c>
    </row>
    <row r="65" spans="1:2">
      <c r="A65" s="49">
        <v>0</v>
      </c>
      <c r="B65" s="49">
        <v>0</v>
      </c>
    </row>
    <row r="66" spans="1:2">
      <c r="A66" s="49">
        <v>0</v>
      </c>
      <c r="B66" s="49">
        <v>0</v>
      </c>
    </row>
    <row r="67" spans="1:2">
      <c r="A67" s="49">
        <v>9.0050000000000008</v>
      </c>
      <c r="B67" s="49">
        <v>9.0050000000000008</v>
      </c>
    </row>
    <row r="68" spans="1:2">
      <c r="A68" s="49">
        <v>0</v>
      </c>
      <c r="B68" s="49">
        <v>0</v>
      </c>
    </row>
    <row r="69" spans="1:2">
      <c r="A69" s="49">
        <v>9.0675000000000008</v>
      </c>
      <c r="B69" s="49">
        <v>9.0675000000000008</v>
      </c>
    </row>
    <row r="70" spans="1:2">
      <c r="A70" s="49">
        <v>0</v>
      </c>
      <c r="B70" s="49">
        <v>0</v>
      </c>
    </row>
    <row r="71" spans="1:2">
      <c r="A71" s="49">
        <v>0</v>
      </c>
      <c r="B71" s="49">
        <v>0</v>
      </c>
    </row>
    <row r="72" spans="1:2">
      <c r="A72" s="49">
        <v>8.81</v>
      </c>
      <c r="B72" s="49">
        <v>8.81</v>
      </c>
    </row>
    <row r="73" spans="1:2">
      <c r="A73" s="49">
        <v>0</v>
      </c>
      <c r="B73" s="49">
        <v>0</v>
      </c>
    </row>
    <row r="74" spans="1:2">
      <c r="A74" s="49">
        <v>0</v>
      </c>
      <c r="B74" s="49">
        <v>0</v>
      </c>
    </row>
    <row r="75" spans="1:2">
      <c r="A75" s="49">
        <v>7.6775000000000002</v>
      </c>
      <c r="B75" s="49">
        <v>7.6775000000000002</v>
      </c>
    </row>
    <row r="76" spans="1:2">
      <c r="A76" s="49">
        <v>0</v>
      </c>
      <c r="B76" s="49">
        <v>0</v>
      </c>
    </row>
    <row r="77" spans="1:2">
      <c r="A77" s="49">
        <v>9.76</v>
      </c>
      <c r="B77" s="49">
        <v>9.76</v>
      </c>
    </row>
    <row r="78" spans="1:2">
      <c r="A78" s="49">
        <v>0</v>
      </c>
      <c r="B78" s="49">
        <v>0</v>
      </c>
    </row>
    <row r="79" spans="1:2">
      <c r="A79" s="49">
        <v>0</v>
      </c>
      <c r="B79" s="49">
        <v>0</v>
      </c>
    </row>
    <row r="80" spans="1:2">
      <c r="A80" s="49">
        <v>9.1875</v>
      </c>
      <c r="B80" s="49">
        <v>9.1875</v>
      </c>
    </row>
    <row r="81" spans="1:2">
      <c r="A81" s="49">
        <v>0</v>
      </c>
      <c r="B81" s="49">
        <v>0</v>
      </c>
    </row>
    <row r="82" spans="1:2">
      <c r="A82" s="49">
        <v>7.96</v>
      </c>
      <c r="B82" s="49">
        <v>7.96</v>
      </c>
    </row>
    <row r="83" spans="1:2">
      <c r="A83" s="49">
        <v>0</v>
      </c>
      <c r="B83" s="49">
        <v>0</v>
      </c>
    </row>
    <row r="84" spans="1:2">
      <c r="A84" s="49">
        <v>0</v>
      </c>
      <c r="B84" s="49">
        <v>0</v>
      </c>
    </row>
    <row r="85" spans="1:2">
      <c r="A85" s="49">
        <v>8.1274999999999995</v>
      </c>
      <c r="B85" s="49">
        <v>8.1274999999999995</v>
      </c>
    </row>
    <row r="86" spans="1:2">
      <c r="A86" s="49">
        <v>0</v>
      </c>
      <c r="B86" s="49">
        <v>0</v>
      </c>
    </row>
    <row r="87" spans="1:2">
      <c r="A87" s="49">
        <v>0</v>
      </c>
      <c r="B87" s="49">
        <v>0</v>
      </c>
    </row>
    <row r="88" spans="1:2">
      <c r="A88" s="49">
        <v>6.0525000000000002</v>
      </c>
      <c r="B88" s="49">
        <v>6.0525000000000002</v>
      </c>
    </row>
    <row r="89" spans="1:2">
      <c r="A89" s="49">
        <v>0</v>
      </c>
      <c r="B89" s="49">
        <v>0</v>
      </c>
    </row>
    <row r="90" spans="1:2">
      <c r="A90" s="49">
        <v>7.5025000000000004</v>
      </c>
      <c r="B90" s="49">
        <v>7.5025000000000004</v>
      </c>
    </row>
    <row r="91" spans="1:2">
      <c r="A91" s="49">
        <v>0</v>
      </c>
      <c r="B91" s="49">
        <v>0</v>
      </c>
    </row>
    <row r="92" spans="1:2">
      <c r="A92" s="49">
        <v>0</v>
      </c>
      <c r="B92" s="49">
        <v>0</v>
      </c>
    </row>
    <row r="93" spans="1:2">
      <c r="A93" s="49">
        <v>6.13</v>
      </c>
      <c r="B93" s="49">
        <v>6.13</v>
      </c>
    </row>
    <row r="94" spans="1:2">
      <c r="A94" s="49">
        <v>0</v>
      </c>
      <c r="B94" s="49">
        <v>0</v>
      </c>
    </row>
    <row r="95" spans="1:2">
      <c r="A95" s="49">
        <v>3.1349999999999998</v>
      </c>
      <c r="B95" s="49">
        <v>3.1349999999999998</v>
      </c>
    </row>
    <row r="96" spans="1:2">
      <c r="A96" s="49">
        <v>0</v>
      </c>
      <c r="B96" s="49">
        <v>0</v>
      </c>
    </row>
    <row r="97" spans="1:2">
      <c r="A97" s="49">
        <v>0</v>
      </c>
      <c r="B97" s="49">
        <v>0</v>
      </c>
    </row>
    <row r="98" spans="1:2">
      <c r="A98" s="49">
        <v>5.1325000000000003</v>
      </c>
      <c r="B98" s="49">
        <v>5.1325000000000003</v>
      </c>
    </row>
    <row r="99" spans="1:2">
      <c r="A99" s="49">
        <v>0</v>
      </c>
      <c r="B99" s="49">
        <v>0</v>
      </c>
    </row>
    <row r="100" spans="1:2">
      <c r="A100" s="49">
        <v>3.81</v>
      </c>
      <c r="B100" s="49">
        <v>3.81</v>
      </c>
    </row>
    <row r="101" spans="1:2">
      <c r="A101" s="49">
        <v>0</v>
      </c>
      <c r="B101" s="49">
        <v>0</v>
      </c>
    </row>
    <row r="102" spans="1:2">
      <c r="A102" s="49">
        <v>0</v>
      </c>
      <c r="B102" s="49">
        <v>0</v>
      </c>
    </row>
    <row r="103" spans="1:2">
      <c r="A103" s="49">
        <v>2.71</v>
      </c>
      <c r="B103" s="49">
        <v>2.71</v>
      </c>
    </row>
    <row r="104" spans="1:2">
      <c r="A104" s="49">
        <v>0</v>
      </c>
      <c r="B104" s="49">
        <v>0</v>
      </c>
    </row>
    <row r="105" spans="1:2">
      <c r="A105" s="49">
        <v>0</v>
      </c>
      <c r="B105" s="49">
        <v>0</v>
      </c>
    </row>
    <row r="106" spans="1:2">
      <c r="A106" s="49">
        <v>4.4375</v>
      </c>
      <c r="B106" s="49">
        <v>4.4375</v>
      </c>
    </row>
    <row r="107" spans="1:2">
      <c r="A107" s="49">
        <v>0</v>
      </c>
      <c r="B107" s="49">
        <v>0</v>
      </c>
    </row>
    <row r="108" spans="1:2">
      <c r="A108" s="49">
        <v>2.4300000000000002</v>
      </c>
      <c r="B108" s="49">
        <v>2.4300000000000002</v>
      </c>
    </row>
    <row r="109" spans="1:2">
      <c r="A109" s="49">
        <v>0</v>
      </c>
      <c r="B109" s="49">
        <v>0</v>
      </c>
    </row>
    <row r="110" spans="1:2">
      <c r="A110" s="49">
        <v>0</v>
      </c>
      <c r="B110" s="49">
        <v>0</v>
      </c>
    </row>
    <row r="111" spans="1:2">
      <c r="A111" s="49">
        <v>2.4249999999999998</v>
      </c>
      <c r="B111" s="49">
        <v>2.4249999999999998</v>
      </c>
    </row>
    <row r="112" spans="1:2">
      <c r="A112" s="49">
        <v>0</v>
      </c>
      <c r="B112" s="49">
        <v>0</v>
      </c>
    </row>
    <row r="113" spans="1:2">
      <c r="A113" s="49">
        <v>2.4175</v>
      </c>
      <c r="B113" s="49">
        <v>2.4175</v>
      </c>
    </row>
    <row r="114" spans="1:2">
      <c r="A114" s="49">
        <v>0</v>
      </c>
      <c r="B114" s="49">
        <v>0</v>
      </c>
    </row>
    <row r="115" spans="1:2">
      <c r="A115" s="49">
        <v>0</v>
      </c>
      <c r="B115" s="49">
        <v>0</v>
      </c>
    </row>
    <row r="116" spans="1:2">
      <c r="A116" s="49">
        <v>1.68</v>
      </c>
      <c r="B116" s="49">
        <v>1.68</v>
      </c>
    </row>
    <row r="117" spans="1:2">
      <c r="A117" s="49">
        <v>0</v>
      </c>
      <c r="B117" s="49">
        <v>0</v>
      </c>
    </row>
    <row r="118" spans="1:2">
      <c r="A118" s="49">
        <v>0.59750000000000003</v>
      </c>
      <c r="B118" s="49">
        <v>0.59750000000000003</v>
      </c>
    </row>
    <row r="119" spans="1:2">
      <c r="A119" s="49">
        <v>0</v>
      </c>
      <c r="B119" s="49">
        <v>0</v>
      </c>
    </row>
    <row r="120" spans="1:2">
      <c r="A120" s="49">
        <v>0</v>
      </c>
      <c r="B120" s="49">
        <v>0</v>
      </c>
    </row>
    <row r="121" spans="1:2">
      <c r="A121" s="49">
        <v>0.29249999999999998</v>
      </c>
      <c r="B121" s="49">
        <v>0.29249999999999998</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0.19373599999999999</v>
      </c>
      <c r="B2" s="49">
        <v>0.55491900000000005</v>
      </c>
      <c r="C2">
        <v>0</v>
      </c>
      <c r="D2">
        <v>0</v>
      </c>
      <c r="E2" t="s">
        <v>1161</v>
      </c>
      <c r="F2" s="49">
        <f>IF(A2&lt;&gt;"",1,"")</f>
        <v>1</v>
      </c>
      <c r="G2">
        <f>IF($H8&gt;0,LOOKUP(COUNT(A2:A1000)*$H8,F2:F1000,A2:A1000),LOOKUP(1,F2:F1000,A2:A1000))</f>
        <v>0.196052</v>
      </c>
      <c r="H2">
        <f>IF($H8&gt;0,LOOKUP(COUNT(B2:B1000)*$H8,F2:F1000,B2:B1000),LOOKUP(1,F2:F1000,B2:B1000))</f>
        <v>0.55017300000000002</v>
      </c>
      <c r="J2" s="49">
        <f>IF(A2&lt;&gt;"",A2*10,"")</f>
        <v>1.93736</v>
      </c>
      <c r="K2" s="49">
        <f>IF(B2&lt;&gt;"",B2*100,"")</f>
        <v>55.491900000000008</v>
      </c>
      <c r="L2" s="49">
        <f>IF(F2&lt;&gt;"",IF(K2&lt;&gt;0,K2/J2,0),"")</f>
        <v>28.643050336540451</v>
      </c>
    </row>
    <row r="3" spans="1:12">
      <c r="A3" s="49">
        <v>0.196052</v>
      </c>
      <c r="B3" s="49">
        <v>0.55017300000000002</v>
      </c>
      <c r="C3">
        <v>0.35291899999999998</v>
      </c>
      <c r="D3">
        <v>0</v>
      </c>
      <c r="E3" t="s">
        <v>2560</v>
      </c>
      <c r="F3" s="49">
        <f>IF(A3&lt;&gt;"",F2+1,"")</f>
        <v>2</v>
      </c>
      <c r="G3">
        <f>IF($H9&gt;0,LOOKUP(COUNT(A2:A1000)*$H9,F2:F1000,A2:A1000),LOOKUP(1,F2:F1000,A2:A1000))</f>
        <v>0.20735700000000001</v>
      </c>
      <c r="H3">
        <f>IF($H9&gt;0,LOOKUP(COUNT(B2:B1000)*$H9,F2:F1000,B2:B1000),LOOKUP(1,F2:F1000,B2:B1000))</f>
        <v>0.49323499999999998</v>
      </c>
      <c r="J3" s="49">
        <f t="shared" ref="J3:J66" si="0">IF(A3&lt;&gt;"",A3*10,"")</f>
        <v>1.96052</v>
      </c>
      <c r="K3" s="49">
        <f t="shared" ref="K3:K66" si="1">IF(B3&lt;&gt;"",B3*100,"")</f>
        <v>55.017300000000006</v>
      </c>
      <c r="L3" s="49">
        <f t="shared" ref="L3:L66" si="2">IF(F3&lt;&gt;"",IF(K3&lt;&gt;0,K3/J3,0),"")</f>
        <v>28.062605839267135</v>
      </c>
    </row>
    <row r="4" spans="1:12">
      <c r="A4" s="49">
        <v>0.19808799999999999</v>
      </c>
      <c r="B4" s="49">
        <v>0.54597099999999998</v>
      </c>
      <c r="C4">
        <v>0.74329500000000004</v>
      </c>
      <c r="D4">
        <v>0</v>
      </c>
      <c r="E4" t="s">
        <v>2561</v>
      </c>
      <c r="F4" s="49">
        <f t="shared" ref="F4:F67" si="3">IF(A4&lt;&gt;"",F3+1,"")</f>
        <v>3</v>
      </c>
      <c r="G4" s="71" t="s">
        <v>209</v>
      </c>
      <c r="H4" s="23">
        <f>IF(ISERROR(G3-G2)=FALSE,(G3-G2)*10,0)</f>
        <v>0.11305000000000009</v>
      </c>
      <c r="J4" s="49">
        <f t="shared" si="0"/>
        <v>1.98088</v>
      </c>
      <c r="K4" s="49">
        <f t="shared" si="1"/>
        <v>54.597099999999998</v>
      </c>
      <c r="L4" s="49">
        <f t="shared" si="2"/>
        <v>27.56204313234522</v>
      </c>
    </row>
    <row r="5" spans="1:12">
      <c r="A5" s="49">
        <v>0.19983600000000001</v>
      </c>
      <c r="B5" s="49">
        <v>0.54193800000000003</v>
      </c>
      <c r="C5">
        <v>1.16242</v>
      </c>
      <c r="D5">
        <v>0</v>
      </c>
      <c r="E5" t="s">
        <v>2562</v>
      </c>
      <c r="F5" s="49">
        <f t="shared" si="3"/>
        <v>4</v>
      </c>
      <c r="G5" s="71" t="s">
        <v>210</v>
      </c>
      <c r="H5" s="23">
        <f>IF(ISERROR(H3-H2)=FALSE,H3-H2,0)</f>
        <v>-5.6938000000000044E-2</v>
      </c>
      <c r="J5" s="49">
        <f t="shared" si="0"/>
        <v>1.9983600000000001</v>
      </c>
      <c r="K5" s="49">
        <f t="shared" si="1"/>
        <v>54.193800000000003</v>
      </c>
      <c r="L5" s="49">
        <f t="shared" si="2"/>
        <v>27.119137692908183</v>
      </c>
    </row>
    <row r="6" spans="1:12">
      <c r="A6" s="49">
        <v>0.20120099999999999</v>
      </c>
      <c r="B6" s="49">
        <v>0.53857600000000005</v>
      </c>
      <c r="C6">
        <v>1.5821799999999999</v>
      </c>
      <c r="D6">
        <v>0</v>
      </c>
      <c r="E6" t="s">
        <v>2563</v>
      </c>
      <c r="F6" s="49">
        <f t="shared" si="3"/>
        <v>5</v>
      </c>
      <c r="G6" s="71" t="s">
        <v>211</v>
      </c>
      <c r="H6" s="23">
        <f>IF(H4&lt;&gt;0,H5/H4,0)</f>
        <v>-0.50365325077399381</v>
      </c>
      <c r="J6" s="49">
        <f t="shared" si="0"/>
        <v>2.0120100000000001</v>
      </c>
      <c r="K6" s="49">
        <f t="shared" si="1"/>
        <v>53.857600000000005</v>
      </c>
      <c r="L6" s="49">
        <f t="shared" si="2"/>
        <v>26.768057812833934</v>
      </c>
    </row>
    <row r="7" spans="1:12">
      <c r="A7" s="49">
        <v>0.202485</v>
      </c>
      <c r="B7" s="49">
        <v>0.53537299999999999</v>
      </c>
      <c r="C7">
        <v>1.9799800000000001</v>
      </c>
      <c r="D7">
        <v>0</v>
      </c>
      <c r="E7" t="s">
        <v>2564</v>
      </c>
      <c r="F7" s="49">
        <f t="shared" si="3"/>
        <v>6</v>
      </c>
      <c r="G7" s="71" t="s">
        <v>212</v>
      </c>
      <c r="H7" s="23">
        <f>DEGREES(ATAN(H6))</f>
        <v>-26.732259041478006</v>
      </c>
      <c r="J7" s="49">
        <f t="shared" si="0"/>
        <v>2.0248499999999998</v>
      </c>
      <c r="K7" s="49">
        <f t="shared" si="1"/>
        <v>53.537300000000002</v>
      </c>
      <c r="L7" s="49">
        <f t="shared" si="2"/>
        <v>26.44013136775564</v>
      </c>
    </row>
    <row r="8" spans="1:12">
      <c r="A8" s="49">
        <v>0.20389499999999999</v>
      </c>
      <c r="B8" s="49">
        <v>0.53187399999999996</v>
      </c>
      <c r="C8">
        <v>2.3831000000000002</v>
      </c>
      <c r="D8">
        <v>0</v>
      </c>
      <c r="E8" t="s">
        <v>2565</v>
      </c>
      <c r="F8" s="49">
        <f t="shared" si="3"/>
        <v>7</v>
      </c>
      <c r="G8" s="71" t="s">
        <v>213</v>
      </c>
      <c r="H8" s="72">
        <v>0.1</v>
      </c>
      <c r="J8" s="49">
        <f t="shared" si="0"/>
        <v>2.0389499999999998</v>
      </c>
      <c r="K8" s="49">
        <f t="shared" si="1"/>
        <v>53.187399999999997</v>
      </c>
      <c r="L8" s="49">
        <f t="shared" si="2"/>
        <v>26.085681355599696</v>
      </c>
    </row>
    <row r="9" spans="1:12">
      <c r="A9" s="49">
        <v>0.20539399999999999</v>
      </c>
      <c r="B9" s="49">
        <v>0.52834599999999998</v>
      </c>
      <c r="C9">
        <v>2.77068</v>
      </c>
      <c r="D9">
        <v>0</v>
      </c>
      <c r="E9" t="s">
        <v>2566</v>
      </c>
      <c r="F9" s="49">
        <f t="shared" si="3"/>
        <v>8</v>
      </c>
      <c r="G9" s="71" t="s">
        <v>214</v>
      </c>
      <c r="H9" s="72">
        <v>0.9</v>
      </c>
      <c r="J9" s="49">
        <f t="shared" si="0"/>
        <v>2.0539399999999999</v>
      </c>
      <c r="K9" s="49">
        <f t="shared" si="1"/>
        <v>52.834599999999995</v>
      </c>
      <c r="L9" s="49">
        <f t="shared" si="2"/>
        <v>25.723536227932655</v>
      </c>
    </row>
    <row r="10" spans="1:12">
      <c r="A10" s="49">
        <v>0.20682600000000001</v>
      </c>
      <c r="B10" s="49">
        <v>0.524837</v>
      </c>
      <c r="C10">
        <v>3.1752699999999998</v>
      </c>
      <c r="D10">
        <v>0</v>
      </c>
      <c r="E10" t="s">
        <v>2567</v>
      </c>
      <c r="F10" s="49">
        <f t="shared" si="3"/>
        <v>9</v>
      </c>
      <c r="G10" t="s">
        <v>215</v>
      </c>
      <c r="J10" s="49">
        <f t="shared" si="0"/>
        <v>2.06826</v>
      </c>
      <c r="K10" s="49">
        <f t="shared" si="1"/>
        <v>52.483699999999999</v>
      </c>
      <c r="L10" s="49">
        <f t="shared" si="2"/>
        <v>25.375774805875469</v>
      </c>
    </row>
    <row r="11" spans="1:12">
      <c r="A11" s="49">
        <v>0.20825199999999999</v>
      </c>
      <c r="B11" s="49">
        <v>0.521289</v>
      </c>
      <c r="C11">
        <v>3.5893799999999998</v>
      </c>
      <c r="D11">
        <v>0</v>
      </c>
      <c r="E11" t="s">
        <v>2568</v>
      </c>
      <c r="F11" s="49">
        <f t="shared" si="3"/>
        <v>10</v>
      </c>
      <c r="G11" s="71" t="s">
        <v>216</v>
      </c>
      <c r="H11" s="73">
        <f>MIN(B2:B1000)</f>
        <v>0.48769699999999999</v>
      </c>
      <c r="J11" s="49">
        <f t="shared" si="0"/>
        <v>2.0825199999999997</v>
      </c>
      <c r="K11" s="49">
        <f t="shared" si="1"/>
        <v>52.128900000000002</v>
      </c>
      <c r="L11" s="49">
        <f t="shared" si="2"/>
        <v>25.031644353955787</v>
      </c>
    </row>
    <row r="12" spans="1:12">
      <c r="A12" s="49">
        <v>0.20960799999999999</v>
      </c>
      <c r="B12" s="49">
        <v>0.51795000000000002</v>
      </c>
      <c r="C12">
        <v>4.0336999999999996</v>
      </c>
      <c r="D12">
        <v>0</v>
      </c>
      <c r="E12" t="s">
        <v>2569</v>
      </c>
      <c r="F12" s="49">
        <f t="shared" si="3"/>
        <v>11</v>
      </c>
      <c r="G12" s="71" t="s">
        <v>218</v>
      </c>
      <c r="H12" s="73">
        <f>MAX(B2:B1000)</f>
        <v>0.55491900000000005</v>
      </c>
      <c r="J12" s="49">
        <f t="shared" si="0"/>
        <v>2.0960799999999997</v>
      </c>
      <c r="K12" s="49">
        <f t="shared" si="1"/>
        <v>51.795000000000002</v>
      </c>
      <c r="L12" s="49">
        <f t="shared" si="2"/>
        <v>24.710411816342891</v>
      </c>
    </row>
    <row r="13" spans="1:12">
      <c r="A13" s="49">
        <v>0.21095700000000001</v>
      </c>
      <c r="B13" s="49">
        <v>0.51494099999999998</v>
      </c>
      <c r="C13">
        <v>4.3996300000000002</v>
      </c>
      <c r="D13">
        <v>0</v>
      </c>
      <c r="E13" t="s">
        <v>2570</v>
      </c>
      <c r="F13" s="49">
        <f t="shared" si="3"/>
        <v>12</v>
      </c>
      <c r="G13" s="71" t="s">
        <v>220</v>
      </c>
      <c r="H13">
        <f>MATCH($H$11,B2:B1000,0)</f>
        <v>25</v>
      </c>
      <c r="J13" s="49">
        <f t="shared" si="0"/>
        <v>2.1095700000000002</v>
      </c>
      <c r="K13" s="49">
        <f t="shared" si="1"/>
        <v>51.494099999999996</v>
      </c>
      <c r="L13" s="49">
        <f t="shared" si="2"/>
        <v>24.409761230961756</v>
      </c>
    </row>
    <row r="14" spans="1:12">
      <c r="A14" s="49">
        <v>0.21238299999999999</v>
      </c>
      <c r="B14" s="49">
        <v>0.51143799999999995</v>
      </c>
      <c r="C14">
        <v>4.8153100000000002</v>
      </c>
      <c r="D14">
        <v>0</v>
      </c>
      <c r="E14" t="s">
        <v>2571</v>
      </c>
      <c r="F14" s="49">
        <f t="shared" si="3"/>
        <v>13</v>
      </c>
      <c r="G14" s="71" t="s">
        <v>221</v>
      </c>
      <c r="H14">
        <f>MATCH($H$12,B2:B1000,0)</f>
        <v>1</v>
      </c>
      <c r="J14" s="49">
        <f t="shared" si="0"/>
        <v>2.1238299999999999</v>
      </c>
      <c r="K14" s="49">
        <f t="shared" si="1"/>
        <v>51.143799999999992</v>
      </c>
      <c r="L14" s="49">
        <f t="shared" si="2"/>
        <v>24.080929264583322</v>
      </c>
    </row>
    <row r="15" spans="1:12">
      <c r="A15" s="49">
        <v>0.213536</v>
      </c>
      <c r="B15" s="49">
        <v>0.50874299999999995</v>
      </c>
      <c r="C15">
        <v>5.2223600000000001</v>
      </c>
      <c r="D15">
        <v>0</v>
      </c>
      <c r="E15" t="s">
        <v>2572</v>
      </c>
      <c r="F15" s="49">
        <f t="shared" si="3"/>
        <v>14</v>
      </c>
      <c r="G15">
        <f>LOOKUP($H13,F2:F1000,A2:A1000)</f>
        <v>0.203293</v>
      </c>
      <c r="H15">
        <f>LOOKUP($H13,F2:F1000,B2:B1000)</f>
        <v>0.48769699999999999</v>
      </c>
      <c r="J15" s="49">
        <f t="shared" si="0"/>
        <v>2.1353599999999999</v>
      </c>
      <c r="K15" s="49">
        <f t="shared" si="1"/>
        <v>50.874299999999991</v>
      </c>
      <c r="L15" s="49">
        <f t="shared" si="2"/>
        <v>23.824694665068183</v>
      </c>
    </row>
    <row r="16" spans="1:12">
      <c r="A16" s="49">
        <v>0.21435799999999999</v>
      </c>
      <c r="B16" s="49">
        <v>0.50624000000000002</v>
      </c>
      <c r="C16">
        <v>5.6324899999999998</v>
      </c>
      <c r="D16">
        <v>0</v>
      </c>
      <c r="E16" t="s">
        <v>2573</v>
      </c>
      <c r="F16" s="49">
        <f t="shared" si="3"/>
        <v>15</v>
      </c>
      <c r="G16">
        <f>LOOKUP($H14,F2:F1000,A2:A1000)</f>
        <v>0.19373599999999999</v>
      </c>
      <c r="H16">
        <f>LOOKUP($H14,F2:F1000,B2:B1000)</f>
        <v>0.55491900000000005</v>
      </c>
      <c r="J16" s="49">
        <f t="shared" si="0"/>
        <v>2.14358</v>
      </c>
      <c r="K16" s="49">
        <f t="shared" si="1"/>
        <v>50.624000000000002</v>
      </c>
      <c r="L16" s="49">
        <f t="shared" si="2"/>
        <v>23.616566678173896</v>
      </c>
    </row>
    <row r="17" spans="1:12">
      <c r="A17" s="49">
        <v>0.21424000000000001</v>
      </c>
      <c r="B17" s="49">
        <v>0.50393100000000002</v>
      </c>
      <c r="C17">
        <v>6.0301900000000002</v>
      </c>
      <c r="D17">
        <v>0</v>
      </c>
      <c r="E17" t="s">
        <v>2574</v>
      </c>
      <c r="F17" s="49">
        <f t="shared" si="3"/>
        <v>16</v>
      </c>
      <c r="J17" s="49">
        <f t="shared" si="0"/>
        <v>2.1424000000000003</v>
      </c>
      <c r="K17" s="49">
        <f t="shared" si="1"/>
        <v>50.393100000000004</v>
      </c>
      <c r="L17" s="49">
        <f t="shared" si="2"/>
        <v>23.521797983569826</v>
      </c>
    </row>
    <row r="18" spans="1:12">
      <c r="A18" s="49">
        <v>0.21359</v>
      </c>
      <c r="B18" s="49">
        <v>0.50096799999999997</v>
      </c>
      <c r="C18">
        <v>6.4496799999999999</v>
      </c>
      <c r="D18">
        <v>0</v>
      </c>
      <c r="E18" t="s">
        <v>2575</v>
      </c>
      <c r="F18" s="49">
        <f t="shared" si="3"/>
        <v>17</v>
      </c>
      <c r="J18" s="49">
        <f t="shared" si="0"/>
        <v>2.1358999999999999</v>
      </c>
      <c r="K18" s="49">
        <f t="shared" si="1"/>
        <v>50.096799999999995</v>
      </c>
      <c r="L18" s="49">
        <f t="shared" si="2"/>
        <v>23.4546561168594</v>
      </c>
    </row>
    <row r="19" spans="1:12">
      <c r="A19" s="49">
        <v>0.212529</v>
      </c>
      <c r="B19" s="49">
        <v>0.49806</v>
      </c>
      <c r="C19">
        <v>6.85222</v>
      </c>
      <c r="D19">
        <v>0</v>
      </c>
      <c r="E19" t="s">
        <v>2576</v>
      </c>
      <c r="F19" s="49">
        <f t="shared" si="3"/>
        <v>18</v>
      </c>
      <c r="J19" s="49">
        <f t="shared" si="0"/>
        <v>2.1252900000000001</v>
      </c>
      <c r="K19" s="49">
        <f t="shared" si="1"/>
        <v>49.805999999999997</v>
      </c>
      <c r="L19" s="49">
        <f t="shared" si="2"/>
        <v>23.434919469813529</v>
      </c>
    </row>
    <row r="20" spans="1:12">
      <c r="A20" s="49">
        <v>0.211536</v>
      </c>
      <c r="B20" s="49">
        <v>0.49587300000000001</v>
      </c>
      <c r="C20">
        <v>7.2426300000000001</v>
      </c>
      <c r="D20">
        <v>0</v>
      </c>
      <c r="E20" t="s">
        <v>2577</v>
      </c>
      <c r="F20" s="49">
        <f t="shared" si="3"/>
        <v>19</v>
      </c>
      <c r="J20" s="49">
        <f t="shared" si="0"/>
        <v>2.1153599999999999</v>
      </c>
      <c r="K20" s="49">
        <f t="shared" si="1"/>
        <v>49.587299999999999</v>
      </c>
      <c r="L20" s="49">
        <f t="shared" si="2"/>
        <v>23.441541865214433</v>
      </c>
    </row>
    <row r="21" spans="1:12">
      <c r="A21" s="49">
        <v>0.21068000000000001</v>
      </c>
      <c r="B21" s="49">
        <v>0.494869</v>
      </c>
      <c r="C21">
        <v>7.6543099999999997</v>
      </c>
      <c r="D21">
        <v>0</v>
      </c>
      <c r="E21" t="s">
        <v>2578</v>
      </c>
      <c r="F21" s="49">
        <f t="shared" si="3"/>
        <v>20</v>
      </c>
      <c r="J21" s="49">
        <f t="shared" si="0"/>
        <v>2.1068000000000002</v>
      </c>
      <c r="K21" s="49">
        <f t="shared" si="1"/>
        <v>49.486899999999999</v>
      </c>
      <c r="L21" s="49">
        <f t="shared" si="2"/>
        <v>23.489130434782606</v>
      </c>
    </row>
    <row r="22" spans="1:12">
      <c r="A22" s="49">
        <v>0.20938000000000001</v>
      </c>
      <c r="B22" s="49">
        <v>0.49424400000000002</v>
      </c>
      <c r="C22">
        <v>8.04833</v>
      </c>
      <c r="D22">
        <v>0</v>
      </c>
      <c r="E22" t="s">
        <v>2579</v>
      </c>
      <c r="F22" s="49">
        <f t="shared" si="3"/>
        <v>21</v>
      </c>
      <c r="J22" s="49">
        <f t="shared" si="0"/>
        <v>2.0937999999999999</v>
      </c>
      <c r="K22" s="49">
        <f t="shared" si="1"/>
        <v>49.424399999999999</v>
      </c>
      <c r="L22" s="49">
        <f t="shared" si="2"/>
        <v>23.605119877734264</v>
      </c>
    </row>
    <row r="23" spans="1:12">
      <c r="A23" s="49">
        <v>0.20735700000000001</v>
      </c>
      <c r="B23" s="49">
        <v>0.49323499999999998</v>
      </c>
      <c r="C23">
        <v>8.4755699999999994</v>
      </c>
      <c r="D23">
        <v>0</v>
      </c>
      <c r="E23" t="s">
        <v>2580</v>
      </c>
      <c r="F23" s="49">
        <f t="shared" si="3"/>
        <v>22</v>
      </c>
      <c r="J23" s="49">
        <f t="shared" si="0"/>
        <v>2.0735700000000001</v>
      </c>
      <c r="K23" s="49">
        <f t="shared" si="1"/>
        <v>49.323499999999996</v>
      </c>
      <c r="L23" s="49">
        <f t="shared" si="2"/>
        <v>23.786754245094205</v>
      </c>
    </row>
    <row r="24" spans="1:12">
      <c r="A24" s="49">
        <v>0.20553199999999999</v>
      </c>
      <c r="B24" s="49">
        <v>0.49143799999999999</v>
      </c>
      <c r="C24">
        <v>8.8812200000000008</v>
      </c>
      <c r="D24">
        <v>0</v>
      </c>
      <c r="E24" t="s">
        <v>2581</v>
      </c>
      <c r="F24" s="49">
        <f t="shared" si="3"/>
        <v>23</v>
      </c>
      <c r="G24" t="s">
        <v>245</v>
      </c>
      <c r="H24">
        <f>COUNT(A2:A2000)</f>
        <v>25</v>
      </c>
      <c r="J24" s="49">
        <f t="shared" si="0"/>
        <v>2.05532</v>
      </c>
      <c r="K24" s="49">
        <f t="shared" si="1"/>
        <v>49.143799999999999</v>
      </c>
      <c r="L24" s="49">
        <f t="shared" si="2"/>
        <v>23.910534612615066</v>
      </c>
    </row>
    <row r="25" spans="1:12">
      <c r="A25" s="49">
        <v>0.20458799999999999</v>
      </c>
      <c r="B25" s="49">
        <v>0.48907299999999998</v>
      </c>
      <c r="C25">
        <v>9.27942</v>
      </c>
      <c r="D25">
        <v>0</v>
      </c>
      <c r="E25" t="s">
        <v>2582</v>
      </c>
      <c r="F25" s="49">
        <f t="shared" si="3"/>
        <v>24</v>
      </c>
      <c r="J25" s="49">
        <f t="shared" si="0"/>
        <v>2.0458799999999999</v>
      </c>
      <c r="K25" s="49">
        <f t="shared" si="1"/>
        <v>48.907299999999999</v>
      </c>
      <c r="L25" s="49">
        <f t="shared" si="2"/>
        <v>23.905263260797309</v>
      </c>
    </row>
    <row r="26" spans="1:12">
      <c r="A26" s="49">
        <v>0.203293</v>
      </c>
      <c r="B26" s="49">
        <v>0.48769699999999999</v>
      </c>
      <c r="C26">
        <v>9.6802499999999991</v>
      </c>
      <c r="D26">
        <v>0</v>
      </c>
      <c r="E26" t="s">
        <v>2583</v>
      </c>
      <c r="F26" s="49">
        <f t="shared" si="3"/>
        <v>25</v>
      </c>
      <c r="J26" s="49">
        <f t="shared" si="0"/>
        <v>2.0329299999999999</v>
      </c>
      <c r="K26" s="49">
        <f t="shared" si="1"/>
        <v>48.7697</v>
      </c>
      <c r="L26" s="49">
        <f t="shared" si="2"/>
        <v>23.989857004422191</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45819.775937500002</v>
      </c>
      <c r="B2" t="s">
        <v>2584</v>
      </c>
      <c r="C2" s="49"/>
      <c r="D2" s="49"/>
      <c r="E2" s="49">
        <v>4.8833399999999996</v>
      </c>
      <c r="F2" s="49">
        <v>1.0125999999999999</v>
      </c>
      <c r="G2" s="49">
        <v>0.49494199999999999</v>
      </c>
      <c r="H2" s="49">
        <v>0</v>
      </c>
      <c r="I2" s="49">
        <v>13.967499999999999</v>
      </c>
      <c r="J2" s="49">
        <v>34</v>
      </c>
      <c r="K2" s="49">
        <v>34</v>
      </c>
      <c r="L2" s="49">
        <v>100</v>
      </c>
      <c r="M2" s="521" t="s">
        <v>1549</v>
      </c>
      <c r="O2" s="565" t="str">
        <f>IF(FH_info!B2="","",TRIM(MID(SUBSTITUTE(FH_info!B2,"^",REPT(" ",LEN(FH_info!B2))),LEN(FH_info!B2)*2-LEN(FH_info!B2)+1,LEN(FH_info!B2))))</f>
        <v>nFQ6</v>
      </c>
      <c r="P2" s="565" t="str">
        <f>IF(FH_info!O2="","",TRIM(MID(SUBSTITUTE(FH_info!O2," ",REPT(" ",LEN(FH_info!O2))),LEN(FH_info!O2)*1-LEN(FH_info!O2)+1,LEN(FH_info!O2))))</f>
        <v>nFQ6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13.967499999999999</v>
      </c>
      <c r="D2">
        <f>MAX(B2:B257)</f>
        <v>425.46667500000001</v>
      </c>
      <c r="G2" t="s">
        <v>1590</v>
      </c>
      <c r="H2">
        <v>4.8833419999999998</v>
      </c>
      <c r="I2">
        <v>13.967499999999999</v>
      </c>
      <c r="J2">
        <v>0</v>
      </c>
      <c r="K2">
        <v>34</v>
      </c>
      <c r="L2">
        <v>34</v>
      </c>
      <c r="M2">
        <v>1.0125949999999999</v>
      </c>
      <c r="N2">
        <v>0.49494199999999999</v>
      </c>
      <c r="O2">
        <v>0.24496699999999999</v>
      </c>
    </row>
    <row r="3" spans="1:15">
      <c r="A3">
        <v>0</v>
      </c>
      <c r="B3">
        <v>0</v>
      </c>
      <c r="G3" t="s">
        <v>1591</v>
      </c>
      <c r="H3">
        <v>4.8833419999999998</v>
      </c>
      <c r="I3">
        <v>425.46667500000001</v>
      </c>
      <c r="J3">
        <v>0</v>
      </c>
      <c r="K3">
        <v>6</v>
      </c>
      <c r="L3">
        <v>6</v>
      </c>
      <c r="M3">
        <v>0.30961300000000003</v>
      </c>
      <c r="N3">
        <v>0.26234299999999999</v>
      </c>
      <c r="O3">
        <v>6.8823999999999996E-2</v>
      </c>
    </row>
    <row r="4" spans="1:15">
      <c r="A4">
        <v>0</v>
      </c>
      <c r="B4">
        <v>0</v>
      </c>
    </row>
    <row r="5" spans="1:15">
      <c r="A5">
        <v>0.45</v>
      </c>
      <c r="B5">
        <v>405.97866800000003</v>
      </c>
    </row>
    <row r="6" spans="1:15">
      <c r="A6">
        <v>0</v>
      </c>
      <c r="B6">
        <v>0</v>
      </c>
    </row>
    <row r="7" spans="1:15">
      <c r="A7">
        <v>0</v>
      </c>
      <c r="B7">
        <v>0</v>
      </c>
    </row>
    <row r="8" spans="1:15">
      <c r="A8">
        <v>1.7</v>
      </c>
      <c r="B8">
        <v>425.46667500000001</v>
      </c>
    </row>
    <row r="9" spans="1:15">
      <c r="A9">
        <v>0</v>
      </c>
      <c r="B9">
        <v>0</v>
      </c>
    </row>
    <row r="10" spans="1:15">
      <c r="A10">
        <v>5.0199999999999996</v>
      </c>
      <c r="B10">
        <v>325.34533699999997</v>
      </c>
    </row>
    <row r="11" spans="1:15">
      <c r="A11">
        <v>0</v>
      </c>
      <c r="B11">
        <v>0</v>
      </c>
    </row>
    <row r="12" spans="1:15">
      <c r="A12">
        <v>0</v>
      </c>
      <c r="B12">
        <v>0</v>
      </c>
    </row>
    <row r="13" spans="1:15">
      <c r="A13">
        <v>6.2074999999999996</v>
      </c>
      <c r="B13">
        <v>295.39599600000003</v>
      </c>
    </row>
    <row r="14" spans="1:15">
      <c r="A14">
        <v>0</v>
      </c>
      <c r="B14">
        <v>0</v>
      </c>
    </row>
    <row r="15" spans="1:15">
      <c r="A15">
        <v>5.8324999999999996</v>
      </c>
      <c r="B15">
        <v>253.16532900000001</v>
      </c>
    </row>
    <row r="16" spans="1:15">
      <c r="A16">
        <v>0</v>
      </c>
      <c r="B16">
        <v>0</v>
      </c>
    </row>
    <row r="17" spans="1:2">
      <c r="A17">
        <v>0</v>
      </c>
      <c r="B17">
        <v>0</v>
      </c>
    </row>
    <row r="18" spans="1:2">
      <c r="A18">
        <v>5.6875</v>
      </c>
      <c r="B18">
        <v>219.869339</v>
      </c>
    </row>
    <row r="19" spans="1:2">
      <c r="A19">
        <v>0</v>
      </c>
      <c r="B19">
        <v>0</v>
      </c>
    </row>
    <row r="20" spans="1:2">
      <c r="A20">
        <v>0</v>
      </c>
      <c r="B20">
        <v>0</v>
      </c>
    </row>
    <row r="21" spans="1:2">
      <c r="A21">
        <v>8.3925000000000001</v>
      </c>
      <c r="B21">
        <v>182.493347</v>
      </c>
    </row>
    <row r="22" spans="1:2">
      <c r="A22">
        <v>0</v>
      </c>
      <c r="B22">
        <v>0</v>
      </c>
    </row>
    <row r="23" spans="1:2">
      <c r="A23">
        <v>8.7825000000000006</v>
      </c>
      <c r="B23">
        <v>143.90266399999999</v>
      </c>
    </row>
    <row r="24" spans="1:2">
      <c r="A24">
        <v>0</v>
      </c>
      <c r="B24">
        <v>0</v>
      </c>
    </row>
    <row r="25" spans="1:2">
      <c r="A25">
        <v>0</v>
      </c>
      <c r="B25">
        <v>0</v>
      </c>
    </row>
    <row r="26" spans="1:2">
      <c r="A26">
        <v>12.1875</v>
      </c>
      <c r="B26">
        <v>111.813332</v>
      </c>
    </row>
    <row r="27" spans="1:2">
      <c r="A27">
        <v>0</v>
      </c>
      <c r="B27">
        <v>0</v>
      </c>
    </row>
    <row r="28" spans="1:2">
      <c r="A28">
        <v>12.827500000000001</v>
      </c>
      <c r="B28">
        <v>88.930663999999993</v>
      </c>
    </row>
    <row r="29" spans="1:2">
      <c r="A29">
        <v>0</v>
      </c>
      <c r="B29">
        <v>0</v>
      </c>
    </row>
    <row r="30" spans="1:2">
      <c r="A30">
        <v>0</v>
      </c>
      <c r="B30">
        <v>0</v>
      </c>
    </row>
    <row r="31" spans="1:2">
      <c r="A31">
        <v>11.8375</v>
      </c>
      <c r="B31">
        <v>73.687995999999998</v>
      </c>
    </row>
    <row r="32" spans="1:2">
      <c r="A32">
        <v>0</v>
      </c>
      <c r="B32">
        <v>0</v>
      </c>
    </row>
    <row r="33" spans="1:2">
      <c r="A33">
        <v>12.1325</v>
      </c>
      <c r="B33">
        <v>60.423999999999999</v>
      </c>
    </row>
    <row r="34" spans="1:2">
      <c r="A34">
        <v>0</v>
      </c>
      <c r="B34">
        <v>0</v>
      </c>
    </row>
    <row r="35" spans="1:2">
      <c r="A35">
        <v>0</v>
      </c>
      <c r="B35">
        <v>0</v>
      </c>
    </row>
    <row r="36" spans="1:2">
      <c r="A36">
        <v>13.967499999999999</v>
      </c>
      <c r="B36">
        <v>51.250667999999997</v>
      </c>
    </row>
    <row r="37" spans="1:2">
      <c r="A37">
        <v>0</v>
      </c>
      <c r="B37">
        <v>0</v>
      </c>
    </row>
    <row r="38" spans="1:2">
      <c r="A38">
        <v>0</v>
      </c>
      <c r="B38">
        <v>0</v>
      </c>
    </row>
    <row r="39" spans="1:2">
      <c r="A39">
        <v>13.567500000000001</v>
      </c>
      <c r="B39">
        <v>41.592002999999998</v>
      </c>
    </row>
    <row r="40" spans="1:2">
      <c r="A40">
        <v>0</v>
      </c>
      <c r="B40">
        <v>0</v>
      </c>
    </row>
    <row r="41" spans="1:2">
      <c r="A41">
        <v>11.7675</v>
      </c>
      <c r="B41">
        <v>36.685333</v>
      </c>
    </row>
    <row r="42" spans="1:2">
      <c r="A42">
        <v>0</v>
      </c>
      <c r="B42">
        <v>0</v>
      </c>
    </row>
    <row r="43" spans="1:2">
      <c r="A43">
        <v>0</v>
      </c>
      <c r="B43">
        <v>0</v>
      </c>
    </row>
    <row r="44" spans="1:2">
      <c r="A44">
        <v>12.8375</v>
      </c>
      <c r="B44">
        <v>31.860001</v>
      </c>
    </row>
    <row r="45" spans="1:2">
      <c r="A45">
        <v>0</v>
      </c>
      <c r="B45">
        <v>0</v>
      </c>
    </row>
    <row r="46" spans="1:2">
      <c r="A46">
        <v>11.105</v>
      </c>
      <c r="B46">
        <v>25.847999999999999</v>
      </c>
    </row>
    <row r="47" spans="1:2">
      <c r="A47">
        <v>0</v>
      </c>
      <c r="B47">
        <v>0</v>
      </c>
    </row>
    <row r="48" spans="1:2">
      <c r="A48">
        <v>0</v>
      </c>
      <c r="B48">
        <v>0</v>
      </c>
    </row>
    <row r="49" spans="1:2">
      <c r="A49">
        <v>12.3125</v>
      </c>
      <c r="B49">
        <v>22.206666999999999</v>
      </c>
    </row>
    <row r="50" spans="1:2">
      <c r="A50">
        <v>0</v>
      </c>
      <c r="B50">
        <v>0</v>
      </c>
    </row>
    <row r="51" spans="1:2">
      <c r="A51">
        <v>12.3025</v>
      </c>
      <c r="B51">
        <v>17.872</v>
      </c>
    </row>
    <row r="52" spans="1:2">
      <c r="A52">
        <v>0</v>
      </c>
      <c r="B52">
        <v>0</v>
      </c>
    </row>
    <row r="53" spans="1:2">
      <c r="A53">
        <v>0</v>
      </c>
      <c r="B53">
        <v>0</v>
      </c>
    </row>
    <row r="54" spans="1:2">
      <c r="A54">
        <v>13.157500000000001</v>
      </c>
      <c r="B54">
        <v>15.909333</v>
      </c>
    </row>
    <row r="55" spans="1:2">
      <c r="A55">
        <v>0</v>
      </c>
      <c r="B55">
        <v>0</v>
      </c>
    </row>
    <row r="56" spans="1:2">
      <c r="A56">
        <v>0</v>
      </c>
      <c r="B56">
        <v>0</v>
      </c>
    </row>
    <row r="57" spans="1:2">
      <c r="A57">
        <v>12.3675</v>
      </c>
      <c r="B57">
        <v>13.193334</v>
      </c>
    </row>
    <row r="58" spans="1:2">
      <c r="A58">
        <v>0</v>
      </c>
      <c r="B58">
        <v>0</v>
      </c>
    </row>
    <row r="59" spans="1:2">
      <c r="A59">
        <v>12.6775</v>
      </c>
      <c r="B59">
        <v>11.44</v>
      </c>
    </row>
    <row r="60" spans="1:2">
      <c r="A60">
        <v>0</v>
      </c>
      <c r="B60">
        <v>0</v>
      </c>
    </row>
    <row r="61" spans="1:2">
      <c r="A61">
        <v>0</v>
      </c>
      <c r="B61">
        <v>0</v>
      </c>
    </row>
    <row r="62" spans="1:2">
      <c r="A62">
        <v>11.342499999999999</v>
      </c>
      <c r="B62">
        <v>9.8506660000000004</v>
      </c>
    </row>
    <row r="63" spans="1:2">
      <c r="A63">
        <v>0</v>
      </c>
      <c r="B63">
        <v>0</v>
      </c>
    </row>
    <row r="64" spans="1:2">
      <c r="A64">
        <v>11.157500000000001</v>
      </c>
      <c r="B64">
        <v>8.2226669999999995</v>
      </c>
    </row>
    <row r="65" spans="1:2">
      <c r="A65">
        <v>0</v>
      </c>
      <c r="B65">
        <v>0</v>
      </c>
    </row>
    <row r="66" spans="1:2">
      <c r="A66">
        <v>0</v>
      </c>
      <c r="B66">
        <v>0</v>
      </c>
    </row>
    <row r="67" spans="1:2">
      <c r="A67">
        <v>9.0050000000000008</v>
      </c>
      <c r="B67">
        <v>7.1293329999999999</v>
      </c>
    </row>
    <row r="68" spans="1:2">
      <c r="A68">
        <v>0</v>
      </c>
      <c r="B68">
        <v>0</v>
      </c>
    </row>
    <row r="69" spans="1:2">
      <c r="A69">
        <v>9.0675000000000008</v>
      </c>
      <c r="B69">
        <v>5.7533329999999996</v>
      </c>
    </row>
    <row r="70" spans="1:2">
      <c r="A70">
        <v>0</v>
      </c>
      <c r="B70">
        <v>0</v>
      </c>
    </row>
    <row r="71" spans="1:2">
      <c r="A71">
        <v>0</v>
      </c>
      <c r="B71">
        <v>0</v>
      </c>
    </row>
    <row r="72" spans="1:2">
      <c r="A72">
        <v>8.81</v>
      </c>
      <c r="B72">
        <v>5.290667</v>
      </c>
    </row>
    <row r="73" spans="1:2">
      <c r="A73">
        <v>0</v>
      </c>
      <c r="B73">
        <v>0</v>
      </c>
    </row>
    <row r="74" spans="1:2">
      <c r="A74">
        <v>0</v>
      </c>
      <c r="B74">
        <v>0</v>
      </c>
    </row>
    <row r="75" spans="1:2">
      <c r="A75">
        <v>7.6775000000000002</v>
      </c>
      <c r="B75">
        <v>4.08</v>
      </c>
    </row>
    <row r="76" spans="1:2">
      <c r="A76">
        <v>0</v>
      </c>
      <c r="B76">
        <v>0</v>
      </c>
    </row>
    <row r="77" spans="1:2">
      <c r="A77">
        <v>9.76</v>
      </c>
      <c r="B77">
        <v>3.5</v>
      </c>
    </row>
    <row r="78" spans="1:2">
      <c r="A78">
        <v>0</v>
      </c>
      <c r="B78">
        <v>0</v>
      </c>
    </row>
    <row r="79" spans="1:2">
      <c r="A79">
        <v>0</v>
      </c>
      <c r="B79">
        <v>0</v>
      </c>
    </row>
    <row r="80" spans="1:2">
      <c r="A80">
        <v>9.1875</v>
      </c>
      <c r="B80">
        <v>2.8506670000000001</v>
      </c>
    </row>
    <row r="81" spans="1:2">
      <c r="A81">
        <v>0</v>
      </c>
      <c r="B81">
        <v>0</v>
      </c>
    </row>
    <row r="82" spans="1:2">
      <c r="A82">
        <v>7.96</v>
      </c>
      <c r="B82">
        <v>2.2599999999999998</v>
      </c>
    </row>
    <row r="83" spans="1:2">
      <c r="A83">
        <v>0</v>
      </c>
      <c r="B83">
        <v>0</v>
      </c>
    </row>
    <row r="84" spans="1:2">
      <c r="A84">
        <v>0</v>
      </c>
      <c r="B84">
        <v>0</v>
      </c>
    </row>
    <row r="85" spans="1:2">
      <c r="A85">
        <v>8.1274999999999995</v>
      </c>
      <c r="B85">
        <v>1.6240000000000001</v>
      </c>
    </row>
    <row r="86" spans="1:2">
      <c r="A86">
        <v>0</v>
      </c>
      <c r="B86">
        <v>0</v>
      </c>
    </row>
    <row r="87" spans="1:2">
      <c r="A87">
        <v>0</v>
      </c>
      <c r="B87">
        <v>0</v>
      </c>
    </row>
    <row r="88" spans="1:2">
      <c r="A88">
        <v>6.0525000000000002</v>
      </c>
      <c r="B88">
        <v>1.294667</v>
      </c>
    </row>
    <row r="89" spans="1:2">
      <c r="A89">
        <v>0</v>
      </c>
      <c r="B89">
        <v>0</v>
      </c>
    </row>
    <row r="90" spans="1:2">
      <c r="A90">
        <v>7.5025000000000004</v>
      </c>
      <c r="B90">
        <v>0.82666700000000004</v>
      </c>
    </row>
    <row r="91" spans="1:2">
      <c r="A91">
        <v>0</v>
      </c>
      <c r="B91">
        <v>0</v>
      </c>
    </row>
    <row r="92" spans="1:2">
      <c r="A92">
        <v>0</v>
      </c>
      <c r="B92">
        <v>0</v>
      </c>
    </row>
    <row r="93" spans="1:2">
      <c r="A93">
        <v>6.13</v>
      </c>
      <c r="B93">
        <v>0.64</v>
      </c>
    </row>
    <row r="94" spans="1:2">
      <c r="A94">
        <v>0</v>
      </c>
      <c r="B94">
        <v>0</v>
      </c>
    </row>
    <row r="95" spans="1:2">
      <c r="A95">
        <v>3.1349999999999998</v>
      </c>
      <c r="B95">
        <v>0.41733300000000001</v>
      </c>
    </row>
    <row r="96" spans="1:2">
      <c r="A96">
        <v>0</v>
      </c>
      <c r="B96">
        <v>0</v>
      </c>
    </row>
    <row r="97" spans="1:2">
      <c r="A97">
        <v>0</v>
      </c>
      <c r="B97">
        <v>0</v>
      </c>
    </row>
    <row r="98" spans="1:2">
      <c r="A98">
        <v>5.1325000000000003</v>
      </c>
      <c r="B98">
        <v>0.30399999999999999</v>
      </c>
    </row>
    <row r="99" spans="1:2">
      <c r="A99">
        <v>0</v>
      </c>
      <c r="B99">
        <v>0</v>
      </c>
    </row>
    <row r="100" spans="1:2">
      <c r="A100">
        <v>3.81</v>
      </c>
      <c r="B100">
        <v>0.222667</v>
      </c>
    </row>
    <row r="101" spans="1:2">
      <c r="A101">
        <v>0</v>
      </c>
      <c r="B101">
        <v>0</v>
      </c>
    </row>
    <row r="102" spans="1:2">
      <c r="A102">
        <v>0</v>
      </c>
      <c r="B102">
        <v>0</v>
      </c>
    </row>
    <row r="103" spans="1:2">
      <c r="A103">
        <v>2.71</v>
      </c>
      <c r="B103">
        <v>0.23599999999999999</v>
      </c>
    </row>
    <row r="104" spans="1:2">
      <c r="A104">
        <v>0</v>
      </c>
      <c r="B104">
        <v>0</v>
      </c>
    </row>
    <row r="105" spans="1:2">
      <c r="A105">
        <v>0</v>
      </c>
      <c r="B105">
        <v>0</v>
      </c>
    </row>
    <row r="106" spans="1:2">
      <c r="A106">
        <v>4.4375</v>
      </c>
      <c r="B106">
        <v>7.4666999999999997E-2</v>
      </c>
    </row>
    <row r="107" spans="1:2">
      <c r="A107">
        <v>0</v>
      </c>
      <c r="B107">
        <v>0</v>
      </c>
    </row>
    <row r="108" spans="1:2">
      <c r="A108">
        <v>2.4300000000000002</v>
      </c>
      <c r="B108">
        <v>4.5332999999999998E-2</v>
      </c>
    </row>
    <row r="109" spans="1:2">
      <c r="A109">
        <v>0</v>
      </c>
      <c r="B109">
        <v>0</v>
      </c>
    </row>
    <row r="110" spans="1:2">
      <c r="A110">
        <v>0</v>
      </c>
      <c r="B110">
        <v>0</v>
      </c>
    </row>
    <row r="111" spans="1:2">
      <c r="A111">
        <v>2.4249999999999998</v>
      </c>
      <c r="B111">
        <v>1.2E-2</v>
      </c>
    </row>
    <row r="112" spans="1:2">
      <c r="A112">
        <v>0</v>
      </c>
      <c r="B112">
        <v>0</v>
      </c>
    </row>
    <row r="113" spans="1:2">
      <c r="A113">
        <v>2.4175</v>
      </c>
      <c r="B113">
        <v>8.0000000000000002E-3</v>
      </c>
    </row>
    <row r="114" spans="1:2">
      <c r="A114">
        <v>0</v>
      </c>
      <c r="B114">
        <v>0</v>
      </c>
    </row>
    <row r="115" spans="1:2">
      <c r="A115">
        <v>0</v>
      </c>
      <c r="B115">
        <v>0</v>
      </c>
    </row>
    <row r="116" spans="1:2">
      <c r="A116">
        <v>1.68</v>
      </c>
      <c r="B116">
        <v>0.02</v>
      </c>
    </row>
    <row r="117" spans="1:2">
      <c r="A117">
        <v>0</v>
      </c>
      <c r="B117">
        <v>0</v>
      </c>
    </row>
    <row r="118" spans="1:2">
      <c r="A118">
        <v>0.59750000000000003</v>
      </c>
      <c r="B118">
        <v>1.333E-3</v>
      </c>
    </row>
    <row r="119" spans="1:2">
      <c r="A119">
        <v>0</v>
      </c>
      <c r="B119">
        <v>0</v>
      </c>
    </row>
    <row r="120" spans="1:2">
      <c r="A120">
        <v>0</v>
      </c>
      <c r="B120">
        <v>0</v>
      </c>
    </row>
    <row r="121" spans="1:2">
      <c r="A121">
        <v>0.29249999999999998</v>
      </c>
      <c r="B121">
        <v>4.0000000000000001E-3</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1.15986690797171
1.16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1.159866907971715</v>
      </c>
      <c r="I4" s="322">
        <f>IF(Measurement!AQ7&lt;&gt;"",NORMSDIST((H6-$B$2)/$B$3)*100,"")</f>
        <v>81.310308292078943</v>
      </c>
      <c r="J4" t="str">
        <f>Measurement!AR7</f>
        <v>건강</v>
      </c>
    </row>
    <row r="5" spans="1:11">
      <c r="B5" s="171">
        <v>-10</v>
      </c>
      <c r="C5" s="171">
        <f>NORMSDIST(($B5-$B$2)/$B$3)*100</f>
        <v>7.1097265868555281E-5</v>
      </c>
      <c r="G5" t="s">
        <v>1539</v>
      </c>
      <c r="H5" s="320">
        <f>IF(Measurement!AQ7&lt;-7,-7,Measurement!AQ7)</f>
        <v>1.159866907971715</v>
      </c>
      <c r="I5" s="321">
        <f>IF(Measurement!AQ7&lt;&gt;"",0,"")</f>
        <v>0</v>
      </c>
    </row>
    <row r="6" spans="1:11">
      <c r="B6" s="171">
        <f>B5+0.1</f>
        <v>-9.9</v>
      </c>
      <c r="C6" s="171">
        <f t="shared" ref="C6:C57" si="0">NORMSDIST(($B6-$B$2)/$B$3)*100</f>
        <v>9.1781224195367343E-5</v>
      </c>
      <c r="H6" s="320">
        <f>IF(Measurement!AQ7&lt;-7,-7,Measurement!AQ7)</f>
        <v>1.159866907971715</v>
      </c>
      <c r="I6" s="321">
        <f>IF(Measurement!AQ7&lt;&gt;"",NORMSDIST((H6-$B$2)/$B$3)*100,"")</f>
        <v>81.310308292078943</v>
      </c>
    </row>
    <row r="7" spans="1:11">
      <c r="B7" s="171">
        <f t="shared" ref="B7:B70" si="1">B6+0.1</f>
        <v>-9.8000000000000007</v>
      </c>
      <c r="C7" s="171">
        <f t="shared" si="0"/>
        <v>1.1818368021892541E-4</v>
      </c>
      <c r="D7" s="171"/>
      <c r="H7" s="320">
        <f>IF(Measurement!AQ7&lt;&gt;"",-7,"")</f>
        <v>-7</v>
      </c>
      <c r="I7" s="321">
        <f>IF(Measurement!AQ7&lt;&gt;"",NORMSDIST((H6-$B$2)/$B$3)*100,"")</f>
        <v>81.310308292078943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56.71</v>
      </c>
      <c r="V4" t="s">
        <v>1218</v>
      </c>
    </row>
    <row r="5" spans="1:29">
      <c r="B5" s="171">
        <v>0</v>
      </c>
      <c r="C5" s="171">
        <f>NORMSDIST(($B5-$B$2)/$B$3)*100</f>
        <v>1.2153167836658598</v>
      </c>
      <c r="H5">
        <f>info!W36</f>
        <v>56.708120000000001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56.708120000000001</v>
      </c>
      <c r="I6" s="171">
        <f>NORMSDIST((H6-$B$2)/$B$3)*100</f>
        <v>61.873783667566784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61.873783667566784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1.0125999999999999</v>
      </c>
    </row>
    <row r="3" spans="1:11" ht="18">
      <c r="A3" s="71" t="s">
        <v>1065</v>
      </c>
      <c r="B3" s="557">
        <v>0.71290976993199895</v>
      </c>
      <c r="C3" s="523"/>
      <c r="H3" s="561" t="s">
        <v>2223</v>
      </c>
      <c r="I3" s="562">
        <f>IF(I2=0,0,NORMSDIST((I2-$B$2)/$B$3)*100)</f>
        <v>10.661039541187577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1.01</v>
      </c>
    </row>
    <row r="6" spans="1:11">
      <c r="B6" s="23">
        <v>0</v>
      </c>
      <c r="C6" s="23">
        <f>NORMSDIST(($B6-$B$2)/$B$3)*100</f>
        <v>0.38478836223957635</v>
      </c>
      <c r="H6" s="205">
        <f>IF(info!V36&gt;I1,I1,info!V36)</f>
        <v>1.0125999999999999</v>
      </c>
      <c r="I6" s="560">
        <v>0</v>
      </c>
    </row>
    <row r="7" spans="1:11">
      <c r="B7" s="23">
        <f>B5+0.05</f>
        <v>0</v>
      </c>
      <c r="C7" s="23">
        <f t="shared" ref="C7:E58" si="0">NORMSDIST(($B7-$B$2)/$B$3)*100</f>
        <v>0.38478836223957635</v>
      </c>
      <c r="H7" s="205">
        <f>IF(info!V36&gt;I1,I1,info!V36)</f>
        <v>1.0125999999999999</v>
      </c>
      <c r="I7" s="560">
        <f>NORMSDIST((H7-$B$2)/$B$3)*100</f>
        <v>10.661039541187577</v>
      </c>
    </row>
    <row r="8" spans="1:11">
      <c r="B8" s="23">
        <f t="shared" ref="B8:B71" si="1">B7+0.05</f>
        <v>0.05</v>
      </c>
      <c r="C8" s="23">
        <f t="shared" si="0"/>
        <v>0.47295624138584591</v>
      </c>
      <c r="D8" s="171"/>
      <c r="H8" s="205">
        <v>0</v>
      </c>
      <c r="I8" s="560">
        <f>NORMSDIST((H7-$B$2)/$B$3)*100</f>
        <v>10.661039541187577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감정변이도1.01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1.0125999999999999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1.0125999999999999</v>
      </c>
      <c r="I6" s="171">
        <f>NORMSDIST((H6-$B$2)/$B$3)*100</f>
        <v>3.4004779539141085E-2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3.4004779539141085E-2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45819.775937500002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nFQ6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3</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45819.775937500002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2025-06-11T09:37:40Z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