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FC4BAE0B-DC81-46A3-B7CB-B00C215D4885}" xr6:coauthVersionLast="47" xr6:coauthVersionMax="47" xr10:uidLastSave="{00000000-0000-0000-0000-000000000000}"/>
  <bookViews>
    <workbookView xWindow="-120" yWindow="-120" windowWidth="29040" windowHeight="16440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H3" i="3"/>
  <c r="E8" i="3"/>
  <c r="E6" i="3"/>
  <c r="E29" i="2"/>
  <c r="E30" i="2"/>
  <c r="E31" i="2"/>
  <c r="E32" i="2"/>
  <c r="E33" i="2"/>
  <c r="E34" i="2"/>
  <c r="E23" i="2"/>
  <c r="E13" i="2"/>
  <c r="E31" i="1"/>
  <c r="E33" i="1"/>
  <c r="E34" i="1"/>
  <c r="E35" i="1"/>
  <c r="E36" i="1"/>
  <c r="E37" i="1"/>
  <c r="E38" i="1"/>
  <c r="E39" i="1"/>
  <c r="E40" i="1"/>
  <c r="E25" i="1"/>
  <c r="E26" i="1"/>
  <c r="E27" i="1"/>
  <c r="E28" i="1"/>
  <c r="E29" i="1"/>
  <c r="E30" i="1"/>
  <c r="E22" i="2"/>
  <c r="E24" i="2"/>
  <c r="E25" i="2"/>
  <c r="E26" i="2"/>
  <c r="E27" i="2"/>
  <c r="E28" i="2"/>
  <c r="D21" i="2"/>
  <c r="D16" i="2"/>
  <c r="D20" i="2"/>
  <c r="D18" i="2"/>
  <c r="D19" i="2"/>
  <c r="D17" i="2"/>
  <c r="E19" i="2"/>
  <c r="E20" i="2"/>
  <c r="E21" i="2"/>
  <c r="E14" i="2"/>
  <c r="E15" i="2"/>
  <c r="E16" i="2"/>
  <c r="E17" i="2"/>
  <c r="E18" i="2"/>
  <c r="E12" i="2"/>
  <c r="E4" i="6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7" i="3"/>
  <c r="H2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9" i="1"/>
  <c r="E10" i="1"/>
  <c r="E11" i="1"/>
  <c r="E12" i="1"/>
  <c r="E13" i="1"/>
  <c r="E14" i="1"/>
  <c r="E6" i="1"/>
  <c r="E5" i="1"/>
  <c r="E7" i="1"/>
  <c r="E3" i="1"/>
  <c r="E4" i="1"/>
  <c r="E2" i="1"/>
  <c r="B2" i="2" l="1"/>
  <c r="H3" i="6"/>
  <c r="H3" i="7"/>
  <c r="H10" i="1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<sst xmlns="http://schemas.openxmlformats.org/spreadsheetml/2006/main" count="161" uniqueCount="95">
  <si>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</si>
  <si>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</si>
  <si>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</si>
  <si>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</si>
  <si>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</si>
  <si>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</si>
  <si>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</si>
  <si>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</si>
  <si>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</si>
  <si>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</si>
  <si>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</si>
  <si>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</si>
  <si>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</si>
  <si>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</si>
  <si>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</si>
  <si>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</si>
  <si>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</si>
  <si>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</si>
  <si>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</si>
  <si>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</si>
  <si>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</si>
  <si>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</si>
  <si>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</si>
  <si>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</si>
  <si>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</si>
  <si>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</si>
  <si>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</si>
  <si>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</si>
  <si>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</si>
  <si>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</si>
  <si>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</si>
  <si>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</si>
  <si>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</si>
  <si>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</si>
  <si>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</si>
  <si>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</si>
  <si>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</si>
  <si>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</si>
  <si>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</si>
  <si>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</si>
  <si>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</si>
  <si>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</si>
  <si>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</si>
  <si>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</si>
  <si>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</si>
  <si>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</si>
  <si>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</si>
  <si>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</si>
  <si>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</si>
  <si>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</si>
  <si>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Continuação da implementação do modulo RFID + documentação</t>
  </si>
  <si>
    <t>Testes ao sensor de obstáculos. Implementação dos sistemas de deteção.</t>
  </si>
  <si>
    <t>botNroll</t>
  </si>
  <si>
    <t>Sensor Sharp 2Y0A21YK</t>
  </si>
  <si>
    <t>EZTronics</t>
  </si>
  <si>
    <t>Ficha Shell ou KK 6 vias 2,54mm</t>
  </si>
  <si>
    <t>Terminais para fichas shell ou KK</t>
  </si>
  <si>
    <t>Cartão RFID Mifare 1k S50 compatível Tag 13,56MHz</t>
  </si>
  <si>
    <t>Implementação PID</t>
  </si>
  <si>
    <t>Testar acionamento dos motores</t>
  </si>
  <si>
    <t>Step-Down para 5V até 8A 40W com 4 Portas USB</t>
  </si>
  <si>
    <t>Suporte para 1 pilha 18650 c/ fios</t>
  </si>
  <si>
    <t>Interruptor de painel redondo</t>
  </si>
  <si>
    <t>Botão de pressão preto redondo para painel</t>
  </si>
  <si>
    <t>Carregador 3 Baterias 18650 em série - AC 100~240V DC 12,6V 1A</t>
  </si>
  <si>
    <t>Testar PID</t>
  </si>
  <si>
    <t>Cabo DC 0,2m com conector recto 5,2/2,1 (9,5mm)</t>
  </si>
  <si>
    <t>AlfaElektor</t>
  </si>
  <si>
    <t>Suporte Fusível Auto/F.Pla &gt;50A</t>
  </si>
  <si>
    <t>Teste Movimento Rotate</t>
  </si>
  <si>
    <t>Parte Mecânica (Furos na madeira) + Explicação PID</t>
  </si>
  <si>
    <t>Parte Mecânica (Acabamento dos furos na madeira + Furos aluminio + cola na entrada de carregamento)</t>
  </si>
  <si>
    <t>Montagem Robô</t>
  </si>
  <si>
    <t>Estudo e Implementação do Bluetooth</t>
  </si>
  <si>
    <t>Estudo do modulo RFID</t>
  </si>
  <si>
    <t>Criação da FSM</t>
  </si>
  <si>
    <t>Criação da Shield para STM. Continuação da implementação da FSM</t>
  </si>
  <si>
    <t>Implementação da FSM</t>
  </si>
  <si>
    <t>Atualização dos periféricos e pinos a usar na STM</t>
  </si>
  <si>
    <t>Implementação e testes da FSM</t>
  </si>
  <si>
    <t>Manga Espiral Wrapping 20-60mm</t>
  </si>
  <si>
    <t>Fusivel 3A</t>
  </si>
  <si>
    <t>Guimocircuito</t>
  </si>
  <si>
    <t>PCB Shield STM32F767ZI</t>
  </si>
  <si>
    <t>Mauser</t>
  </si>
  <si>
    <t>Barra (2x8) fêmea 2,54 mm PCB</t>
  </si>
  <si>
    <t>Barra (2x10) fêmea 2,54 mm PCB</t>
  </si>
  <si>
    <t>Barra (2x16) fêmea 2,54 mm PCB</t>
  </si>
  <si>
    <t>Barra (2x17) fêmea 2,54 mm PCB</t>
  </si>
  <si>
    <t>Barra (2x3) fêmea 2,54 mm PCB</t>
  </si>
  <si>
    <t>Barra (1x6) fêmea 2,54 mm PCB</t>
  </si>
  <si>
    <t>Parte Mecânica (Sensor Distancia/Sensor linha/Furos Fonte/RFID)</t>
  </si>
  <si>
    <t>Montagem integral dos circuitos (I)</t>
  </si>
  <si>
    <t>Montagem integral dos circuitos (II)</t>
  </si>
  <si>
    <t>Diagramas mecânicos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</si>
</sst>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165" fontId="1" fillId="3" borderId="0" xfId="3" applyNumberFormat="1" applyFont="1" applyAlignment="1">
      <alignment horizontal="center"/>
    </xf>
    <xf numFmtId="49" fontId="7" fillId="0" borderId="0" xfId="2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0" applyFont="1"/>
    <xf numFmtId="164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3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40" totalsRowShown="0" headerRowDxfId="40" dataDxfId="39">
  <autoFilter ref="A1:E40" xr:uid="{1B66A83B-1E9C-400A-A414-4BA5EB76EA0B}"/>
  <tableColumns count="5">
    <tableColumn id="1" xr3:uid="{5AD32248-1077-464B-A7D3-70E7C7D94823}" name="Day" dataDxfId="38"/>
    <tableColumn id="2" xr3:uid="{1C9ADB5E-D81F-498C-9278-7858E935AA74}" name="Start Time" dataDxfId="37"/>
    <tableColumn id="5" xr3:uid="{ED087065-3F1F-4D46-914E-DD7DE82F29BC}" name="Tasks" dataDxfId="36"/>
    <tableColumn id="3" xr3:uid="{93C97E1E-2A55-43A9-B68E-0598C0D09F28}" name="End Time" dataDxfId="35"/>
    <tableColumn id="6" xr3:uid="{8EF2F89D-4902-4239-8ABF-0BE7E4EB90FB}" name="Duration" dataDxfId="34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0" dataDxfId="29">
  <autoFilter ref="A1:E24" xr:uid="{1B66A83B-1E9C-400A-A414-4BA5EB76EA0B}"/>
  <tableColumns count="5">
    <tableColumn id="1" xr3:uid="{85BD1EC3-C0E7-4EF0-98EF-4F01B8EAE2F3}" name="Day" dataDxfId="28"/>
    <tableColumn id="2" xr3:uid="{80C27C96-FD1C-4830-8F54-DE84DCED9808}" name="Start Time" dataDxfId="27"/>
    <tableColumn id="5" xr3:uid="{E682CF64-62B3-4421-B8AD-391788F8B766}" name="Tasks" dataDxfId="26"/>
    <tableColumn id="3" xr3:uid="{55984218-71D5-4765-A54E-70BE13A4FCD0}" name="End Time" dataDxfId="25"/>
    <tableColumn id="6" xr3:uid="{43527839-801E-4BC5-98C8-9C34FFF7BB0E}" name="Duration" dataDxfId="24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1" dataDxfId="20">
  <autoFilter ref="A1:E24" xr:uid="{1B66A83B-1E9C-400A-A414-4BA5EB76EA0B}"/>
  <tableColumns count="5">
    <tableColumn id="1" xr3:uid="{A4DFB97C-4464-453F-AD2D-952EA90CBC4C}" name="Day" dataDxfId="19"/>
    <tableColumn id="2" xr3:uid="{7359B1B8-25A1-488F-9454-F129E3980E2C}" name="Start Time" dataDxfId="18"/>
    <tableColumn id="5" xr3:uid="{DB5689D0-C83B-4C58-97ED-3DC5F0173095}" name="Tasks" dataDxfId="17"/>
    <tableColumn id="3" xr3:uid="{88D3CCB8-C055-417E-8841-9F5313B61FD7}" name="End Time" dataDxfId="16"/>
    <tableColumn id="6" xr3:uid="{41FB43E1-33AF-4967-9F0E-5C323F87396C}" name="Duration" dataDxfId="15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3" dataDxfId="12">
  <autoFilter ref="A1:E24" xr:uid="{1B66A83B-1E9C-400A-A414-4BA5EB76EA0B}"/>
  <tableColumns count="5">
    <tableColumn id="1" xr3:uid="{A3058E71-0408-4675-905B-61C9BCB4A03A}" name="Day" dataDxfId="11"/>
    <tableColumn id="2" xr3:uid="{73EE3472-34B0-4B87-B603-EB02C7ACF80C}" name="Start Time" dataDxfId="10"/>
    <tableColumn id="5" xr3:uid="{AB750483-1219-4286-A895-D20CC8A604A9}" name="Tasks" dataDxfId="9"/>
    <tableColumn id="3" xr3:uid="{CDD8475B-DB00-4CBB-96E5-BC585B3E0DA4}" name="End Time" dataDxfId="8"/>
    <tableColumn id="6" xr3:uid="{D80CBB36-36CA-48CD-A047-EB01578B76D2}" name="Duration" dataDxfId="7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34" totalsRowShown="0" headerRowDxfId="6" dataDxfId="5">
  <autoFilter ref="A5:E34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40"/>
  <sheetViews>
    <sheetView tabSelected="1" zoomScale="115" zoomScaleNormal="115" workbookViewId="0">
      <selection activeCell="B35" sqref="B35:D35"/>
    </sheetView>
  </sheetViews>
  <sheetFormatPr defaultRowHeight="15" x14ac:dyDescent="0.25"/>
  <cols>
    <col min="1" max="1" width="8.7109375" bestFit="1" customWidth="1"/>
    <col min="2" max="2" width="14.5703125" bestFit="1" customWidth="1"/>
    <col min="3" max="3" width="61.28515625" customWidth="1"/>
    <col min="4" max="4" width="13.7109375" style="34" bestFit="1" customWidth="1"/>
    <col min="5" max="5" width="13.28515625" bestFit="1" customWidth="1"/>
    <col min="7" max="7" width="19.28515625" bestFit="1" customWidth="1"/>
    <col min="8" max="8" width="19.71093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33" t="s">
        <v>2</v>
      </c>
      <c r="E1" s="5" t="s">
        <v>3</v>
      </c>
      <c r="G1" s="35" t="s">
        <v>40</v>
      </c>
      <c r="H1" s="35"/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5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5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5" t="s">
        <v>10</v>
      </c>
      <c r="H4" s="2">
        <v>44369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48</v>
      </c>
      <c r="H6" s="18">
        <f ca="1">_xlfn.DAYS(MAX(H2:H4), TODAY())</f>
        <v>4</v>
      </c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35" t="s">
        <v>38</v>
      </c>
      <c r="H8" s="35"/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6" t="s">
        <v>29</v>
      </c>
      <c r="H9" s="11">
        <f>COUNT(Tabela1[[#All],[Day]])</f>
        <v>34</v>
      </c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6" t="s">
        <v>5</v>
      </c>
      <c r="H10" s="12">
        <f>SUM(Tabela1[[#All],[Duration]])</f>
        <v>7.2250000000000005</v>
      </c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2"/>
      <c r="H11"/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35" t="s">
        <v>31</v>
      </c>
      <c r="H12" s="35"/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32</v>
      </c>
      <c r="H13" s="12">
        <f>$H$10 + TimeTable_Team1!H3</f>
        <v>8.8638888888888889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33</v>
      </c>
      <c r="H14" s="12">
        <f>$H$10 + TimeTable_Team1!H3</f>
        <v>8.8638888888888889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34</v>
      </c>
      <c r="H15" s="12">
        <f>$H$10 + TimeTable_Team2!H3</f>
        <v>7.9229166666666675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35</v>
      </c>
      <c r="H16" s="12">
        <f>$H$10 + TimeTable_Team2!H3</f>
        <v>7.9229166666666675</v>
      </c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7" t="s">
        <v>36</v>
      </c>
      <c r="H17" s="12">
        <f>$H$10 + TimeTable_Team3!H3</f>
        <v>8.0826388888888889</v>
      </c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7" t="s">
        <v>37</v>
      </c>
      <c r="H18" s="12">
        <f>$H$10 + TimeTable_Team3!H3</f>
        <v>8.0826388888888889</v>
      </c>
    </row>
    <row r="19" spans="1:8" x14ac:dyDescent="0.25">
      <c r="A19" s="2">
        <v>44319</v>
      </c>
      <c r="B19" s="3">
        <v>0.5625</v>
      </c>
      <c r="C19" s="4" t="s">
        <v>47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25">
      <c r="A20" s="2">
        <v>44349</v>
      </c>
      <c r="B20" s="3">
        <v>0.60416666666666663</v>
      </c>
      <c r="C20" s="4" t="s">
        <v>59</v>
      </c>
      <c r="D20" s="3">
        <v>0.70833333333333337</v>
      </c>
      <c r="E20" s="3">
        <f>Tabela1[[#This Row],[End Time]]-Tabela1[[#This Row],[Start Time]]</f>
        <v>0.10416666666666674</v>
      </c>
    </row>
    <row r="21" spans="1:8" x14ac:dyDescent="0.25">
      <c r="A21" s="2">
        <v>44349</v>
      </c>
      <c r="B21" s="3">
        <v>0.875</v>
      </c>
      <c r="C21" s="4" t="s">
        <v>65</v>
      </c>
      <c r="D21" s="3">
        <v>1</v>
      </c>
      <c r="E21" s="3">
        <f>Tabela1[[#This Row],[End Time]]-Tabela1[[#This Row],[Start Time]]</f>
        <v>0.125</v>
      </c>
    </row>
    <row r="22" spans="1:8" x14ac:dyDescent="0.25">
      <c r="A22" s="2">
        <v>44350</v>
      </c>
      <c r="B22" s="3">
        <v>0.39583333333333331</v>
      </c>
      <c r="C22" s="28" t="s">
        <v>65</v>
      </c>
      <c r="D22" s="29">
        <v>0.83333333333333337</v>
      </c>
      <c r="E22" s="3">
        <f>Tabela1[[#This Row],[End Time]]-Tabela1[[#This Row],[Start Time]]</f>
        <v>0.43750000000000006</v>
      </c>
    </row>
    <row r="23" spans="1:8" x14ac:dyDescent="0.25">
      <c r="A23" s="2">
        <v>44351</v>
      </c>
      <c r="B23" s="3">
        <v>0.60416666666666663</v>
      </c>
      <c r="C23" s="4" t="s">
        <v>69</v>
      </c>
      <c r="D23" s="3">
        <v>0.70833333333333337</v>
      </c>
      <c r="E23" s="3">
        <f>Tabela1[[#This Row],[End Time]]-Tabela1[[#This Row],[Start Time]]</f>
        <v>0.10416666666666674</v>
      </c>
    </row>
    <row r="24" spans="1:8" x14ac:dyDescent="0.25">
      <c r="A24" s="2">
        <v>44354</v>
      </c>
      <c r="B24" s="3">
        <v>0.39583333333333331</v>
      </c>
      <c r="C24" s="4" t="s">
        <v>72</v>
      </c>
      <c r="D24" s="3">
        <v>0.55208333333333337</v>
      </c>
      <c r="E24" s="3">
        <f>Tabela1[[#This Row],[End Time]]-Tabela1[[#This Row],[Start Time]]</f>
        <v>0.15625000000000006</v>
      </c>
    </row>
    <row r="25" spans="1:8" x14ac:dyDescent="0.25">
      <c r="A25" s="2">
        <v>44354</v>
      </c>
      <c r="B25" s="3">
        <v>0.58333333333333337</v>
      </c>
      <c r="C25" s="4" t="s">
        <v>72</v>
      </c>
      <c r="D25" s="3">
        <v>0.95833333333333337</v>
      </c>
      <c r="E25" s="3">
        <f>Tabela1[[#This Row],[End Time]]-Tabela1[[#This Row],[Start Time]]</f>
        <v>0.375</v>
      </c>
    </row>
    <row r="26" spans="1:8" x14ac:dyDescent="0.25">
      <c r="A26" s="2">
        <v>44355</v>
      </c>
      <c r="B26" s="3">
        <v>0.39583333333333331</v>
      </c>
      <c r="C26" s="4" t="s">
        <v>75</v>
      </c>
      <c r="D26" s="3">
        <v>1</v>
      </c>
      <c r="E26" s="3">
        <f>Tabela1[[#This Row],[End Time]]-Tabela1[[#This Row],[Start Time]]</f>
        <v>0.60416666666666674</v>
      </c>
    </row>
    <row r="27" spans="1:8" x14ac:dyDescent="0.25">
      <c r="A27" s="2">
        <v>44356</v>
      </c>
      <c r="B27" s="3">
        <v>1</v>
      </c>
      <c r="C27" s="4" t="s">
        <v>77</v>
      </c>
      <c r="D27" s="3">
        <v>1.0416666666666667</v>
      </c>
      <c r="E27" s="3">
        <f>Tabela1[[#This Row],[End Time]]-Tabela1[[#This Row],[Start Time]]</f>
        <v>4.1666666666666741E-2</v>
      </c>
    </row>
    <row r="28" spans="1:8" x14ac:dyDescent="0.25">
      <c r="A28" s="2">
        <v>44356</v>
      </c>
      <c r="B28" s="3">
        <v>0.41666666666666669</v>
      </c>
      <c r="C28" s="4" t="s">
        <v>76</v>
      </c>
      <c r="D28" s="3">
        <v>1</v>
      </c>
      <c r="E28" s="3">
        <f>Tabela1[[#This Row],[End Time]]-Tabela1[[#This Row],[Start Time]]</f>
        <v>0.58333333333333326</v>
      </c>
    </row>
    <row r="29" spans="1:8" x14ac:dyDescent="0.25">
      <c r="A29" s="2">
        <v>44356</v>
      </c>
      <c r="B29" s="3">
        <v>1</v>
      </c>
      <c r="C29" s="4" t="s">
        <v>78</v>
      </c>
      <c r="D29" s="3">
        <v>1.0833333333333333</v>
      </c>
      <c r="E29" s="3">
        <f>Tabela1[[#This Row],[End Time]]-Tabela1[[#This Row],[Start Time]]</f>
        <v>8.3333333333333259E-2</v>
      </c>
    </row>
    <row r="30" spans="1:8" x14ac:dyDescent="0.25">
      <c r="A30" s="2">
        <v>44357</v>
      </c>
      <c r="B30" s="3">
        <v>0.39583333333333331</v>
      </c>
      <c r="C30" s="4" t="s">
        <v>79</v>
      </c>
      <c r="D30" s="3">
        <v>1</v>
      </c>
      <c r="E30" s="3">
        <f>Tabela1[[#This Row],[End Time]]-Tabela1[[#This Row],[Start Time]]</f>
        <v>0.60416666666666674</v>
      </c>
    </row>
    <row r="31" spans="1:8" x14ac:dyDescent="0.25">
      <c r="A31" s="2">
        <v>44358</v>
      </c>
      <c r="B31" s="3">
        <v>0.375</v>
      </c>
      <c r="C31" s="4" t="s">
        <v>79</v>
      </c>
      <c r="D31" s="3">
        <v>0.77083333333333337</v>
      </c>
      <c r="E31" s="3">
        <f>Tabela1[[#This Row],[End Time]]-Tabela1[[#This Row],[Start Time]]</f>
        <v>0.39583333333333337</v>
      </c>
    </row>
    <row r="32" spans="1:8" x14ac:dyDescent="0.25">
      <c r="A32" s="2">
        <v>44362</v>
      </c>
      <c r="B32" s="3">
        <v>0.375</v>
      </c>
      <c r="C32" s="4" t="s">
        <v>79</v>
      </c>
      <c r="D32" s="3">
        <v>1</v>
      </c>
      <c r="E32" s="3">
        <f>Tabela1[[#This Row],[End Time]]-Tabela1[[#This Row],[Start Time]]</f>
        <v>0.625</v>
      </c>
    </row>
    <row r="33" spans="1:5" x14ac:dyDescent="0.25">
      <c r="A33" s="2">
        <v>44363</v>
      </c>
      <c r="B33" s="3">
        <v>0.39583333333333331</v>
      </c>
      <c r="C33" s="4" t="s">
        <v>79</v>
      </c>
      <c r="D33" s="3">
        <v>1</v>
      </c>
      <c r="E33" s="3">
        <f>Tabela1[[#This Row],[End Time]]-Tabela1[[#This Row],[Start Time]]</f>
        <v>0.60416666666666674</v>
      </c>
    </row>
    <row r="34" spans="1:5" x14ac:dyDescent="0.25">
      <c r="A34" s="2">
        <v>44364</v>
      </c>
      <c r="B34" s="3">
        <v>0.39583333333333331</v>
      </c>
      <c r="C34" s="4" t="s">
        <v>79</v>
      </c>
      <c r="D34" s="3">
        <v>1</v>
      </c>
      <c r="E34" s="3">
        <f>Tabela1[[#This Row],[End Time]]-Tabela1[[#This Row],[Start Time]]</f>
        <v>0.60416666666666674</v>
      </c>
    </row>
    <row r="35" spans="1:5" x14ac:dyDescent="0.25">
      <c r="A35" s="2">
        <v>44365</v>
      </c>
      <c r="B35" s="3">
        <v>0.39583333333333331</v>
      </c>
      <c r="C35" s="4" t="s">
        <v>79</v>
      </c>
      <c r="D35" s="3">
        <v>1</v>
      </c>
      <c r="E35" s="3">
        <f>Tabela1[[#This Row],[End Time]]-Tabela1[[#This Row],[Start Time]]</f>
        <v>0.60416666666666674</v>
      </c>
    </row>
    <row r="36" spans="1:5" x14ac:dyDescent="0.25">
      <c r="A36" s="1"/>
      <c r="B36" s="3"/>
      <c r="C36" s="4"/>
      <c r="D36" s="3"/>
      <c r="E36" s="3">
        <f>Tabela1[[#This Row],[End Time]]-Tabela1[[#This Row],[Start Time]]</f>
        <v>0</v>
      </c>
    </row>
    <row r="37" spans="1:5" x14ac:dyDescent="0.25">
      <c r="A37" s="1"/>
      <c r="B37" s="3"/>
      <c r="C37" s="4"/>
      <c r="D37" s="3"/>
      <c r="E37" s="3">
        <f>Tabela1[[#This Row],[End Time]]-Tabela1[[#This Row],[Start Time]]</f>
        <v>0</v>
      </c>
    </row>
    <row r="38" spans="1:5" x14ac:dyDescent="0.25">
      <c r="A38" s="1"/>
      <c r="B38" s="3"/>
      <c r="C38" s="4"/>
      <c r="D38" s="3"/>
      <c r="E38" s="3">
        <f>Tabela1[[#This Row],[End Time]]-Tabela1[[#This Row],[Start Time]]</f>
        <v>0</v>
      </c>
    </row>
    <row r="39" spans="1:5" x14ac:dyDescent="0.25">
      <c r="A39" s="1"/>
      <c r="B39" s="3"/>
      <c r="C39" s="4"/>
      <c r="D39" s="3"/>
      <c r="E39" s="3">
        <f>Tabela1[[#This Row],[End Time]]-Tabela1[[#This Row],[Start Time]]</f>
        <v>0</v>
      </c>
    </row>
    <row r="40" spans="1:5" x14ac:dyDescent="0.25">
      <c r="A40" s="1"/>
      <c r="B40" s="3"/>
      <c r="C40" s="4"/>
      <c r="D40" s="3"/>
      <c r="E40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31 A33:A40">
    <cfRule type="duplicateValues" dxfId="42" priority="3"/>
  </conditionalFormatting>
  <conditionalFormatting sqref="A1:A20">
    <cfRule type="duplicateValues" priority="2"/>
  </conditionalFormatting>
  <conditionalFormatting sqref="A32">
    <cfRule type="duplicateValues" dxfId="4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30" zoomScaleNormal="130" workbookViewId="0">
      <selection activeCell="H3" sqref="H3"/>
    </sheetView>
  </sheetViews>
  <sheetFormatPr defaultRowHeight="15" x14ac:dyDescent="0.25"/>
  <cols>
    <col min="1" max="1" width="8.7109375" bestFit="1" customWidth="1"/>
    <col min="2" max="2" width="14.5703125" bestFit="1" customWidth="1"/>
    <col min="3" max="3" width="69" customWidth="1"/>
    <col min="4" max="4" width="13.7109375" bestFit="1" customWidth="1"/>
    <col min="5" max="5" width="13.28515625" bestFit="1" customWidth="1"/>
    <col min="7" max="7" width="18" bestFit="1" customWidth="1"/>
    <col min="8" max="8" width="19.71093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25">
      <c r="A2" s="2">
        <v>44286</v>
      </c>
      <c r="B2" s="3">
        <v>0.58333333333333337</v>
      </c>
      <c r="C2" s="4" t="s">
        <v>43</v>
      </c>
      <c r="D2" s="3">
        <v>0.80555555555555547</v>
      </c>
      <c r="E2" s="3">
        <f>Tabela14[[#This Row],[End Time]]-Tabela14[[#This Row],[Start Time]]</f>
        <v>0.2222222222222221</v>
      </c>
      <c r="G2" s="13" t="s">
        <v>29</v>
      </c>
      <c r="H2" s="11">
        <f>COUNT(Tabela14[[#All],[Day]])</f>
        <v>7</v>
      </c>
    </row>
    <row r="3" spans="1:8" x14ac:dyDescent="0.25">
      <c r="A3" s="2">
        <v>44348</v>
      </c>
      <c r="B3" s="3">
        <v>0.375</v>
      </c>
      <c r="C3" s="4" t="s">
        <v>58</v>
      </c>
      <c r="D3" s="3">
        <v>0.83333333333333337</v>
      </c>
      <c r="E3" s="3">
        <f>Tabela14[[#This Row],[End Time]]-Tabela14[[#This Row],[Start Time]]</f>
        <v>0.45833333333333337</v>
      </c>
      <c r="G3" s="14" t="s">
        <v>5</v>
      </c>
      <c r="H3" s="12">
        <f>SUM(Tabela14[[#All],[Duration]])</f>
        <v>1.6388888888888884</v>
      </c>
    </row>
    <row r="4" spans="1:8" x14ac:dyDescent="0.25">
      <c r="A4" s="2">
        <v>44352</v>
      </c>
      <c r="B4" s="3">
        <v>0.66666666666666663</v>
      </c>
      <c r="C4" s="4" t="s">
        <v>70</v>
      </c>
      <c r="D4" s="3">
        <v>0.79166666666666663</v>
      </c>
      <c r="E4" s="3">
        <f>Tabela14[[#This Row],[End Time]]-Tabela14[[#This Row],[Start Time]]</f>
        <v>0.125</v>
      </c>
    </row>
    <row r="5" spans="1:8" x14ac:dyDescent="0.25">
      <c r="A5" s="2">
        <v>44353</v>
      </c>
      <c r="B5" s="3">
        <v>0.58333333333333337</v>
      </c>
      <c r="C5" s="4" t="s">
        <v>71</v>
      </c>
      <c r="D5" s="3">
        <v>0.77083333333333337</v>
      </c>
      <c r="E5" s="3">
        <f>Tabela14[[#This Row],[End Time]]-Tabela14[[#This Row],[Start Time]]</f>
        <v>0.1875</v>
      </c>
      <c r="G5" s="35" t="s">
        <v>39</v>
      </c>
      <c r="H5" s="35"/>
    </row>
    <row r="6" spans="1:8" x14ac:dyDescent="0.25">
      <c r="A6" s="2">
        <v>44359</v>
      </c>
      <c r="B6" s="3">
        <v>0.58333333333333337</v>
      </c>
      <c r="C6" s="4" t="s">
        <v>91</v>
      </c>
      <c r="D6" s="3">
        <v>0.77083333333333337</v>
      </c>
      <c r="E6" s="3">
        <f>Tabela14[[#This Row],[End Time]]-Tabela14[[#This Row],[Start Time]]</f>
        <v>0.1875</v>
      </c>
      <c r="G6" s="36" t="s">
        <v>32</v>
      </c>
      <c r="H6" s="36"/>
    </row>
    <row r="7" spans="1:8" x14ac:dyDescent="0.25">
      <c r="A7" s="2">
        <v>44360</v>
      </c>
      <c r="B7" s="3">
        <v>0.375</v>
      </c>
      <c r="C7" s="4" t="s">
        <v>92</v>
      </c>
      <c r="D7" s="3">
        <v>0.54166666666666663</v>
      </c>
      <c r="E7" s="3">
        <f>Tabela14[[#This Row],[End Time]]-Tabela14[[#This Row],[Start Time]]</f>
        <v>0.16666666666666663</v>
      </c>
      <c r="G7" s="36" t="s">
        <v>33</v>
      </c>
      <c r="H7" s="36"/>
    </row>
    <row r="8" spans="1:8" x14ac:dyDescent="0.25">
      <c r="A8" s="2">
        <v>44360</v>
      </c>
      <c r="B8" s="3">
        <v>0.58333333333333337</v>
      </c>
      <c r="C8" s="4" t="s">
        <v>93</v>
      </c>
      <c r="D8" s="3">
        <v>0.875</v>
      </c>
      <c r="E8" s="3">
        <f>Tabela14[[#This Row],[End Time]]-Tabela14[[#This Row],[Start Time]]</f>
        <v>0.29166666666666663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7 A9:A24">
    <cfRule type="duplicateValues" dxfId="33" priority="6"/>
  </conditionalFormatting>
  <conditionalFormatting sqref="A1:A2 A4:A7 A9:A20">
    <cfRule type="duplicateValues" priority="5"/>
  </conditionalFormatting>
  <conditionalFormatting sqref="A3">
    <cfRule type="duplicateValues" dxfId="32" priority="4"/>
  </conditionalFormatting>
  <conditionalFormatting sqref="A3">
    <cfRule type="duplicateValues" priority="3"/>
  </conditionalFormatting>
  <conditionalFormatting sqref="A8">
    <cfRule type="duplicateValues" dxfId="31" priority="2"/>
  </conditionalFormatting>
  <conditionalFormatting sqref="A8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7" sqref="C7"/>
    </sheetView>
  </sheetViews>
  <sheetFormatPr defaultRowHeight="15" x14ac:dyDescent="0.25"/>
  <cols>
    <col min="1" max="1" width="8.71093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71093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25">
      <c r="A2" s="2">
        <v>44288</v>
      </c>
      <c r="B2" s="3">
        <v>0.85416666666666663</v>
      </c>
      <c r="C2" s="4" t="s">
        <v>74</v>
      </c>
      <c r="D2" s="3">
        <v>0.89583333333333337</v>
      </c>
      <c r="E2" s="3">
        <f>Tabela147[[#This Row],[End Time]]-Tabela147[[#This Row],[Start Time]]</f>
        <v>4.1666666666666741E-2</v>
      </c>
      <c r="G2" s="13" t="s">
        <v>29</v>
      </c>
      <c r="H2" s="11">
        <f>COUNT(Tabela147[[#All],[Day]])</f>
        <v>5</v>
      </c>
    </row>
    <row r="3" spans="1:8" x14ac:dyDescent="0.25">
      <c r="A3" s="2">
        <v>44300</v>
      </c>
      <c r="B3" s="3">
        <v>0.77083333333333337</v>
      </c>
      <c r="C3" s="4" t="s">
        <v>44</v>
      </c>
      <c r="D3" s="3">
        <v>0.97222222222222221</v>
      </c>
      <c r="E3" s="3">
        <f>Tabela147[[#This Row],[End Time]]-Tabela147[[#This Row],[Start Time]]</f>
        <v>0.20138888888888884</v>
      </c>
      <c r="G3" s="14" t="s">
        <v>5</v>
      </c>
      <c r="H3" s="12">
        <f>SUM(Tabela147[[#All],[Duration]])</f>
        <v>0.69791666666666674</v>
      </c>
    </row>
    <row r="4" spans="1:8" x14ac:dyDescent="0.25">
      <c r="A4" s="2">
        <v>44321</v>
      </c>
      <c r="B4" s="3">
        <v>0.57638888888888895</v>
      </c>
      <c r="C4" s="4" t="s">
        <v>50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25">
      <c r="A5" s="30">
        <v>44352</v>
      </c>
      <c r="B5" s="31">
        <v>0.60416666666666663</v>
      </c>
      <c r="C5" s="32" t="s">
        <v>73</v>
      </c>
      <c r="D5" s="31">
        <v>0.77083333333333337</v>
      </c>
      <c r="E5" s="3">
        <f>Tabela147[[#This Row],[End Time]]-Tabela147[[#This Row],[Start Time]]</f>
        <v>0.16666666666666674</v>
      </c>
      <c r="G5" s="35" t="s">
        <v>39</v>
      </c>
      <c r="H5" s="35"/>
    </row>
    <row r="6" spans="1:8" x14ac:dyDescent="0.25">
      <c r="A6" s="2">
        <v>44358</v>
      </c>
      <c r="B6" s="3">
        <v>0.875</v>
      </c>
      <c r="C6" s="4" t="s">
        <v>94</v>
      </c>
      <c r="D6" s="3">
        <v>1</v>
      </c>
      <c r="E6" s="3">
        <f>Tabela147[[#This Row],[End Time]]-Tabela147[[#This Row],[Start Time]]</f>
        <v>0.125</v>
      </c>
      <c r="G6" s="36" t="s">
        <v>34</v>
      </c>
      <c r="H6" s="36"/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  <c r="G7" s="36" t="s">
        <v>35</v>
      </c>
      <c r="H7" s="36"/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 A6:A24">
    <cfRule type="duplicateValues" dxfId="23" priority="6"/>
  </conditionalFormatting>
  <conditionalFormatting sqref="A1:A2 A4 A6:A20">
    <cfRule type="duplicateValues" priority="5"/>
  </conditionalFormatting>
  <conditionalFormatting sqref="A3">
    <cfRule type="duplicateValues" dxfId="22" priority="4"/>
  </conditionalFormatting>
  <conditionalFormatting sqref="A3">
    <cfRule type="duplicateValues" priority="3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15" zoomScaleNormal="115" workbookViewId="0">
      <selection activeCell="A6" sqref="A6"/>
    </sheetView>
  </sheetViews>
  <sheetFormatPr defaultRowHeight="15" x14ac:dyDescent="0.25"/>
  <cols>
    <col min="1" max="1" width="8.7109375" bestFit="1" customWidth="1"/>
    <col min="2" max="2" width="14.5703125" bestFit="1" customWidth="1"/>
    <col min="3" max="3" width="67.5703125" bestFit="1" customWidth="1"/>
    <col min="4" max="4" width="13.7109375" bestFit="1" customWidth="1"/>
    <col min="5" max="5" width="13.28515625" bestFit="1" customWidth="1"/>
    <col min="7" max="7" width="18" bestFit="1" customWidth="1"/>
    <col min="8" max="8" width="19.71093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25">
      <c r="A2" s="2">
        <v>44286</v>
      </c>
      <c r="B2" s="3">
        <v>0.875</v>
      </c>
      <c r="C2" s="4" t="s">
        <v>42</v>
      </c>
      <c r="D2" s="3">
        <v>0.98611111111111116</v>
      </c>
      <c r="E2" s="3">
        <f>Tabela1478[[#This Row],[End Time]]-Tabela1478[[#This Row],[Start Time]]</f>
        <v>0.11111111111111116</v>
      </c>
      <c r="G2" s="13" t="s">
        <v>29</v>
      </c>
      <c r="H2" s="11">
        <f>COUNT(Tabela1478[[#All],[Day]])</f>
        <v>4</v>
      </c>
    </row>
    <row r="3" spans="1:8" x14ac:dyDescent="0.25">
      <c r="A3" s="2">
        <v>44321</v>
      </c>
      <c r="B3" s="3">
        <v>0.57638888888888895</v>
      </c>
      <c r="C3" s="4" t="s">
        <v>49</v>
      </c>
      <c r="D3" s="3">
        <v>0.73958333333333337</v>
      </c>
      <c r="E3" s="3">
        <f>Tabela1478[[#This Row],[End Time]]-Tabela1478[[#This Row],[Start Time]]</f>
        <v>0.16319444444444442</v>
      </c>
      <c r="G3" s="14" t="s">
        <v>5</v>
      </c>
      <c r="H3" s="12">
        <f>SUM(Tabela1478[[#All],[Duration]])</f>
        <v>0.85763888888888895</v>
      </c>
    </row>
    <row r="4" spans="1:8" x14ac:dyDescent="0.25">
      <c r="A4" s="2">
        <v>44348</v>
      </c>
      <c r="B4" s="3">
        <v>0.375</v>
      </c>
      <c r="C4" s="4" t="s">
        <v>51</v>
      </c>
      <c r="D4" s="3">
        <v>0.83333333333333337</v>
      </c>
      <c r="E4" s="3">
        <f>Tabela1478[[#This Row],[End Time]]-Tabela1478[[#This Row],[Start Time]]</f>
        <v>0.45833333333333337</v>
      </c>
    </row>
    <row r="5" spans="1:8" x14ac:dyDescent="0.25">
      <c r="A5" s="2">
        <v>44359</v>
      </c>
      <c r="B5" s="3">
        <v>0.875</v>
      </c>
      <c r="C5" s="4" t="s">
        <v>77</v>
      </c>
      <c r="D5" s="3">
        <v>1</v>
      </c>
      <c r="E5" s="3">
        <f>Tabela1478[[#This Row],[End Time]]-Tabela1478[[#This Row],[Start Time]]</f>
        <v>0.125</v>
      </c>
      <c r="G5" s="35" t="s">
        <v>39</v>
      </c>
      <c r="H5" s="35"/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  <c r="G6" s="36" t="s">
        <v>36</v>
      </c>
      <c r="H6" s="36"/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  <c r="G7" s="36" t="s">
        <v>37</v>
      </c>
      <c r="H7" s="36"/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4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34"/>
  <sheetViews>
    <sheetView zoomScale="115" zoomScaleNormal="115" workbookViewId="0">
      <selection activeCell="A25" sqref="A25:E25"/>
    </sheetView>
  </sheetViews>
  <sheetFormatPr defaultRowHeight="15" x14ac:dyDescent="0.25"/>
  <cols>
    <col min="1" max="1" width="12.28515625" customWidth="1"/>
    <col min="2" max="2" width="58.42578125" bestFit="1" customWidth="1"/>
    <col min="3" max="3" width="9.28515625" bestFit="1" customWidth="1"/>
    <col min="4" max="4" width="14.42578125" bestFit="1" customWidth="1"/>
    <col min="5" max="5" width="58.42578125" bestFit="1" customWidth="1"/>
  </cols>
  <sheetData>
    <row r="2" spans="1:5" x14ac:dyDescent="0.25">
      <c r="A2" s="6" t="s">
        <v>19</v>
      </c>
      <c r="B2" s="20">
        <f>SUMPRODUCT(Tabela2[QTD], Tabela2[Preço_uni])</f>
        <v>97.190219999999997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9" t="s">
        <v>13</v>
      </c>
      <c r="B6" s="10" t="s">
        <v>14</v>
      </c>
      <c r="C6" s="1">
        <v>1</v>
      </c>
      <c r="D6" s="7">
        <v>8.24</v>
      </c>
      <c r="E6" s="8" t="str">
        <f>HYPERLINK("https://www.ptrobotics.com/modulos-bluetooth/4364-bluetooth-module-hc-05.html",Tabela2[[#This Row],[Produto]])</f>
        <v>Bluetooth Module HC-05</v>
      </c>
    </row>
    <row r="7" spans="1:5" x14ac:dyDescent="0.25">
      <c r="A7" s="9" t="s">
        <v>13</v>
      </c>
      <c r="B7" s="10" t="s">
        <v>20</v>
      </c>
      <c r="C7" s="1">
        <v>2</v>
      </c>
      <c r="D7" s="7">
        <v>1.05</v>
      </c>
      <c r="E7" s="8" t="str">
        <f>HYPERLINK("https://www.ptrobotics.com/sensores-opticos/5913-ir-emitter-and-receiver-led-5mm-940nm.html",Tabela2[[#This Row],[Produto]])</f>
        <v>IR Emitter and Receiver LED 5mm 940nm</v>
      </c>
    </row>
    <row r="8" spans="1:5" s="27" customFormat="1" x14ac:dyDescent="0.25">
      <c r="A8" s="25" t="s">
        <v>13</v>
      </c>
      <c r="B8" s="22" t="s">
        <v>21</v>
      </c>
      <c r="C8" s="23">
        <v>1</v>
      </c>
      <c r="D8" s="24">
        <v>12.18</v>
      </c>
      <c r="E8" s="26" t="str">
        <f>HYPERLINK("https://www.ptrobotics.com/cameras/3928-ov7670-camera-module.html",Tabela2[[#This Row],[Produto]])</f>
        <v>OV7670 Camera Module</v>
      </c>
    </row>
    <row r="9" spans="1:5" s="27" customFormat="1" x14ac:dyDescent="0.25">
      <c r="A9" s="25" t="s">
        <v>13</v>
      </c>
      <c r="B9" s="22" t="s">
        <v>22</v>
      </c>
      <c r="C9" s="23">
        <v>1</v>
      </c>
      <c r="D9" s="24">
        <v>10.82</v>
      </c>
      <c r="E9" s="26" t="str">
        <f>HYPERLINK("https://www.ptrobotics.com/sensores-opticos/4048-tcs3200-color-sensor.html",Tabela2[[#This Row],[Produto]])</f>
        <v>TCS3200 Color Sensor</v>
      </c>
    </row>
    <row r="10" spans="1:5" s="27" customFormat="1" x14ac:dyDescent="0.25">
      <c r="A10" s="25" t="s">
        <v>13</v>
      </c>
      <c r="B10" s="22" t="s">
        <v>23</v>
      </c>
      <c r="C10" s="23">
        <v>1</v>
      </c>
      <c r="D10" s="24">
        <v>4.43</v>
      </c>
      <c r="E10" s="26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9" t="s">
        <v>45</v>
      </c>
      <c r="B11" s="10" t="s">
        <v>46</v>
      </c>
      <c r="C11" s="1">
        <v>1</v>
      </c>
      <c r="D11" s="7">
        <v>2.44</v>
      </c>
      <c r="E11" s="8" t="str">
        <f>HYPERLINK("https://mauser.pt/catalog/product_info.php?cPath=1667_2604_2607&amp;products_id=096-8517",Tabela2[[#This Row],[Produto]])</f>
        <v>Módulo Leitor RFID RC522</v>
      </c>
    </row>
    <row r="12" spans="1:5" x14ac:dyDescent="0.25">
      <c r="A12" s="9" t="s">
        <v>54</v>
      </c>
      <c r="B12" s="10" t="s">
        <v>53</v>
      </c>
      <c r="C12" s="1">
        <v>1</v>
      </c>
      <c r="D12" s="7">
        <v>11.5</v>
      </c>
      <c r="E12" s="8" t="str">
        <f>HYPERLINK("https://www.eztronics.nl/webshop2/catalog/Sensor/Distance-Range?product_id=598",Tabela2[[#This Row],[Produto]])</f>
        <v>Sensor Sharp 2Y0A21YK</v>
      </c>
    </row>
    <row r="13" spans="1:5" x14ac:dyDescent="0.25">
      <c r="A13" s="9" t="s">
        <v>52</v>
      </c>
      <c r="B13" s="10" t="s">
        <v>55</v>
      </c>
      <c r="C13" s="1">
        <v>1</v>
      </c>
      <c r="D13" s="7">
        <v>0.16</v>
      </c>
      <c r="E13" s="8" t="str">
        <f>HYPERLINK(,Tabela2[[#This Row],[Produto]])</f>
        <v>Ficha Shell ou KK 6 vias 2,54mm</v>
      </c>
    </row>
    <row r="14" spans="1:5" x14ac:dyDescent="0.25">
      <c r="A14" s="9" t="s">
        <v>52</v>
      </c>
      <c r="B14" s="10" t="s">
        <v>56</v>
      </c>
      <c r="C14" s="1">
        <v>6</v>
      </c>
      <c r="D14" s="7">
        <v>0.1</v>
      </c>
      <c r="E14" s="8" t="str">
        <f>HYPERLINK(,Tabela2[[#This Row],[Produto]])</f>
        <v>Terminais para fichas shell ou KK</v>
      </c>
    </row>
    <row r="15" spans="1:5" x14ac:dyDescent="0.25">
      <c r="A15" s="9" t="s">
        <v>52</v>
      </c>
      <c r="B15" s="21" t="s">
        <v>57</v>
      </c>
      <c r="C15" s="1">
        <v>6</v>
      </c>
      <c r="D15" s="7">
        <v>1.38</v>
      </c>
      <c r="E15" s="8" t="str">
        <f>HYPERLINK(,Tabela2[[#This Row],[Produto]])</f>
        <v>Cartão RFID Mifare 1k S50 compatível Tag 13,56MHz</v>
      </c>
    </row>
    <row r="16" spans="1:5" x14ac:dyDescent="0.25">
      <c r="A16" s="9" t="s">
        <v>52</v>
      </c>
      <c r="B16" s="10" t="s">
        <v>60</v>
      </c>
      <c r="C16" s="1">
        <v>1</v>
      </c>
      <c r="D16" s="7">
        <f>7.886*1.23</f>
        <v>9.6997800000000005</v>
      </c>
      <c r="E16" s="8" t="str">
        <f>HYPERLINK(,Tabela2[[#This Row],[Produto]])</f>
        <v>Step-Down para 5V até 8A 40W com 4 Portas USB</v>
      </c>
    </row>
    <row r="17" spans="1:5" x14ac:dyDescent="0.25">
      <c r="A17" s="9" t="s">
        <v>52</v>
      </c>
      <c r="B17" s="10" t="s">
        <v>61</v>
      </c>
      <c r="C17" s="1">
        <v>6</v>
      </c>
      <c r="D17" s="7">
        <f>0.691*1.23</f>
        <v>0.84992999999999996</v>
      </c>
      <c r="E17" s="8" t="str">
        <f>HYPERLINK(,Tabela2[[#This Row],[Produto]])</f>
        <v>Suporte para 1 pilha 18650 c/ fios</v>
      </c>
    </row>
    <row r="18" spans="1:5" x14ac:dyDescent="0.25">
      <c r="A18" s="9" t="s">
        <v>52</v>
      </c>
      <c r="B18" s="10" t="s">
        <v>62</v>
      </c>
      <c r="C18" s="1">
        <v>1</v>
      </c>
      <c r="D18" s="7">
        <f>0.976*1.23</f>
        <v>1.20048</v>
      </c>
      <c r="E18" s="8" t="str">
        <f>HYPERLINK(,Tabela2[[#This Row],[Produto]])</f>
        <v>Interruptor de painel redondo</v>
      </c>
    </row>
    <row r="19" spans="1:5" x14ac:dyDescent="0.25">
      <c r="A19" s="9" t="s">
        <v>52</v>
      </c>
      <c r="B19" s="10" t="s">
        <v>63</v>
      </c>
      <c r="C19" s="1">
        <v>1</v>
      </c>
      <c r="D19" s="7">
        <f>0.488*1.23</f>
        <v>0.60024</v>
      </c>
      <c r="E19" s="8" t="str">
        <f>HYPERLINK(,Tabela2[[#This Row],[Produto]])</f>
        <v>Botão de pressão preto redondo para painel</v>
      </c>
    </row>
    <row r="20" spans="1:5" x14ac:dyDescent="0.25">
      <c r="A20" s="9" t="s">
        <v>52</v>
      </c>
      <c r="B20" s="10" t="s">
        <v>64</v>
      </c>
      <c r="C20" s="1">
        <v>1</v>
      </c>
      <c r="D20" s="7">
        <f>7.236*1.23</f>
        <v>8.9002800000000004</v>
      </c>
      <c r="E20" s="8" t="str">
        <f>HYPERLINK(,Tabela2[[#This Row],[Produto]])</f>
        <v>Carregador 3 Baterias 18650 em série - AC 100~240V DC 12,6V 1A</v>
      </c>
    </row>
    <row r="21" spans="1:5" x14ac:dyDescent="0.25">
      <c r="A21" s="9" t="s">
        <v>52</v>
      </c>
      <c r="B21" s="10" t="s">
        <v>66</v>
      </c>
      <c r="C21" s="1">
        <v>1</v>
      </c>
      <c r="D21" s="7">
        <f>1.382*1.23</f>
        <v>1.6998599999999999</v>
      </c>
      <c r="E21" s="8" t="str">
        <f>HYPERLINK(,Tabela2[[#This Row],[Produto]])</f>
        <v>Cabo DC 0,2m com conector recto 5,2/2,1 (9,5mm)</v>
      </c>
    </row>
    <row r="22" spans="1:5" x14ac:dyDescent="0.25">
      <c r="A22" s="9" t="s">
        <v>67</v>
      </c>
      <c r="B22" s="10" t="s">
        <v>68</v>
      </c>
      <c r="C22" s="1">
        <v>1</v>
      </c>
      <c r="D22" s="7">
        <v>1.22</v>
      </c>
      <c r="E22" s="8" t="str">
        <f>HYPERLINK("https://www.alfaelektor.pt/item.php?id=2198",Tabela2[[#This Row],[Produto]])</f>
        <v>Suporte Fusível Auto/F.Pla &gt;50A</v>
      </c>
    </row>
    <row r="23" spans="1:5" x14ac:dyDescent="0.25">
      <c r="A23" s="9" t="s">
        <v>67</v>
      </c>
      <c r="B23" s="10" t="s">
        <v>81</v>
      </c>
      <c r="C23" s="1">
        <v>1</v>
      </c>
      <c r="D23" s="7">
        <v>0.1</v>
      </c>
      <c r="E23" s="8" t="str">
        <f>HYPERLINK("https://www.alfaelektor.pt/item.php?id=2198",Tabela2[[#This Row],[Produto]])</f>
        <v>Fusivel 3A</v>
      </c>
    </row>
    <row r="24" spans="1:5" x14ac:dyDescent="0.25">
      <c r="A24" s="9" t="s">
        <v>67</v>
      </c>
      <c r="B24" s="10" t="s">
        <v>80</v>
      </c>
      <c r="C24" s="1">
        <v>1</v>
      </c>
      <c r="D24" s="7">
        <v>5.5</v>
      </c>
      <c r="E24" s="8" t="str">
        <f>HYPERLINK(,Tabela2[[#This Row],[Produto]])</f>
        <v>Manga Espiral Wrapping 20-60mm</v>
      </c>
    </row>
    <row r="25" spans="1:5" x14ac:dyDescent="0.25">
      <c r="A25" s="9" t="s">
        <v>82</v>
      </c>
      <c r="B25" s="10" t="s">
        <v>83</v>
      </c>
      <c r="C25" s="1">
        <v>1</v>
      </c>
      <c r="D25" s="7"/>
      <c r="E25" s="8" t="str">
        <f>HYPERLINK(,Tabela2[[#This Row],[Produto]])</f>
        <v>PCB Shield STM32F767ZI</v>
      </c>
    </row>
    <row r="26" spans="1:5" x14ac:dyDescent="0.25">
      <c r="A26" s="9" t="s">
        <v>84</v>
      </c>
      <c r="B26" s="10" t="s">
        <v>85</v>
      </c>
      <c r="C26" s="1">
        <v>1</v>
      </c>
      <c r="D26" s="7">
        <v>0.3</v>
      </c>
      <c r="E26" s="8" t="str">
        <f>HYPERLINK(,Tabela2[[#This Row],[Produto]])</f>
        <v>Barra (2x8) fêmea 2,54 mm PCB</v>
      </c>
    </row>
    <row r="27" spans="1:5" x14ac:dyDescent="0.25">
      <c r="A27" s="9" t="s">
        <v>84</v>
      </c>
      <c r="B27" s="10" t="s">
        <v>86</v>
      </c>
      <c r="C27" s="1">
        <v>1</v>
      </c>
      <c r="D27" s="7">
        <v>0.4</v>
      </c>
      <c r="E27" s="8" t="str">
        <f>HYPERLINK(,Tabela2[[#This Row],[Produto]])</f>
        <v>Barra (2x10) fêmea 2,54 mm PCB</v>
      </c>
    </row>
    <row r="28" spans="1:5" x14ac:dyDescent="0.25">
      <c r="A28" s="9" t="s">
        <v>84</v>
      </c>
      <c r="B28" s="10" t="s">
        <v>87</v>
      </c>
      <c r="C28" s="1">
        <v>1</v>
      </c>
      <c r="D28" s="7">
        <v>0.62</v>
      </c>
      <c r="E28" s="8" t="str">
        <f>HYPERLINK(,Tabela2[[#This Row],[Produto]])</f>
        <v>Barra (2x16) fêmea 2,54 mm PCB</v>
      </c>
    </row>
    <row r="29" spans="1:5" x14ac:dyDescent="0.25">
      <c r="A29" s="9" t="s">
        <v>84</v>
      </c>
      <c r="B29" s="10" t="s">
        <v>88</v>
      </c>
      <c r="C29" s="1">
        <v>1</v>
      </c>
      <c r="D29" s="7">
        <v>0.69</v>
      </c>
      <c r="E29" s="8" t="str">
        <f>HYPERLINK(,Tabela2[[#This Row],[Produto]])</f>
        <v>Barra (2x17) fêmea 2,54 mm PCB</v>
      </c>
    </row>
    <row r="30" spans="1:5" x14ac:dyDescent="0.25">
      <c r="A30" s="9" t="s">
        <v>84</v>
      </c>
      <c r="B30" s="10" t="s">
        <v>89</v>
      </c>
      <c r="C30" s="1">
        <v>2</v>
      </c>
      <c r="D30" s="7">
        <v>0.16</v>
      </c>
      <c r="E30" s="8" t="str">
        <f>HYPERLINK(,Tabela2[[#This Row],[Produto]])</f>
        <v>Barra (2x3) fêmea 2,54 mm PCB</v>
      </c>
    </row>
    <row r="31" spans="1:5" x14ac:dyDescent="0.25">
      <c r="A31" s="9" t="s">
        <v>84</v>
      </c>
      <c r="B31" s="10" t="s">
        <v>90</v>
      </c>
      <c r="C31" s="1">
        <v>1</v>
      </c>
      <c r="D31" s="7">
        <v>0.09</v>
      </c>
      <c r="E31" s="8" t="str">
        <f>HYPERLINK(,Tabela2[[#This Row],[Produto]])</f>
        <v>Barra (1x6) fêmea 2,54 mm PCB</v>
      </c>
    </row>
    <row r="32" spans="1:5" x14ac:dyDescent="0.25">
      <c r="A32" s="9"/>
      <c r="B32" s="10"/>
      <c r="C32" s="1"/>
      <c r="D32" s="7"/>
      <c r="E32" s="8">
        <f>HYPERLINK(,Tabela2[[#This Row],[Produto]])</f>
        <v>0</v>
      </c>
    </row>
    <row r="33" spans="1:5" x14ac:dyDescent="0.25">
      <c r="A33" s="9"/>
      <c r="B33" s="10"/>
      <c r="C33" s="1"/>
      <c r="D33" s="7"/>
      <c r="E33" s="8">
        <f>HYPERLINK(,Tabela2[[#This Row],[Produto]])</f>
        <v>0</v>
      </c>
    </row>
    <row r="34" spans="1:5" x14ac:dyDescent="0.25">
      <c r="A34" s="9"/>
      <c r="B34" s="10"/>
      <c r="C34" s="1"/>
      <c r="D34" s="7"/>
      <c r="E34" s="8">
        <f>HYPERLINK(,Tabela2[[#This Row],[Produto]])</f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2021-06-18T08:34:00Z</dcterms:modified>
</cp:coreProperties>
</file>