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wcupa-my.sharepoint.com/personal/lpyott_wcupa_edu/Documents/Desktop/JRA2022/"/>
    </mc:Choice>
  </mc:AlternateContent>
  <xr:revisionPtr revIDLastSave="0" documentId="8_{F2209FE0-56F9-4D1F-8D65-5A26BD45486B}" xr6:coauthVersionLast="47" xr6:coauthVersionMax="47" xr10:uidLastSave="{00000000-0000-0000-0000-000000000000}"/>
  <bookViews>
    <workbookView xWindow="-110" yWindow="-110" windowWidth="19420" windowHeight="10420" firstSheet="2" activeTab="4" xr2:uid="{00000000-000D-0000-FFFF-FFFF00000000}"/>
  </bookViews>
  <sheets>
    <sheet name="Table 1" sheetId="1" r:id="rId1"/>
    <sheet name="Table 2" sheetId="2" r:id="rId2"/>
    <sheet name="Table 3" sheetId="3" r:id="rId3"/>
    <sheet name="Table 4" sheetId="4" r:id="rId4"/>
    <sheet name="Table 5" sheetId="5" r:id="rId5"/>
    <sheet name="Table 6" sheetId="6" r:id="rId6"/>
    <sheet name="Table 7" sheetId="7" r:id="rId7"/>
    <sheet name="Table 8" sheetId="8" r:id="rId8"/>
    <sheet name="Table 9" sheetId="9" r:id="rId9"/>
    <sheet name="Table 9 additional" sheetId="12" r:id="rId10"/>
    <sheet name="Parameters" sheetId="11" state="hidden" r:id="rId11"/>
  </sheets>
  <definedNames>
    <definedName name="ExternalData_1" localSheetId="5" hidden="1">'Table 6'!#REF!</definedName>
    <definedName name="_xlnm.Print_Area" localSheetId="0">'Table 1'!$B$1:$F$26</definedName>
    <definedName name="_xlnm.Print_Area" localSheetId="1">'Table 2'!$B$1:$N$64</definedName>
    <definedName name="_xlnm.Print_Area" localSheetId="2">'Table 3'!$B$1:$I$22</definedName>
    <definedName name="_xlnm.Print_Area" localSheetId="3">'Table 4'!$B$2:$I$22</definedName>
    <definedName name="_xlnm.Print_Area" localSheetId="4">'Table 5'!$B$1:$J$24</definedName>
    <definedName name="_xlnm.Print_Area" localSheetId="5">'Table 6'!$B$1:$I$53</definedName>
    <definedName name="_xlnm.Print_Area" localSheetId="6">'Table 7'!$B$1:$J$44</definedName>
    <definedName name="_xlnm.Print_Area" localSheetId="7">'Table 8'!$B$1:$J$24</definedName>
    <definedName name="_xlnm.Print_Area" localSheetId="8">'Table 9'!$B$2:$Q$121</definedName>
    <definedName name="_xlnm.Print_Area" localSheetId="9">'Table 9 additional'!$A$1:$P$178</definedName>
    <definedName name="_xlnm.Print_Titles" localSheetId="1">'Table 2'!$1:$1</definedName>
    <definedName name="_xlnm.Print_Titles" localSheetId="5">'Table 6'!$1:$1</definedName>
    <definedName name="_xlnm.Print_Titles" localSheetId="8">'Table 9'!$2:$2</definedName>
    <definedName name="_xlnm.Print_Titles" localSheetId="9">'Table 9 additional'!$1:$1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0" i="9" l="1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B63" i="12"/>
  <c r="C63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B141" i="12"/>
  <c r="C141" i="12"/>
  <c r="D141" i="12"/>
  <c r="E141" i="12"/>
  <c r="F141" i="12"/>
  <c r="G141" i="12"/>
  <c r="H141" i="12"/>
  <c r="I141" i="12"/>
  <c r="J141" i="12"/>
  <c r="K141" i="12"/>
  <c r="L141" i="12"/>
  <c r="M141" i="12"/>
  <c r="N141" i="12"/>
  <c r="O141" i="12"/>
  <c r="P141" i="12"/>
  <c r="B174" i="12"/>
  <c r="C174" i="12"/>
  <c r="D174" i="12"/>
  <c r="E174" i="12"/>
  <c r="F174" i="12"/>
  <c r="G174" i="12"/>
  <c r="H174" i="12"/>
  <c r="I174" i="12"/>
  <c r="J174" i="12"/>
  <c r="K174" i="12"/>
  <c r="L174" i="12"/>
  <c r="M174" i="12"/>
  <c r="N174" i="12"/>
  <c r="O174" i="12"/>
  <c r="P174" i="12"/>
  <c r="C77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B101" i="12"/>
  <c r="C101" i="12"/>
  <c r="D101" i="12"/>
  <c r="E101" i="12"/>
  <c r="F101" i="12"/>
  <c r="G101" i="12"/>
  <c r="H101" i="12"/>
  <c r="I101" i="12"/>
  <c r="J101" i="12"/>
  <c r="K101" i="12"/>
  <c r="L101" i="12"/>
  <c r="M101" i="12"/>
  <c r="N101" i="12"/>
  <c r="O101" i="12"/>
  <c r="P101" i="12"/>
  <c r="C121" i="9"/>
  <c r="D121" i="9"/>
  <c r="E121" i="9"/>
  <c r="F121" i="9"/>
  <c r="G121" i="9"/>
  <c r="H121" i="9"/>
  <c r="I121" i="9"/>
  <c r="J121" i="9"/>
  <c r="K121" i="9"/>
  <c r="L121" i="9"/>
  <c r="M121" i="9"/>
  <c r="N121" i="9"/>
  <c r="O121" i="9"/>
  <c r="P121" i="9"/>
  <c r="Q121" i="9"/>
  <c r="C47" i="6"/>
  <c r="E47" i="6"/>
  <c r="G47" i="6"/>
  <c r="I47" i="6"/>
  <c r="C21" i="5"/>
  <c r="D21" i="5"/>
  <c r="E21" i="5" s="1"/>
  <c r="F21" i="5"/>
  <c r="G21" i="5"/>
  <c r="H21" i="5"/>
  <c r="I21" i="5" s="1"/>
  <c r="J21" i="5"/>
  <c r="C19" i="2"/>
  <c r="D19" i="2"/>
  <c r="N19" i="2" s="1"/>
  <c r="E19" i="2"/>
  <c r="F19" i="2"/>
  <c r="G19" i="2"/>
  <c r="H19" i="2"/>
  <c r="I19" i="2"/>
  <c r="J19" i="2"/>
  <c r="K19" i="2"/>
  <c r="L19" i="2"/>
  <c r="M19" i="2"/>
  <c r="C58" i="2"/>
  <c r="D58" i="2"/>
  <c r="N58" i="2" s="1"/>
  <c r="E58" i="2"/>
  <c r="F58" i="2"/>
  <c r="G58" i="2"/>
  <c r="H58" i="2"/>
  <c r="I58" i="2"/>
  <c r="J58" i="2"/>
  <c r="K58" i="2"/>
  <c r="L58" i="2"/>
  <c r="M58" i="2"/>
  <c r="C39" i="2"/>
  <c r="D39" i="2"/>
  <c r="N39" i="2" s="1"/>
  <c r="E39" i="2"/>
  <c r="F39" i="2"/>
  <c r="G39" i="2"/>
  <c r="H39" i="2"/>
  <c r="I39" i="2"/>
  <c r="J39" i="2"/>
  <c r="K39" i="2"/>
  <c r="L39" i="2"/>
  <c r="M39" i="2"/>
  <c r="C19" i="4"/>
  <c r="D19" i="4"/>
  <c r="F19" i="4"/>
  <c r="H19" i="4" s="1"/>
  <c r="G19" i="4"/>
  <c r="I19" i="4"/>
  <c r="C19" i="3"/>
  <c r="D19" i="3"/>
  <c r="F19" i="3"/>
  <c r="H19" i="3" s="1"/>
  <c r="G19" i="3"/>
  <c r="I19" i="3"/>
  <c r="C21" i="6"/>
  <c r="E21" i="6"/>
  <c r="G21" i="6"/>
  <c r="I21" i="6"/>
  <c r="C20" i="1"/>
  <c r="D20" i="1"/>
  <c r="E20" i="1" s="1"/>
  <c r="F20" i="1" s="1"/>
  <c r="H6" i="7"/>
  <c r="G6" i="7"/>
  <c r="F6" i="7"/>
  <c r="E6" i="7"/>
  <c r="D6" i="7"/>
  <c r="C6" i="7"/>
  <c r="H7" i="7"/>
  <c r="G7" i="7"/>
  <c r="F7" i="7"/>
  <c r="E7" i="7"/>
  <c r="D7" i="7"/>
  <c r="C7" i="7"/>
  <c r="H47" i="6" l="1"/>
  <c r="F47" i="6"/>
  <c r="D47" i="6"/>
  <c r="E19" i="4"/>
  <c r="E19" i="3"/>
  <c r="H21" i="6"/>
  <c r="F21" i="6"/>
  <c r="D21" i="6"/>
  <c r="C182" i="12" l="1"/>
  <c r="E182" i="12"/>
  <c r="H182" i="12"/>
  <c r="I182" i="12"/>
  <c r="J182" i="12"/>
  <c r="K182" i="12"/>
  <c r="N182" i="12"/>
  <c r="O182" i="12"/>
  <c r="P182" i="12"/>
  <c r="G20" i="2" l="1"/>
  <c r="H20" i="2"/>
  <c r="H40" i="2"/>
  <c r="I40" i="2"/>
  <c r="C5" i="8"/>
  <c r="D5" i="8"/>
  <c r="E5" i="8"/>
  <c r="C6" i="8"/>
  <c r="D6" i="8"/>
  <c r="E6" i="8"/>
  <c r="C7" i="8"/>
  <c r="D7" i="8"/>
  <c r="E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C14" i="8"/>
  <c r="D14" i="8"/>
  <c r="E14" i="8"/>
  <c r="C15" i="8"/>
  <c r="D15" i="8"/>
  <c r="E15" i="8"/>
  <c r="C16" i="8"/>
  <c r="D16" i="8"/>
  <c r="E16" i="8"/>
  <c r="C17" i="8"/>
  <c r="D17" i="8"/>
  <c r="E17" i="8"/>
  <c r="C4" i="8"/>
  <c r="D4" i="8"/>
  <c r="E4" i="8"/>
  <c r="H60" i="2"/>
  <c r="I60" i="2"/>
  <c r="B47" i="9"/>
  <c r="B3" i="9"/>
  <c r="C16" i="7"/>
  <c r="D16" i="7"/>
  <c r="E16" i="7"/>
  <c r="F16" i="7"/>
  <c r="G16" i="7"/>
  <c r="H16" i="7"/>
  <c r="C15" i="7"/>
  <c r="D15" i="7"/>
  <c r="E15" i="7"/>
  <c r="F15" i="7"/>
  <c r="G15" i="7"/>
  <c r="H15" i="7"/>
  <c r="C14" i="7"/>
  <c r="D14" i="7"/>
  <c r="E14" i="7"/>
  <c r="F14" i="7"/>
  <c r="G14" i="7"/>
  <c r="H14" i="7"/>
  <c r="C13" i="7"/>
  <c r="D13" i="7"/>
  <c r="E13" i="7"/>
  <c r="F13" i="7"/>
  <c r="G13" i="7"/>
  <c r="H13" i="7"/>
  <c r="C12" i="7"/>
  <c r="D12" i="7"/>
  <c r="E12" i="7"/>
  <c r="F12" i="7"/>
  <c r="G12" i="7"/>
  <c r="H12" i="7"/>
  <c r="C10" i="7"/>
  <c r="D10" i="7"/>
  <c r="E10" i="7"/>
  <c r="F10" i="7"/>
  <c r="G10" i="7"/>
  <c r="H10" i="7"/>
  <c r="C20" i="2"/>
  <c r="B23" i="2"/>
  <c r="K20" i="2"/>
  <c r="A107" i="12"/>
  <c r="A147" i="12"/>
  <c r="D30" i="7"/>
  <c r="E30" i="7"/>
  <c r="F30" i="7"/>
  <c r="G30" i="7"/>
  <c r="H30" i="7"/>
  <c r="C30" i="7"/>
  <c r="D29" i="7"/>
  <c r="E29" i="7"/>
  <c r="F29" i="7"/>
  <c r="G29" i="7"/>
  <c r="H29" i="7"/>
  <c r="C29" i="7"/>
  <c r="D28" i="7"/>
  <c r="E28" i="7"/>
  <c r="F28" i="7"/>
  <c r="G28" i="7"/>
  <c r="H28" i="7"/>
  <c r="C28" i="7"/>
  <c r="E4" i="1"/>
  <c r="J3" i="7"/>
  <c r="C3" i="7"/>
  <c r="D3" i="7"/>
  <c r="E3" i="7"/>
  <c r="F3" i="7"/>
  <c r="G3" i="7"/>
  <c r="H3" i="7"/>
  <c r="D4" i="1"/>
  <c r="C4" i="1"/>
  <c r="A71" i="12"/>
  <c r="A39" i="12"/>
  <c r="A2" i="12"/>
  <c r="B84" i="9"/>
  <c r="B2" i="8"/>
  <c r="B2" i="7"/>
  <c r="B29" i="6"/>
  <c r="B3" i="5"/>
  <c r="B3" i="4"/>
  <c r="B3" i="3"/>
  <c r="B43" i="2"/>
  <c r="B3" i="2"/>
  <c r="B3" i="1"/>
  <c r="K60" i="2"/>
  <c r="K40" i="2"/>
  <c r="J60" i="2"/>
  <c r="F60" i="2"/>
  <c r="D60" i="2"/>
  <c r="J40" i="2"/>
  <c r="F40" i="2"/>
  <c r="D40" i="2"/>
  <c r="C40" i="2"/>
  <c r="E40" i="2"/>
  <c r="G40" i="2"/>
  <c r="C60" i="2"/>
  <c r="E60" i="2"/>
  <c r="G60" i="2"/>
  <c r="D34" i="7"/>
  <c r="E34" i="7"/>
  <c r="F34" i="7"/>
  <c r="G34" i="7"/>
  <c r="H34" i="7"/>
  <c r="C34" i="7"/>
  <c r="D33" i="7"/>
  <c r="E33" i="7"/>
  <c r="F33" i="7"/>
  <c r="G33" i="7"/>
  <c r="H33" i="7"/>
  <c r="C33" i="7"/>
  <c r="D27" i="7"/>
  <c r="E27" i="7"/>
  <c r="F27" i="7"/>
  <c r="G27" i="7"/>
  <c r="H27" i="7"/>
  <c r="C27" i="7"/>
  <c r="D19" i="7"/>
  <c r="E19" i="7"/>
  <c r="F19" i="7"/>
  <c r="G19" i="7"/>
  <c r="H19" i="7"/>
  <c r="C19" i="7"/>
  <c r="D18" i="7"/>
  <c r="E18" i="7"/>
  <c r="F18" i="7"/>
  <c r="G18" i="7"/>
  <c r="H18" i="7"/>
  <c r="C18" i="7"/>
  <c r="D17" i="7"/>
  <c r="E17" i="7"/>
  <c r="F17" i="7"/>
  <c r="G17" i="7"/>
  <c r="H17" i="7"/>
  <c r="C17" i="7"/>
  <c r="H11" i="7"/>
  <c r="G11" i="7"/>
  <c r="F11" i="7"/>
  <c r="E11" i="7"/>
  <c r="D11" i="7"/>
  <c r="C11" i="7"/>
  <c r="H9" i="7"/>
  <c r="G9" i="7"/>
  <c r="F9" i="7"/>
  <c r="E9" i="7"/>
  <c r="D9" i="7"/>
  <c r="C9" i="7"/>
  <c r="C8" i="7"/>
  <c r="H8" i="7"/>
  <c r="G8" i="7"/>
  <c r="F8" i="7"/>
  <c r="E8" i="7"/>
  <c r="D8" i="7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4" i="8"/>
  <c r="B3" i="6"/>
  <c r="I33" i="7" l="1"/>
  <c r="I18" i="7"/>
  <c r="I7" i="7"/>
  <c r="I12" i="7"/>
  <c r="I14" i="7"/>
  <c r="I16" i="7"/>
  <c r="I9" i="7"/>
  <c r="I10" i="7"/>
  <c r="I13" i="7"/>
  <c r="I15" i="7"/>
  <c r="I6" i="7"/>
  <c r="C31" i="7"/>
  <c r="H31" i="7"/>
  <c r="I29" i="7"/>
  <c r="I30" i="7"/>
  <c r="H15" i="8"/>
  <c r="I15" i="8" s="1"/>
  <c r="H5" i="8"/>
  <c r="I5" i="8" s="1"/>
  <c r="D31" i="7"/>
  <c r="E20" i="7"/>
  <c r="E21" i="7" s="1"/>
  <c r="I17" i="7"/>
  <c r="I19" i="7"/>
  <c r="I28" i="7"/>
  <c r="F20" i="7"/>
  <c r="F23" i="7" s="1"/>
  <c r="F31" i="7"/>
  <c r="E31" i="7"/>
  <c r="H8" i="8"/>
  <c r="I8" i="8" s="1"/>
  <c r="H14" i="8"/>
  <c r="I14" i="8" s="1"/>
  <c r="H7" i="8"/>
  <c r="J7" i="8" s="1"/>
  <c r="H12" i="8"/>
  <c r="J12" i="8" s="1"/>
  <c r="H9" i="8"/>
  <c r="I9" i="8" s="1"/>
  <c r="H11" i="8"/>
  <c r="J11" i="8" s="1"/>
  <c r="F18" i="8"/>
  <c r="H16" i="8"/>
  <c r="I16" i="8" s="1"/>
  <c r="H6" i="8"/>
  <c r="I6" i="8" s="1"/>
  <c r="H10" i="8"/>
  <c r="J10" i="8" s="1"/>
  <c r="H17" i="8"/>
  <c r="J17" i="8" s="1"/>
  <c r="D18" i="8"/>
  <c r="H4" i="8"/>
  <c r="I4" i="8" s="1"/>
  <c r="G18" i="8"/>
  <c r="E18" i="8"/>
  <c r="H13" i="8"/>
  <c r="J13" i="8" s="1"/>
  <c r="G20" i="7"/>
  <c r="G25" i="7" s="1"/>
  <c r="H20" i="7"/>
  <c r="I8" i="7"/>
  <c r="D20" i="7"/>
  <c r="D25" i="7" s="1"/>
  <c r="I27" i="7"/>
  <c r="G31" i="7"/>
  <c r="I34" i="7"/>
  <c r="J20" i="2"/>
  <c r="F20" i="2"/>
  <c r="E20" i="2"/>
  <c r="I20" i="2"/>
  <c r="D20" i="2"/>
  <c r="I11" i="7"/>
  <c r="C20" i="7"/>
  <c r="C18" i="8"/>
  <c r="F35" i="7" l="1"/>
  <c r="F36" i="7" s="1"/>
  <c r="I31" i="7"/>
  <c r="E25" i="7"/>
  <c r="F22" i="7"/>
  <c r="H35" i="7"/>
  <c r="H32" i="7" s="1"/>
  <c r="F21" i="7"/>
  <c r="J9" i="8"/>
  <c r="J4" i="8"/>
  <c r="G35" i="7"/>
  <c r="G32" i="7" s="1"/>
  <c r="E23" i="7"/>
  <c r="D22" i="7"/>
  <c r="E22" i="7"/>
  <c r="D35" i="7"/>
  <c r="D37" i="7" s="1"/>
  <c r="E35" i="7"/>
  <c r="E24" i="7" s="1"/>
  <c r="J5" i="8"/>
  <c r="J15" i="8"/>
  <c r="J16" i="8"/>
  <c r="J8" i="8"/>
  <c r="J6" i="8"/>
  <c r="F25" i="7"/>
  <c r="J14" i="8"/>
  <c r="I12" i="8"/>
  <c r="H18" i="8"/>
  <c r="I18" i="8" s="1"/>
  <c r="I11" i="8"/>
  <c r="I7" i="8"/>
  <c r="I10" i="8"/>
  <c r="I13" i="8"/>
  <c r="I17" i="8"/>
  <c r="G23" i="7"/>
  <c r="G21" i="7"/>
  <c r="H23" i="7"/>
  <c r="H21" i="7"/>
  <c r="H22" i="7"/>
  <c r="D21" i="7"/>
  <c r="D23" i="7"/>
  <c r="H25" i="7"/>
  <c r="I20" i="7"/>
  <c r="G22" i="7"/>
  <c r="C21" i="7"/>
  <c r="C25" i="7"/>
  <c r="C35" i="7"/>
  <c r="C23" i="7"/>
  <c r="C22" i="7"/>
  <c r="F37" i="7" l="1"/>
  <c r="F32" i="7"/>
  <c r="F38" i="7"/>
  <c r="F24" i="7"/>
  <c r="F39" i="7"/>
  <c r="J10" i="7"/>
  <c r="H37" i="7"/>
  <c r="J18" i="7"/>
  <c r="J12" i="7"/>
  <c r="I35" i="7"/>
  <c r="J15" i="7"/>
  <c r="J35" i="7"/>
  <c r="J17" i="7"/>
  <c r="J8" i="7"/>
  <c r="J20" i="7"/>
  <c r="J6" i="7"/>
  <c r="J29" i="7"/>
  <c r="H36" i="7"/>
  <c r="J13" i="7"/>
  <c r="J7" i="7"/>
  <c r="J14" i="7"/>
  <c r="J30" i="7"/>
  <c r="H39" i="7"/>
  <c r="J31" i="7"/>
  <c r="J9" i="7"/>
  <c r="J11" i="7"/>
  <c r="J16" i="7"/>
  <c r="J19" i="7"/>
  <c r="J33" i="7"/>
  <c r="J34" i="7"/>
  <c r="J28" i="7"/>
  <c r="J27" i="7"/>
  <c r="H24" i="7"/>
  <c r="H38" i="7"/>
  <c r="G39" i="7"/>
  <c r="G37" i="7"/>
  <c r="G24" i="7"/>
  <c r="D38" i="7"/>
  <c r="D32" i="7"/>
  <c r="D39" i="7"/>
  <c r="G36" i="7"/>
  <c r="G38" i="7"/>
  <c r="E39" i="7"/>
  <c r="D24" i="7"/>
  <c r="E32" i="7"/>
  <c r="D36" i="7"/>
  <c r="E38" i="7"/>
  <c r="E36" i="7"/>
  <c r="E37" i="7"/>
  <c r="J18" i="8"/>
  <c r="C24" i="7"/>
  <c r="C39" i="7"/>
  <c r="C37" i="7"/>
  <c r="C38" i="7"/>
  <c r="C36" i="7"/>
  <c r="C32" i="7"/>
</calcChain>
</file>

<file path=xl/sharedStrings.xml><?xml version="1.0" encoding="utf-8"?>
<sst xmlns="http://schemas.openxmlformats.org/spreadsheetml/2006/main" count="922" uniqueCount="287">
  <si>
    <t>System Total</t>
  </si>
  <si>
    <t>YearSemester</t>
  </si>
  <si>
    <t>Extract Type</t>
  </si>
  <si>
    <t>Official / Active</t>
  </si>
  <si>
    <t>F</t>
  </si>
  <si>
    <t>Table 1</t>
  </si>
  <si>
    <t>Source: Data Warehouse, Student Data Submission</t>
  </si>
  <si>
    <t>Official Reporting Date: End of the 15th day of classes</t>
  </si>
  <si>
    <t>University</t>
  </si>
  <si>
    <t>Bloomsburg</t>
  </si>
  <si>
    <t>California</t>
  </si>
  <si>
    <t>Cheyney</t>
  </si>
  <si>
    <t>Clarion</t>
  </si>
  <si>
    <t>East Stroudsburg</t>
  </si>
  <si>
    <t>Edinboro</t>
  </si>
  <si>
    <t>Indiana</t>
  </si>
  <si>
    <t>Kutztown</t>
  </si>
  <si>
    <t>Lock Haven</t>
  </si>
  <si>
    <t>Mansfield</t>
  </si>
  <si>
    <t>Millersville</t>
  </si>
  <si>
    <t>Shippensburg</t>
  </si>
  <si>
    <t>Slippery Rock</t>
  </si>
  <si>
    <t>West Chester</t>
  </si>
  <si>
    <t>Total</t>
  </si>
  <si>
    <t>Table 2</t>
  </si>
  <si>
    <t>Percent of Total</t>
  </si>
  <si>
    <t>*Excludes Non-resident Alien, Unknown students (also excluded from denominator for Percent Minority)</t>
  </si>
  <si>
    <t>Undergraduate</t>
  </si>
  <si>
    <t>Graduate</t>
  </si>
  <si>
    <t>Table 3</t>
  </si>
  <si>
    <t>Table 5</t>
  </si>
  <si>
    <t>PA Resident</t>
  </si>
  <si>
    <t>Non-PA Resident</t>
  </si>
  <si>
    <t>Table 4</t>
  </si>
  <si>
    <t>Table 6</t>
  </si>
  <si>
    <t>Non-Traditional*</t>
  </si>
  <si>
    <t>Traditional</t>
  </si>
  <si>
    <t>Unknown Age**</t>
  </si>
  <si>
    <t>Number</t>
  </si>
  <si>
    <t>Percent</t>
  </si>
  <si>
    <t>**The age of some students is unknown because they choose not to report their age.</t>
  </si>
  <si>
    <t>Pennsylvania State System of Higher Education</t>
  </si>
  <si>
    <t>Five-Year Percent Change</t>
  </si>
  <si>
    <t>A. Community Colleges</t>
  </si>
  <si>
    <t>Comm. College of Allegheny County</t>
  </si>
  <si>
    <t>Comm. College of Beaver County</t>
  </si>
  <si>
    <t>Bucks County</t>
  </si>
  <si>
    <t>Butler County</t>
  </si>
  <si>
    <t>Pennsylvania Highlands</t>
  </si>
  <si>
    <t>Delaware County</t>
  </si>
  <si>
    <t>Harrisburg Area</t>
  </si>
  <si>
    <t xml:space="preserve">Lehigh Carbon </t>
  </si>
  <si>
    <t>Luzerne County</t>
  </si>
  <si>
    <t>Montgomery County</t>
  </si>
  <si>
    <t>Northampton County</t>
  </si>
  <si>
    <t>Comm. College of Philadelphia</t>
  </si>
  <si>
    <t xml:space="preserve">Reading Area </t>
  </si>
  <si>
    <t>Westmoreland County</t>
  </si>
  <si>
    <t>Total Community Colleges</t>
  </si>
  <si>
    <t>Percent of Minority CC Students</t>
  </si>
  <si>
    <t>Percent of Fulltime CC Students</t>
  </si>
  <si>
    <t>Percent of Traditional CC Students</t>
  </si>
  <si>
    <t>CC Students as % of Transfer Total</t>
  </si>
  <si>
    <t>CC Students as % of Total New UG Students</t>
  </si>
  <si>
    <t>B. State-Related</t>
  </si>
  <si>
    <t>Lincoln</t>
  </si>
  <si>
    <t>Penn State</t>
  </si>
  <si>
    <t>Pitt</t>
  </si>
  <si>
    <t>Temple</t>
  </si>
  <si>
    <t>Total State-Related</t>
  </si>
  <si>
    <t>State-Related as % of Total</t>
  </si>
  <si>
    <t>C. Intra-system Transfers</t>
  </si>
  <si>
    <t>D. Other Colleges and Universities</t>
  </si>
  <si>
    <t>Total New Undergraduate Transfers</t>
  </si>
  <si>
    <t>Percent of Minority Transfer Students</t>
  </si>
  <si>
    <t>Percent of Full time Transfer Students</t>
  </si>
  <si>
    <t>Percent of Traditional Transfer Students</t>
  </si>
  <si>
    <t>New Transfer Student as % of Total New UG</t>
  </si>
  <si>
    <t>Note: Minority Students Include Two or More Races</t>
  </si>
  <si>
    <t>Percent Change</t>
  </si>
  <si>
    <t>On-campus university housing</t>
  </si>
  <si>
    <t>On-campus  university affiliated housing*</t>
  </si>
  <si>
    <t>Off-campus university affiliated housing**</t>
  </si>
  <si>
    <t>Off-campus, living with parent</t>
  </si>
  <si>
    <t>Other off-campus</t>
  </si>
  <si>
    <t>% On-campus</t>
  </si>
  <si>
    <t>CC</t>
  </si>
  <si>
    <t>Related</t>
  </si>
  <si>
    <t>Intra</t>
  </si>
  <si>
    <t>Trad CC</t>
  </si>
  <si>
    <t>FTPT CC</t>
  </si>
  <si>
    <t>Minority CC</t>
  </si>
  <si>
    <t>FTPT</t>
  </si>
  <si>
    <t>Minority</t>
  </si>
  <si>
    <t>TRAD</t>
  </si>
  <si>
    <t>New UG</t>
  </si>
  <si>
    <t>ClockHourStudents?</t>
  </si>
  <si>
    <t>N</t>
  </si>
  <si>
    <t>CulinaryClockHourOnly?</t>
  </si>
  <si>
    <t>PA Residents Only</t>
  </si>
  <si>
    <t>Pennsylvania's State System of Higher Education</t>
  </si>
  <si>
    <t>Percent
Non-PA Resident</t>
  </si>
  <si>
    <t>Percent of students living in either university housing or university affiliated housing</t>
  </si>
  <si>
    <t>*On campus university affiliated housing includes any facility that houses students that is not owned by the university (but is on university owned land) where a partnership exists between the university and the building owner.</t>
  </si>
  <si>
    <t>**Off-campus university affiliated housing includes any facility that houses students that is not owned by the university but where a partnership exists between the university and the building owner.</t>
  </si>
  <si>
    <t>*Non-traditional students are defined as undergraduates who are 25 years of age or older as of freeze date.</t>
  </si>
  <si>
    <t>Y</t>
  </si>
  <si>
    <t>Note: Includes clock hour students</t>
  </si>
  <si>
    <t>Note: Includes clock hour students if they are in certificate-seeking program</t>
  </si>
  <si>
    <t>*** Degree Seeking is certificate-, associate- or bachelor-seeking.</t>
  </si>
  <si>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Excludes CIPs that begin with 99 (non-degrees) and second majors
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Secondary Education majors are counted in their home discipline
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Many entering students do not declare a major as freshmen
</t>
    </r>
    <r>
      <rPr>
        <vertAlign val="superscript"/>
        <sz val="10"/>
        <rFont val="Arial"/>
        <family val="2"/>
      </rPr>
      <t>4</t>
    </r>
    <r>
      <rPr>
        <sz val="10"/>
        <rFont val="Arial"/>
        <family val="2"/>
      </rPr>
      <t>Social Sciences includes Criminology; Criminal Justice is in Protective Services</t>
    </r>
  </si>
  <si>
    <t>Enrolled Student definition</t>
  </si>
  <si>
    <t>Note: Administrative counts, based on Enrolled Student definition. Includes clock hour students.</t>
  </si>
  <si>
    <t>White</t>
  </si>
  <si>
    <t>Hispanic</t>
  </si>
  <si>
    <t>American Indian</t>
  </si>
  <si>
    <t>Asian</t>
  </si>
  <si>
    <t>Black or African-American</t>
  </si>
  <si>
    <t>Native Hawaiian/Pacific Islander</t>
  </si>
  <si>
    <t>Non-Resident Alien</t>
  </si>
  <si>
    <t>Unknown</t>
  </si>
  <si>
    <t>Two or More Races</t>
  </si>
  <si>
    <t>Total Minority*</t>
  </si>
  <si>
    <t>Percent Minority*</t>
  </si>
  <si>
    <t>Year1</t>
  </si>
  <si>
    <t>Year2</t>
  </si>
  <si>
    <t>Change</t>
  </si>
  <si>
    <t>PercentChange</t>
  </si>
  <si>
    <t xml:space="preserve">Bloomsburg                                        </t>
  </si>
  <si>
    <t xml:space="preserve">California                                        </t>
  </si>
  <si>
    <t xml:space="preserve">Cheyney                                           </t>
  </si>
  <si>
    <t xml:space="preserve">Clarion                                           </t>
  </si>
  <si>
    <t xml:space="preserve">East Stroudsburg                                  </t>
  </si>
  <si>
    <t xml:space="preserve">Edinboro                                          </t>
  </si>
  <si>
    <t xml:space="preserve">Indiana                                           </t>
  </si>
  <si>
    <t xml:space="preserve">Kutztown                                          </t>
  </si>
  <si>
    <t xml:space="preserve">Lock Haven                                        </t>
  </si>
  <si>
    <t xml:space="preserve">Mansfield                                         </t>
  </si>
  <si>
    <t xml:space="preserve">Millersville                                      </t>
  </si>
  <si>
    <t xml:space="preserve">Shippensburg                                      </t>
  </si>
  <si>
    <t xml:space="preserve">Slippery Rock                                     </t>
  </si>
  <si>
    <t xml:space="preserve">West Chester                                      </t>
  </si>
  <si>
    <t>Female</t>
  </si>
  <si>
    <t>Male</t>
  </si>
  <si>
    <t>Percent Female</t>
  </si>
  <si>
    <t>PA Residents</t>
  </si>
  <si>
    <t>Non-PA Residents</t>
  </si>
  <si>
    <t>Percent PA Residents</t>
  </si>
  <si>
    <t>Percent Undergraduate</t>
  </si>
  <si>
    <t>Full-time</t>
  </si>
  <si>
    <t>Part-time</t>
  </si>
  <si>
    <t>Percent Full-time</t>
  </si>
  <si>
    <t>UniversityName</t>
  </si>
  <si>
    <t>Non-Trad Num</t>
  </si>
  <si>
    <t>Non-Trad %</t>
  </si>
  <si>
    <t>Trad Num</t>
  </si>
  <si>
    <t>Trad %</t>
  </si>
  <si>
    <t>Unknwon Num</t>
  </si>
  <si>
    <t>Unknown %</t>
  </si>
  <si>
    <t>UG PA Resident</t>
  </si>
  <si>
    <t>UG Non PA Resident</t>
  </si>
  <si>
    <t>UG % Non-PA Resident</t>
  </si>
  <si>
    <t>UG Total</t>
  </si>
  <si>
    <t>GR PA Resident</t>
  </si>
  <si>
    <t>GR Non PA Resident</t>
  </si>
  <si>
    <t>GR % Non-PA Resident</t>
  </si>
  <si>
    <t>GR Total</t>
  </si>
  <si>
    <t>Disciplinary Field (CIP) *</t>
  </si>
  <si>
    <t>BL</t>
  </si>
  <si>
    <t>CA</t>
  </si>
  <si>
    <t>CH</t>
  </si>
  <si>
    <t>CL</t>
  </si>
  <si>
    <t>EA</t>
  </si>
  <si>
    <t>ED</t>
  </si>
  <si>
    <t>IN</t>
  </si>
  <si>
    <t>KU</t>
  </si>
  <si>
    <t>LO</t>
  </si>
  <si>
    <t>MA</t>
  </si>
  <si>
    <t>MI</t>
  </si>
  <si>
    <t>SH</t>
  </si>
  <si>
    <t>SL</t>
  </si>
  <si>
    <t>WE</t>
  </si>
  <si>
    <t>Business</t>
  </si>
  <si>
    <t>Education**</t>
  </si>
  <si>
    <t>Health Professions</t>
  </si>
  <si>
    <t>Psychology</t>
  </si>
  <si>
    <t>Parks/Recreation</t>
  </si>
  <si>
    <t>Biological Sciences</t>
  </si>
  <si>
    <t>Visual/Performing Arts</t>
  </si>
  <si>
    <t>Social Sciences****</t>
  </si>
  <si>
    <t>Protective Services</t>
  </si>
  <si>
    <t>Public Admin</t>
  </si>
  <si>
    <t>Computer/Info Science</t>
  </si>
  <si>
    <t>Communication</t>
  </si>
  <si>
    <t>English Language</t>
  </si>
  <si>
    <t>Physical Sciences</t>
  </si>
  <si>
    <t>Engineering Tech</t>
  </si>
  <si>
    <t>History</t>
  </si>
  <si>
    <t>Mathematics</t>
  </si>
  <si>
    <t>Engineering</t>
  </si>
  <si>
    <t>Liberal Arts</t>
  </si>
  <si>
    <t>Teacher Certification</t>
  </si>
  <si>
    <t>Interdisciplinary</t>
  </si>
  <si>
    <t>Foreign Languages</t>
  </si>
  <si>
    <t>Library Science</t>
  </si>
  <si>
    <t>Environmental Science</t>
  </si>
  <si>
    <t>Human Science</t>
  </si>
  <si>
    <t>Personal/Culinary</t>
  </si>
  <si>
    <t>Communication Tech</t>
  </si>
  <si>
    <t>Philosophy/Religion</t>
  </si>
  <si>
    <t>Legal</t>
  </si>
  <si>
    <t>Agriculture</t>
  </si>
  <si>
    <t>Architecture</t>
  </si>
  <si>
    <t>Ethnic/Cultural</t>
  </si>
  <si>
    <t>Science Tech</t>
  </si>
  <si>
    <t>Undeclared***</t>
  </si>
  <si>
    <t>Non-degree</t>
  </si>
  <si>
    <t>STEM*****</t>
  </si>
  <si>
    <t>Business'</t>
  </si>
  <si>
    <t>Health Professions'</t>
  </si>
  <si>
    <t>Psychology'</t>
  </si>
  <si>
    <t>Visual/Performing Arts'</t>
  </si>
  <si>
    <t>Parks/Recreation'</t>
  </si>
  <si>
    <t>Protective Services'</t>
  </si>
  <si>
    <t>Communication'</t>
  </si>
  <si>
    <t>English Language'</t>
  </si>
  <si>
    <t>Public Admin'</t>
  </si>
  <si>
    <t>History'</t>
  </si>
  <si>
    <t>Liberal Arts'</t>
  </si>
  <si>
    <t>Foreign Languages'</t>
  </si>
  <si>
    <t>Interdisciplinary'</t>
  </si>
  <si>
    <t>Human Science'</t>
  </si>
  <si>
    <t>Communication Tech'</t>
  </si>
  <si>
    <t>Philosophy/Religion'</t>
  </si>
  <si>
    <t>Architecture'</t>
  </si>
  <si>
    <t>Ethnic/Cultural'</t>
  </si>
  <si>
    <t>Agriculture'</t>
  </si>
  <si>
    <t>Legal'</t>
  </si>
  <si>
    <t>Library Science'</t>
  </si>
  <si>
    <t>Non-degree***</t>
  </si>
  <si>
    <t>2016</t>
  </si>
  <si>
    <t>2017</t>
  </si>
  <si>
    <t>2018</t>
  </si>
  <si>
    <t>2019</t>
  </si>
  <si>
    <t>2020</t>
  </si>
  <si>
    <t>2021</t>
  </si>
  <si>
    <t>NonTrad</t>
  </si>
  <si>
    <t>Trad</t>
  </si>
  <si>
    <t>Full_Part</t>
  </si>
  <si>
    <t>FT</t>
  </si>
  <si>
    <t>PT</t>
  </si>
  <si>
    <t>TransCollegeName</t>
  </si>
  <si>
    <t>BUCKS COUNTY CMTY COLLEGE</t>
  </si>
  <si>
    <t>BUTLER COUNTY CMTY COLL PA</t>
  </si>
  <si>
    <t>CENTRAL PENN CMNTY COLG-HACC</t>
  </si>
  <si>
    <t>CMNTY COLG BEAVER COUNTY</t>
  </si>
  <si>
    <t>COMMUNITY C ALLEGHENY CO ALGHNY</t>
  </si>
  <si>
    <t>COMMUNITY C ALLEGHENY CO BOYCE</t>
  </si>
  <si>
    <t>COMMUNITY C ALLEGHENY CO NORTH</t>
  </si>
  <si>
    <t>COMMUNITY C ALLEGHENY CO SOUTH</t>
  </si>
  <si>
    <t>COMMUNITY COLG OF PHILADELPHIA</t>
  </si>
  <si>
    <t>DELAWARE CO CMTY COLLEGE</t>
  </si>
  <si>
    <t>LEHIGH CARBON COMMUNITY COLG</t>
  </si>
  <si>
    <t>LUZERNE CO CMTY COLLEGE</t>
  </si>
  <si>
    <t>MONTGOMERY COUNTY CMNTY COLG</t>
  </si>
  <si>
    <t>NORTHAMPTON CO AREA CMTY COLL</t>
  </si>
  <si>
    <t>PENNSYLVANIA HIGHLANDS CC</t>
  </si>
  <si>
    <t>READING AREA CMTY COLLEGE</t>
  </si>
  <si>
    <t>WESTMORELAND CO CMTY COLLEGE</t>
  </si>
  <si>
    <t>LINCOLN UNIV OF PENNSYLVANIA</t>
  </si>
  <si>
    <t>PENNSYLVANIA ST UNIV NEW KENS</t>
  </si>
  <si>
    <t>PENNSYLVANIA STATE UNIVERSITY</t>
  </si>
  <si>
    <t>TEMPLE UNIVERSITY</t>
  </si>
  <si>
    <t>UNIV PITTSBURGH BRADFORD</t>
  </si>
  <si>
    <t>UNIV PITTSBURGH GENL STUDIES</t>
  </si>
  <si>
    <t>UNIV PITTSBURGH GREENSBURG</t>
  </si>
  <si>
    <t>UNIV PITTSBURGH JOHNSTOWN</t>
  </si>
  <si>
    <t>UNIV PITTSBURGH PITTSBURGH</t>
  </si>
  <si>
    <t>UNIV PITTSBURGH TITUSVILLE</t>
  </si>
  <si>
    <t>Commuter, living with parent or relative</t>
  </si>
  <si>
    <t>Off-campus University-affiliated Housing</t>
  </si>
  <si>
    <t>On-campus Non-university Housing</t>
  </si>
  <si>
    <t>On-campus University Housing</t>
  </si>
  <si>
    <t>Other Off-campus</t>
  </si>
  <si>
    <t>Other Off-campus, not living with parent or rel</t>
  </si>
  <si>
    <t>Other Off-campus, not living with parent or relati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</si>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</sst>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(* #,##0_);_(* \(#,##0\);_(* &quot;-&quot;??_);_(@_)"/>
    <numFmt numFmtId="165" formatCode="_(* #,##0.0_);_(* \(#,##0.0\);_(* &quot;-&quot;?_);_(@_)"/>
    <numFmt numFmtId="166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8"/>
      <color theme="3"/>
      <name val="Cambria"/>
      <family val="2"/>
      <scheme val="major"/>
    </font>
    <font>
      <sz val="11"/>
      <name val="Arial"/>
      <family val="2"/>
    </font>
    <font>
      <i/>
      <sz val="11"/>
      <name val="Arial"/>
      <family val="2"/>
    </font>
    <font>
      <sz val="11"/>
      <color indexed="8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2"/>
      <color indexed="8"/>
      <name val="Arial"/>
      <family val="2"/>
    </font>
    <font>
      <vertAlign val="superscript"/>
      <sz val="10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153D6D"/>
        <bgColor indexed="64"/>
      </patternFill>
    </fill>
    <fill>
      <patternFill patternType="solid">
        <fgColor rgb="FFCEAE5E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B8CCE4"/>
      </bottom>
      <diagonal/>
    </border>
    <border>
      <left style="thin">
        <color auto="1"/>
      </left>
      <right style="thin">
        <color auto="1"/>
      </right>
      <top style="thin">
        <color rgb="FFB8CCE4"/>
      </top>
      <bottom style="thin">
        <color rgb="FFB8CCE4"/>
      </bottom>
      <diagonal/>
    </border>
    <border>
      <left style="thin">
        <color auto="1"/>
      </left>
      <right style="thin">
        <color auto="1"/>
      </right>
      <top style="thin">
        <color rgb="FFB8CCE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6" fillId="7" borderId="0" applyNumberFormat="0" applyBorder="0" applyAlignment="0" applyProtection="0"/>
    <xf numFmtId="0" fontId="7" fillId="6" borderId="0" applyNumberFormat="0" applyBorder="0" applyAlignment="0" applyProtection="0"/>
    <xf numFmtId="0" fontId="6" fillId="5" borderId="0" applyNumberFormat="0" applyBorder="0" applyAlignment="0" applyProtection="0"/>
    <xf numFmtId="0" fontId="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14">
    <xf numFmtId="0" fontId="0" fillId="0" borderId="0" xfId="0"/>
    <xf numFmtId="0" fontId="6" fillId="0" borderId="0" xfId="0" applyFont="1"/>
    <xf numFmtId="0" fontId="6" fillId="0" borderId="0" xfId="0" applyFont="1" applyBorder="1"/>
    <xf numFmtId="3" fontId="9" fillId="0" borderId="0" xfId="0" applyNumberFormat="1" applyFont="1" applyFill="1" applyBorder="1" applyAlignment="1"/>
    <xf numFmtId="165" fontId="9" fillId="0" borderId="0" xfId="0" applyNumberFormat="1" applyFont="1" applyFill="1" applyAlignment="1">
      <alignment horizontal="center"/>
    </xf>
    <xf numFmtId="0" fontId="9" fillId="0" borderId="0" xfId="0" applyFont="1" applyAlignment="1">
      <alignment vertical="center"/>
    </xf>
    <xf numFmtId="164" fontId="9" fillId="0" borderId="0" xfId="0" applyNumberFormat="1" applyFont="1" applyFill="1" applyBorder="1" applyAlignment="1">
      <alignment vertical="center" wrapText="1"/>
    </xf>
    <xf numFmtId="0" fontId="6" fillId="3" borderId="0" xfId="0" applyFont="1" applyFill="1" applyBorder="1"/>
    <xf numFmtId="10" fontId="6" fillId="3" borderId="0" xfId="0" applyNumberFormat="1" applyFont="1" applyFill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6" fillId="0" borderId="0" xfId="0" applyFont="1" applyFill="1" applyAlignment="1">
      <alignment horizontal="left"/>
    </xf>
    <xf numFmtId="3" fontId="6" fillId="0" borderId="0" xfId="0" applyNumberFormat="1" applyFont="1" applyFill="1" applyAlignment="1">
      <alignment horizontal="center"/>
    </xf>
    <xf numFmtId="166" fontId="6" fillId="0" borderId="0" xfId="0" applyNumberFormat="1" applyFont="1" applyFill="1" applyAlignment="1">
      <alignment horizontal="center"/>
    </xf>
    <xf numFmtId="0" fontId="9" fillId="0" borderId="0" xfId="0" applyFont="1"/>
    <xf numFmtId="3" fontId="9" fillId="0" borderId="0" xfId="0" applyNumberFormat="1" applyFont="1" applyBorder="1" applyAlignment="1">
      <alignment horizontal="center"/>
    </xf>
    <xf numFmtId="164" fontId="9" fillId="0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6" fillId="0" borderId="5" xfId="0" applyFont="1" applyBorder="1"/>
    <xf numFmtId="0" fontId="6" fillId="0" borderId="5" xfId="0" applyFont="1" applyFill="1" applyBorder="1"/>
    <xf numFmtId="0" fontId="9" fillId="0" borderId="0" xfId="0" applyFont="1" applyBorder="1" applyAlignment="1">
      <alignment horizontal="center"/>
    </xf>
    <xf numFmtId="0" fontId="7" fillId="6" borderId="5" xfId="2" applyFont="1" applyBorder="1" applyAlignment="1">
      <alignment horizontal="center" vertical="center" wrapText="1"/>
    </xf>
    <xf numFmtId="0" fontId="9" fillId="0" borderId="0" xfId="0" applyFont="1" applyFill="1" applyBorder="1" applyAlignment="1"/>
    <xf numFmtId="164" fontId="9" fillId="0" borderId="0" xfId="0" applyNumberFormat="1" applyFont="1" applyFill="1" applyBorder="1" applyAlignment="1"/>
    <xf numFmtId="164" fontId="9" fillId="0" borderId="0" xfId="0" applyNumberFormat="1" applyFont="1" applyFill="1" applyBorder="1" applyAlignment="1">
      <alignment horizontal="center"/>
    </xf>
    <xf numFmtId="10" fontId="9" fillId="0" borderId="0" xfId="0" applyNumberFormat="1" applyFont="1" applyFill="1" applyBorder="1" applyAlignment="1">
      <alignment horizontal="center"/>
    </xf>
    <xf numFmtId="0" fontId="13" fillId="0" borderId="0" xfId="0" applyFont="1" applyAlignment="1"/>
    <xf numFmtId="0" fontId="14" fillId="0" borderId="0" xfId="0" applyFont="1" applyAlignment="1">
      <alignment vertical="center"/>
    </xf>
    <xf numFmtId="0" fontId="6" fillId="5" borderId="5" xfId="3" applyFont="1" applyBorder="1"/>
    <xf numFmtId="0" fontId="6" fillId="3" borderId="6" xfId="0" applyFont="1" applyFill="1" applyBorder="1"/>
    <xf numFmtId="0" fontId="14" fillId="0" borderId="0" xfId="0" applyFont="1" applyBorder="1" applyAlignment="1">
      <alignment vertical="center"/>
    </xf>
    <xf numFmtId="0" fontId="6" fillId="3" borderId="6" xfId="0" applyFont="1" applyFill="1" applyBorder="1" applyAlignment="1">
      <alignment horizontal="left"/>
    </xf>
    <xf numFmtId="3" fontId="6" fillId="3" borderId="6" xfId="0" applyNumberFormat="1" applyFont="1" applyFill="1" applyBorder="1" applyAlignment="1">
      <alignment horizontal="left"/>
    </xf>
    <xf numFmtId="0" fontId="7" fillId="6" borderId="5" xfId="2" applyFont="1" applyBorder="1" applyAlignment="1">
      <alignment horizontal="center" vertical="center"/>
    </xf>
    <xf numFmtId="3" fontId="6" fillId="3" borderId="6" xfId="0" applyNumberFormat="1" applyFont="1" applyFill="1" applyBorder="1"/>
    <xf numFmtId="166" fontId="6" fillId="5" borderId="4" xfId="3" applyNumberFormat="1" applyFont="1" applyBorder="1"/>
    <xf numFmtId="3" fontId="6" fillId="7" borderId="4" xfId="1" applyNumberFormat="1" applyFont="1" applyBorder="1"/>
    <xf numFmtId="0" fontId="7" fillId="6" borderId="5" xfId="2" applyFont="1" applyBorder="1" applyAlignment="1" applyProtection="1">
      <alignment horizontal="center" vertical="center"/>
      <protection locked="0"/>
    </xf>
    <xf numFmtId="0" fontId="6" fillId="3" borderId="6" xfId="0" applyFont="1" applyFill="1" applyBorder="1" applyProtection="1">
      <protection locked="0"/>
    </xf>
    <xf numFmtId="0" fontId="14" fillId="0" borderId="0" xfId="0" applyFont="1"/>
    <xf numFmtId="0" fontId="15" fillId="0" borderId="0" xfId="0" applyFont="1"/>
    <xf numFmtId="166" fontId="6" fillId="5" borderId="2" xfId="3" applyNumberFormat="1" applyFont="1" applyBorder="1" applyAlignment="1">
      <alignment horizontal="right"/>
    </xf>
    <xf numFmtId="0" fontId="7" fillId="6" borderId="5" xfId="2" applyFont="1" applyBorder="1" applyAlignment="1">
      <alignment horizontal="center"/>
    </xf>
    <xf numFmtId="166" fontId="6" fillId="7" borderId="5" xfId="1" applyNumberFormat="1" applyFont="1" applyBorder="1" applyAlignment="1">
      <alignment horizontal="right"/>
    </xf>
    <xf numFmtId="166" fontId="6" fillId="5" borderId="5" xfId="3" applyNumberFormat="1" applyFont="1" applyBorder="1" applyAlignment="1">
      <alignment horizontal="right"/>
    </xf>
    <xf numFmtId="0" fontId="6" fillId="7" borderId="5" xfId="1" applyFont="1" applyBorder="1" applyAlignment="1"/>
    <xf numFmtId="3" fontId="6" fillId="7" borderId="5" xfId="1" applyNumberFormat="1" applyFont="1" applyBorder="1" applyAlignment="1">
      <alignment horizontal="right"/>
    </xf>
    <xf numFmtId="0" fontId="6" fillId="5" borderId="5" xfId="3" applyFont="1" applyBorder="1" applyAlignment="1">
      <alignment horizontal="left" indent="2"/>
    </xf>
    <xf numFmtId="0" fontId="0" fillId="4" borderId="5" xfId="0" applyFont="1" applyFill="1" applyBorder="1"/>
    <xf numFmtId="0" fontId="6" fillId="7" borderId="5" xfId="1" applyFont="1" applyBorder="1" applyAlignment="1">
      <alignment horizontal="left"/>
    </xf>
    <xf numFmtId="0" fontId="10" fillId="0" borderId="6" xfId="0" applyFont="1" applyBorder="1" applyAlignment="1"/>
    <xf numFmtId="0" fontId="9" fillId="0" borderId="6" xfId="0" applyFont="1" applyBorder="1" applyAlignment="1">
      <alignment horizontal="right"/>
    </xf>
    <xf numFmtId="0" fontId="9" fillId="0" borderId="7" xfId="0" applyFont="1" applyBorder="1" applyAlignment="1"/>
    <xf numFmtId="0" fontId="9" fillId="0" borderId="7" xfId="0" applyFont="1" applyBorder="1" applyAlignment="1">
      <alignment horizontal="right"/>
    </xf>
    <xf numFmtId="0" fontId="9" fillId="0" borderId="8" xfId="0" applyFont="1" applyBorder="1" applyAlignment="1"/>
    <xf numFmtId="0" fontId="9" fillId="0" borderId="8" xfId="0" applyFont="1" applyBorder="1" applyAlignment="1">
      <alignment horizontal="right"/>
    </xf>
    <xf numFmtId="0" fontId="6" fillId="7" borderId="4" xfId="1" applyFont="1" applyBorder="1" applyAlignment="1">
      <alignment horizontal="right"/>
    </xf>
    <xf numFmtId="0" fontId="6" fillId="5" borderId="4" xfId="3" applyFont="1" applyBorder="1" applyAlignment="1">
      <alignment horizontal="right"/>
    </xf>
    <xf numFmtId="166" fontId="6" fillId="7" borderId="2" xfId="1" applyNumberFormat="1" applyFont="1" applyBorder="1" applyAlignment="1">
      <alignment horizontal="right"/>
    </xf>
    <xf numFmtId="166" fontId="6" fillId="7" borderId="1" xfId="1" applyNumberFormat="1" applyFont="1" applyBorder="1" applyAlignment="1">
      <alignment horizontal="right"/>
    </xf>
    <xf numFmtId="166" fontId="6" fillId="5" borderId="1" xfId="3" applyNumberFormat="1" applyFont="1" applyBorder="1" applyAlignment="1">
      <alignment horizontal="right"/>
    </xf>
    <xf numFmtId="0" fontId="6" fillId="5" borderId="4" xfId="3" applyFont="1" applyBorder="1" applyAlignment="1">
      <alignment horizontal="left" indent="2"/>
    </xf>
    <xf numFmtId="166" fontId="6" fillId="5" borderId="4" xfId="3" applyNumberFormat="1" applyFont="1" applyBorder="1" applyAlignment="1">
      <alignment horizontal="right"/>
    </xf>
    <xf numFmtId="0" fontId="6" fillId="5" borderId="2" xfId="3" applyFont="1" applyBorder="1" applyAlignment="1">
      <alignment horizontal="left" indent="2"/>
    </xf>
    <xf numFmtId="0" fontId="6" fillId="5" borderId="1" xfId="3" applyFont="1" applyBorder="1" applyAlignment="1">
      <alignment horizontal="left" indent="2"/>
    </xf>
    <xf numFmtId="0" fontId="10" fillId="0" borderId="8" xfId="0" applyFont="1" applyBorder="1" applyAlignment="1"/>
    <xf numFmtId="37" fontId="9" fillId="0" borderId="8" xfId="0" applyNumberFormat="1" applyFont="1" applyBorder="1" applyAlignment="1">
      <alignment horizontal="right"/>
    </xf>
    <xf numFmtId="166" fontId="6" fillId="7" borderId="4" xfId="1" applyNumberFormat="1" applyFont="1" applyBorder="1" applyAlignment="1">
      <alignment horizontal="right"/>
    </xf>
    <xf numFmtId="164" fontId="7" fillId="6" borderId="5" xfId="2" applyNumberFormat="1" applyFont="1" applyBorder="1" applyAlignment="1">
      <alignment horizontal="center" vertical="center" wrapText="1"/>
    </xf>
    <xf numFmtId="164" fontId="9" fillId="0" borderId="5" xfId="0" applyNumberFormat="1" applyFont="1" applyFill="1" applyBorder="1" applyAlignment="1">
      <alignment horizontal="left" vertical="center"/>
    </xf>
    <xf numFmtId="3" fontId="11" fillId="0" borderId="5" xfId="0" applyNumberFormat="1" applyFont="1" applyFill="1" applyBorder="1" applyAlignment="1">
      <alignment horizontal="right" vertical="center" wrapText="1"/>
    </xf>
    <xf numFmtId="3" fontId="9" fillId="0" borderId="5" xfId="0" applyNumberFormat="1" applyFont="1" applyBorder="1" applyAlignment="1">
      <alignment horizontal="right" vertical="center" wrapText="1"/>
    </xf>
    <xf numFmtId="166" fontId="9" fillId="0" borderId="5" xfId="0" applyNumberFormat="1" applyFont="1" applyFill="1" applyBorder="1" applyAlignment="1">
      <alignment horizontal="right" vertical="center"/>
    </xf>
    <xf numFmtId="166" fontId="6" fillId="7" borderId="5" xfId="1" applyNumberFormat="1" applyFont="1" applyBorder="1" applyAlignment="1">
      <alignment horizontal="right" vertical="center"/>
    </xf>
    <xf numFmtId="164" fontId="6" fillId="7" borderId="5" xfId="1" applyNumberFormat="1" applyFont="1" applyBorder="1" applyAlignment="1">
      <alignment horizontal="left" vertical="center"/>
    </xf>
    <xf numFmtId="37" fontId="6" fillId="7" borderId="5" xfId="1" applyNumberFormat="1" applyFont="1" applyBorder="1" applyAlignment="1">
      <alignment horizontal="right" vertical="center"/>
    </xf>
    <xf numFmtId="3" fontId="6" fillId="3" borderId="6" xfId="0" applyNumberFormat="1" applyFont="1" applyFill="1" applyBorder="1" applyAlignment="1">
      <alignment horizontal="right"/>
    </xf>
    <xf numFmtId="10" fontId="6" fillId="7" borderId="4" xfId="1" applyNumberFormat="1" applyFont="1" applyBorder="1" applyAlignment="1">
      <alignment horizontal="right"/>
    </xf>
    <xf numFmtId="10" fontId="6" fillId="5" borderId="5" xfId="3" applyNumberFormat="1" applyFont="1" applyBorder="1" applyAlignment="1">
      <alignment horizontal="right"/>
    </xf>
    <xf numFmtId="10" fontId="6" fillId="4" borderId="5" xfId="0" applyNumberFormat="1" applyFont="1" applyFill="1" applyBorder="1" applyAlignment="1">
      <alignment horizontal="right"/>
    </xf>
    <xf numFmtId="3" fontId="6" fillId="3" borderId="6" xfId="0" applyNumberFormat="1" applyFont="1" applyFill="1" applyBorder="1" applyAlignment="1"/>
    <xf numFmtId="10" fontId="6" fillId="7" borderId="4" xfId="1" applyNumberFormat="1" applyFont="1" applyBorder="1" applyAlignment="1"/>
    <xf numFmtId="10" fontId="6" fillId="5" borderId="5" xfId="3" applyNumberFormat="1" applyFont="1" applyBorder="1" applyAlignment="1"/>
    <xf numFmtId="10" fontId="6" fillId="4" borderId="5" xfId="0" applyNumberFormat="1" applyFont="1" applyFill="1" applyBorder="1" applyAlignment="1"/>
    <xf numFmtId="3" fontId="6" fillId="3" borderId="6" xfId="0" applyNumberFormat="1" applyFont="1" applyFill="1" applyBorder="1" applyAlignment="1" applyProtection="1">
      <alignment horizontal="right"/>
      <protection locked="0"/>
    </xf>
    <xf numFmtId="10" fontId="6" fillId="5" borderId="4" xfId="3" applyNumberFormat="1" applyFont="1" applyBorder="1" applyAlignment="1" applyProtection="1">
      <alignment horizontal="right"/>
      <protection locked="0"/>
    </xf>
    <xf numFmtId="3" fontId="6" fillId="7" borderId="4" xfId="1" applyNumberFormat="1" applyFont="1" applyBorder="1" applyAlignment="1" applyProtection="1">
      <alignment horizontal="right"/>
      <protection locked="0"/>
    </xf>
    <xf numFmtId="10" fontId="6" fillId="5" borderId="4" xfId="3" applyNumberFormat="1" applyFont="1" applyBorder="1" applyAlignment="1">
      <alignment horizontal="right"/>
    </xf>
    <xf numFmtId="3" fontId="6" fillId="7" borderId="4" xfId="1" applyNumberFormat="1" applyFont="1" applyBorder="1" applyAlignment="1">
      <alignment horizontal="right"/>
    </xf>
    <xf numFmtId="164" fontId="14" fillId="0" borderId="0" xfId="0" applyNumberFormat="1" applyFont="1" applyFill="1" applyBorder="1" applyAlignment="1">
      <alignment horizontal="left" vertical="center"/>
    </xf>
    <xf numFmtId="0" fontId="14" fillId="0" borderId="0" xfId="0" applyFont="1" applyAlignment="1">
      <alignment horizontal="center"/>
    </xf>
    <xf numFmtId="3" fontId="14" fillId="0" borderId="0" xfId="0" applyNumberFormat="1" applyFont="1" applyAlignment="1">
      <alignment horizontal="center"/>
    </xf>
    <xf numFmtId="0" fontId="9" fillId="0" borderId="0" xfId="0" applyFont="1" applyAlignment="1"/>
    <xf numFmtId="3" fontId="7" fillId="6" borderId="5" xfId="2" applyNumberFormat="1" applyFont="1" applyBorder="1" applyAlignment="1">
      <alignment horizontal="center"/>
    </xf>
    <xf numFmtId="0" fontId="7" fillId="6" borderId="9" xfId="2" applyFont="1" applyBorder="1" applyAlignment="1">
      <alignment horizontal="center"/>
    </xf>
    <xf numFmtId="0" fontId="6" fillId="0" borderId="10" xfId="0" applyFont="1" applyBorder="1"/>
    <xf numFmtId="0" fontId="4" fillId="0" borderId="0" xfId="0" applyFont="1"/>
    <xf numFmtId="0" fontId="4" fillId="3" borderId="6" xfId="0" applyFont="1" applyFill="1" applyBorder="1"/>
    <xf numFmtId="10" fontId="4" fillId="7" borderId="4" xfId="1" applyNumberFormat="1" applyFont="1" applyBorder="1" applyAlignment="1">
      <alignment horizontal="right"/>
    </xf>
    <xf numFmtId="3" fontId="4" fillId="3" borderId="6" xfId="0" applyNumberFormat="1" applyFont="1" applyFill="1" applyBorder="1"/>
    <xf numFmtId="3" fontId="4" fillId="7" borderId="4" xfId="1" applyNumberFormat="1" applyFont="1" applyBorder="1"/>
    <xf numFmtId="0" fontId="3" fillId="7" borderId="5" xfId="0" applyFont="1" applyFill="1" applyBorder="1"/>
    <xf numFmtId="3" fontId="3" fillId="7" borderId="5" xfId="0" applyNumberFormat="1" applyFont="1" applyFill="1" applyBorder="1" applyAlignment="1">
      <alignment horizontal="right"/>
    </xf>
    <xf numFmtId="0" fontId="3" fillId="0" borderId="5" xfId="0" applyFont="1" applyBorder="1"/>
    <xf numFmtId="0" fontId="3" fillId="0" borderId="5" xfId="0" applyFont="1" applyFill="1" applyBorder="1"/>
    <xf numFmtId="37" fontId="6" fillId="0" borderId="0" xfId="0" applyNumberFormat="1" applyFont="1"/>
    <xf numFmtId="3" fontId="9" fillId="0" borderId="5" xfId="0" applyNumberFormat="1" applyFont="1" applyFill="1" applyBorder="1" applyAlignment="1">
      <alignment horizontal="right" vertical="center" wrapText="1"/>
    </xf>
    <xf numFmtId="0" fontId="2" fillId="3" borderId="6" xfId="0" applyFont="1" applyFill="1" applyBorder="1"/>
    <xf numFmtId="3" fontId="6" fillId="3" borderId="5" xfId="0" applyNumberFormat="1" applyFont="1" applyFill="1" applyBorder="1" applyAlignment="1">
      <alignment horizontal="right"/>
    </xf>
    <xf numFmtId="0" fontId="9" fillId="0" borderId="0" xfId="0" applyFont="1" applyBorder="1" applyAlignment="1">
      <alignment vertical="center"/>
    </xf>
    <xf numFmtId="166" fontId="2" fillId="5" borderId="4" xfId="3" applyNumberFormat="1" applyFont="1" applyBorder="1" applyAlignment="1">
      <alignment horizontal="right"/>
    </xf>
    <xf numFmtId="0" fontId="2" fillId="3" borderId="4" xfId="0" applyFont="1" applyFill="1" applyBorder="1" applyAlignment="1">
      <alignment horizontal="left"/>
    </xf>
    <xf numFmtId="3" fontId="2" fillId="3" borderId="4" xfId="0" applyNumberFormat="1" applyFont="1" applyFill="1" applyBorder="1" applyAlignment="1">
      <alignment horizontal="right"/>
    </xf>
    <xf numFmtId="10" fontId="2" fillId="7" borderId="4" xfId="1" applyNumberFormat="1" applyFont="1" applyBorder="1" applyAlignment="1"/>
    <xf numFmtId="0" fontId="2" fillId="3" borderId="4" xfId="0" applyFont="1" applyFill="1" applyBorder="1"/>
    <xf numFmtId="3" fontId="2" fillId="3" borderId="4" xfId="0" applyNumberFormat="1" applyFont="1" applyFill="1" applyBorder="1" applyAlignment="1"/>
    <xf numFmtId="10" fontId="2" fillId="7" borderId="4" xfId="1" applyNumberFormat="1" applyFont="1" applyBorder="1" applyAlignment="1">
      <alignment horizontal="right"/>
    </xf>
    <xf numFmtId="3" fontId="2" fillId="3" borderId="4" xfId="0" applyNumberFormat="1" applyFont="1" applyFill="1" applyBorder="1" applyAlignment="1">
      <alignment horizontal="left"/>
    </xf>
    <xf numFmtId="3" fontId="2" fillId="3" borderId="6" xfId="0" applyNumberFormat="1" applyFont="1" applyFill="1" applyBorder="1"/>
    <xf numFmtId="166" fontId="2" fillId="5" borderId="4" xfId="3" applyNumberFormat="1" applyFont="1" applyBorder="1"/>
    <xf numFmtId="3" fontId="2" fillId="7" borderId="4" xfId="1" applyNumberFormat="1" applyFont="1" applyBorder="1"/>
    <xf numFmtId="3" fontId="2" fillId="3" borderId="4" xfId="0" applyNumberFormat="1" applyFont="1" applyFill="1" applyBorder="1"/>
    <xf numFmtId="10" fontId="2" fillId="5" borderId="4" xfId="3" applyNumberFormat="1" applyFont="1" applyBorder="1" applyAlignment="1" applyProtection="1">
      <alignment horizontal="right"/>
      <protection locked="0"/>
    </xf>
    <xf numFmtId="3" fontId="2" fillId="7" borderId="4" xfId="1" applyNumberFormat="1" applyFont="1" applyBorder="1" applyAlignment="1" applyProtection="1">
      <alignment horizontal="right"/>
      <protection locked="0"/>
    </xf>
    <xf numFmtId="0" fontId="2" fillId="3" borderId="4" xfId="0" applyFont="1" applyFill="1" applyBorder="1" applyProtection="1">
      <protection locked="0"/>
    </xf>
    <xf numFmtId="3" fontId="2" fillId="3" borderId="4" xfId="0" applyNumberFormat="1" applyFont="1" applyFill="1" applyBorder="1" applyAlignment="1" applyProtection="1">
      <alignment horizontal="right"/>
      <protection locked="0"/>
    </xf>
    <xf numFmtId="10" fontId="2" fillId="5" borderId="4" xfId="3" applyNumberFormat="1" applyFont="1" applyBorder="1" applyAlignment="1">
      <alignment horizontal="right"/>
    </xf>
    <xf numFmtId="3" fontId="2" fillId="7" borderId="4" xfId="1" applyNumberFormat="1" applyFont="1" applyBorder="1" applyAlignment="1">
      <alignment horizontal="right"/>
    </xf>
    <xf numFmtId="0" fontId="2" fillId="3" borderId="2" xfId="0" applyFont="1" applyFill="1" applyBorder="1"/>
    <xf numFmtId="3" fontId="2" fillId="3" borderId="2" xfId="0" applyNumberFormat="1" applyFont="1" applyFill="1" applyBorder="1" applyAlignment="1">
      <alignment horizontal="right"/>
    </xf>
    <xf numFmtId="0" fontId="2" fillId="3" borderId="5" xfId="0" applyFont="1" applyFill="1" applyBorder="1"/>
    <xf numFmtId="3" fontId="2" fillId="3" borderId="5" xfId="0" applyNumberFormat="1" applyFont="1" applyFill="1" applyBorder="1" applyAlignment="1">
      <alignment horizontal="right"/>
    </xf>
    <xf numFmtId="10" fontId="2" fillId="7" borderId="5" xfId="1" applyNumberFormat="1" applyFont="1" applyBorder="1" applyAlignment="1">
      <alignment horizontal="right"/>
    </xf>
    <xf numFmtId="3" fontId="2" fillId="3" borderId="5" xfId="0" applyNumberFormat="1" applyFont="1" applyFill="1" applyBorder="1" applyAlignment="1"/>
    <xf numFmtId="10" fontId="2" fillId="7" borderId="5" xfId="1" applyNumberFormat="1" applyFont="1" applyBorder="1" applyAlignment="1"/>
    <xf numFmtId="3" fontId="2" fillId="3" borderId="5" xfId="0" applyNumberFormat="1" applyFont="1" applyFill="1" applyBorder="1"/>
    <xf numFmtId="3" fontId="2" fillId="7" borderId="5" xfId="1" applyNumberFormat="1" applyFont="1" applyBorder="1"/>
    <xf numFmtId="3" fontId="2" fillId="3" borderId="5" xfId="0" applyNumberFormat="1" applyFont="1" applyFill="1" applyBorder="1" applyAlignment="1">
      <alignment horizontal="left"/>
    </xf>
    <xf numFmtId="166" fontId="2" fillId="5" borderId="5" xfId="3" applyNumberFormat="1" applyFont="1" applyBorder="1" applyAlignment="1">
      <alignment horizontal="right"/>
    </xf>
    <xf numFmtId="166" fontId="2" fillId="5" borderId="5" xfId="3" applyNumberFormat="1" applyFont="1" applyBorder="1"/>
    <xf numFmtId="0" fontId="2" fillId="3" borderId="5" xfId="0" applyFont="1" applyFill="1" applyBorder="1" applyProtection="1">
      <protection locked="0"/>
    </xf>
    <xf numFmtId="3" fontId="2" fillId="3" borderId="5" xfId="0" applyNumberFormat="1" applyFont="1" applyFill="1" applyBorder="1" applyAlignment="1" applyProtection="1">
      <alignment horizontal="right"/>
      <protection locked="0"/>
    </xf>
    <xf numFmtId="10" fontId="2" fillId="5" borderId="5" xfId="3" applyNumberFormat="1" applyFont="1" applyBorder="1" applyAlignment="1" applyProtection="1">
      <alignment horizontal="right"/>
      <protection locked="0"/>
    </xf>
    <xf numFmtId="3" fontId="2" fillId="7" borderId="5" xfId="1" applyNumberFormat="1" applyFont="1" applyBorder="1" applyAlignment="1" applyProtection="1">
      <alignment horizontal="right"/>
      <protection locked="0"/>
    </xf>
    <xf numFmtId="10" fontId="2" fillId="5" borderId="5" xfId="3" applyNumberFormat="1" applyFont="1" applyBorder="1" applyAlignment="1">
      <alignment horizontal="right"/>
    </xf>
    <xf numFmtId="3" fontId="2" fillId="7" borderId="5" xfId="1" applyNumberFormat="1" applyFont="1" applyBorder="1" applyAlignment="1">
      <alignment horizontal="right"/>
    </xf>
    <xf numFmtId="0" fontId="2" fillId="3" borderId="5" xfId="0" applyFont="1" applyFill="1" applyBorder="1" applyAlignment="1">
      <alignment horizontal="left"/>
    </xf>
    <xf numFmtId="3" fontId="6" fillId="0" borderId="0" xfId="0" applyNumberFormat="1" applyFont="1"/>
    <xf numFmtId="10" fontId="2" fillId="7" borderId="2" xfId="1" applyNumberFormat="1" applyFont="1" applyBorder="1" applyAlignment="1">
      <alignment horizontal="right"/>
    </xf>
    <xf numFmtId="3" fontId="2" fillId="3" borderId="2" xfId="0" applyNumberFormat="1" applyFont="1" applyFill="1" applyBorder="1" applyAlignment="1"/>
    <xf numFmtId="10" fontId="2" fillId="7" borderId="2" xfId="1" applyNumberFormat="1" applyFont="1" applyBorder="1" applyAlignment="1"/>
    <xf numFmtId="0" fontId="19" fillId="0" borderId="0" xfId="5"/>
    <xf numFmtId="0" fontId="1" fillId="7" borderId="5" xfId="0" applyFont="1" applyFill="1" applyBorder="1"/>
    <xf numFmtId="3" fontId="1" fillId="7" borderId="5" xfId="0" applyNumberFormat="1" applyFont="1" applyFill="1" applyBorder="1" applyAlignment="1">
      <alignment horizontal="right"/>
    </xf>
    <xf numFmtId="10" fontId="1" fillId="7" borderId="5" xfId="0" applyNumberFormat="1" applyFont="1" applyFill="1" applyBorder="1" applyAlignment="1">
      <alignment horizontal="right"/>
    </xf>
    <xf numFmtId="0" fontId="1" fillId="3" borderId="6" xfId="0" applyFont="1" applyFill="1" applyBorder="1"/>
    <xf numFmtId="3" fontId="1" fillId="3" borderId="6" xfId="0" applyNumberFormat="1" applyFont="1" applyFill="1" applyBorder="1" applyAlignment="1">
      <alignment horizontal="right"/>
    </xf>
    <xf numFmtId="10" fontId="1" fillId="7" borderId="4" xfId="0" applyNumberFormat="1" applyFont="1" applyFill="1" applyBorder="1" applyAlignment="1">
      <alignment horizontal="right"/>
    </xf>
    <xf numFmtId="3" fontId="1" fillId="7" borderId="5" xfId="0" applyNumberFormat="1" applyFont="1" applyFill="1" applyBorder="1" applyAlignment="1"/>
    <xf numFmtId="3" fontId="1" fillId="7" borderId="5" xfId="0" applyNumberFormat="1" applyFont="1" applyFill="1" applyBorder="1"/>
    <xf numFmtId="166" fontId="1" fillId="7" borderId="5" xfId="0" applyNumberFormat="1" applyFont="1" applyFill="1" applyBorder="1"/>
    <xf numFmtId="0" fontId="1" fillId="7" borderId="5" xfId="0" applyFont="1" applyFill="1" applyBorder="1" applyProtection="1">
      <protection locked="0"/>
    </xf>
    <xf numFmtId="3" fontId="1" fillId="7" borderId="5" xfId="0" applyNumberFormat="1" applyFont="1" applyFill="1" applyBorder="1" applyAlignment="1" applyProtection="1">
      <alignment horizontal="right"/>
      <protection locked="0"/>
    </xf>
    <xf numFmtId="10" fontId="1" fillId="7" borderId="5" xfId="0" applyNumberFormat="1" applyFont="1" applyFill="1" applyBorder="1" applyAlignment="1" applyProtection="1">
      <alignment horizontal="right"/>
      <protection locked="0"/>
    </xf>
    <xf numFmtId="3" fontId="1" fillId="7" borderId="9" xfId="0" applyNumberFormat="1" applyFont="1" applyFill="1" applyBorder="1"/>
    <xf numFmtId="0" fontId="2" fillId="0" borderId="0" xfId="0" applyFont="1" applyFill="1"/>
    <xf numFmtId="0" fontId="6" fillId="0" borderId="0" xfId="0" applyFont="1" applyFill="1"/>
    <xf numFmtId="0" fontId="1" fillId="0" borderId="5" xfId="0" applyFont="1" applyBorder="1"/>
    <xf numFmtId="0" fontId="6" fillId="3" borderId="11" xfId="0" applyFont="1" applyFill="1" applyBorder="1"/>
    <xf numFmtId="10" fontId="6" fillId="8" borderId="12" xfId="3" applyNumberFormat="1" applyFont="1" applyFill="1" applyBorder="1" applyAlignment="1">
      <alignment horizontal="right" vertical="center"/>
    </xf>
    <xf numFmtId="0" fontId="9" fillId="2" borderId="16" xfId="0" applyFont="1" applyFill="1" applyBorder="1" applyAlignment="1">
      <alignment horizontal="left" wrapText="1"/>
    </xf>
    <xf numFmtId="0" fontId="9" fillId="2" borderId="17" xfId="0" applyFont="1" applyFill="1" applyBorder="1" applyAlignment="1">
      <alignment horizontal="center" wrapText="1"/>
    </xf>
    <xf numFmtId="0" fontId="9" fillId="2" borderId="18" xfId="0" applyFont="1" applyFill="1" applyBorder="1" applyAlignment="1">
      <alignment horizontal="center" wrapText="1"/>
    </xf>
    <xf numFmtId="0" fontId="1" fillId="7" borderId="13" xfId="0" applyFont="1" applyFill="1" applyBorder="1"/>
    <xf numFmtId="3" fontId="1" fillId="7" borderId="14" xfId="0" applyNumberFormat="1" applyFont="1" applyFill="1" applyBorder="1" applyAlignment="1">
      <alignment horizontal="right"/>
    </xf>
    <xf numFmtId="10" fontId="1" fillId="7" borderId="15" xfId="0" applyNumberFormat="1" applyFont="1" applyFill="1" applyBorder="1" applyAlignment="1">
      <alignment horizontal="right"/>
    </xf>
    <xf numFmtId="0" fontId="1" fillId="7" borderId="5" xfId="0" applyFont="1" applyFill="1" applyBorder="1" applyAlignment="1">
      <alignment horizontal="left"/>
    </xf>
    <xf numFmtId="166" fontId="1" fillId="7" borderId="5" xfId="0" applyNumberFormat="1" applyFont="1" applyFill="1" applyBorder="1" applyAlignment="1">
      <alignment horizontal="right"/>
    </xf>
    <xf numFmtId="0" fontId="6" fillId="0" borderId="17" xfId="0" applyFont="1" applyBorder="1"/>
    <xf numFmtId="0" fontId="6" fillId="0" borderId="17" xfId="0" applyFont="1" applyBorder="1" applyProtection="1">
      <protection locked="0"/>
    </xf>
    <xf numFmtId="0" fontId="0" fillId="0" borderId="17" xfId="0" applyFont="1" applyBorder="1"/>
    <xf numFmtId="0" fontId="20" fillId="9" borderId="19" xfId="0" applyFont="1" applyFill="1" applyBorder="1"/>
    <xf numFmtId="0" fontId="20" fillId="9" borderId="20" xfId="0" applyFont="1" applyFill="1" applyBorder="1"/>
    <xf numFmtId="0" fontId="20" fillId="9" borderId="21" xfId="0" applyFont="1" applyFill="1" applyBorder="1"/>
    <xf numFmtId="0" fontId="1" fillId="10" borderId="19" xfId="0" applyFont="1" applyFill="1" applyBorder="1"/>
    <xf numFmtId="0" fontId="1" fillId="10" borderId="20" xfId="0" applyFont="1" applyFill="1" applyBorder="1"/>
    <xf numFmtId="0" fontId="1" fillId="10" borderId="21" xfId="0" applyFont="1" applyFill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10" borderId="22" xfId="0" applyFont="1" applyFill="1" applyBorder="1"/>
    <xf numFmtId="0" fontId="1" fillId="10" borderId="23" xfId="0" applyFont="1" applyFill="1" applyBorder="1"/>
    <xf numFmtId="0" fontId="1" fillId="10" borderId="24" xfId="0" applyFont="1" applyFill="1" applyBorder="1"/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7" fillId="6" borderId="5" xfId="2" applyFont="1" applyBorder="1"/>
    <xf numFmtId="0" fontId="13" fillId="0" borderId="0" xfId="0" applyFont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6" fillId="0" borderId="0" xfId="0" applyFont="1" applyBorder="1" applyAlignment="1" applyProtection="1">
      <alignment horizontal="center"/>
    </xf>
    <xf numFmtId="0" fontId="7" fillId="6" borderId="5" xfId="2" applyFont="1" applyBorder="1" applyAlignment="1">
      <alignment horizontal="center" vertical="center"/>
    </xf>
    <xf numFmtId="0" fontId="7" fillId="6" borderId="5" xfId="2" applyFont="1" applyBorder="1" applyAlignment="1" applyProtection="1">
      <alignment horizontal="center" vertical="center"/>
      <protection locked="0"/>
    </xf>
    <xf numFmtId="0" fontId="7" fillId="6" borderId="5" xfId="2" applyFont="1" applyBorder="1" applyAlignment="1">
      <alignment horizontal="center" wrapText="1"/>
    </xf>
    <xf numFmtId="0" fontId="7" fillId="6" borderId="4" xfId="2" applyFont="1" applyBorder="1" applyAlignment="1">
      <alignment horizontal="center"/>
    </xf>
    <xf numFmtId="0" fontId="7" fillId="6" borderId="1" xfId="2" applyFont="1" applyBorder="1" applyAlignment="1">
      <alignment horizontal="center"/>
    </xf>
    <xf numFmtId="0" fontId="7" fillId="6" borderId="4" xfId="2" applyFont="1" applyBorder="1" applyAlignment="1">
      <alignment horizontal="center" vertical="center"/>
    </xf>
    <xf numFmtId="0" fontId="7" fillId="6" borderId="1" xfId="2" applyFont="1" applyBorder="1" applyAlignment="1">
      <alignment horizontal="center" vertical="center"/>
    </xf>
    <xf numFmtId="164" fontId="12" fillId="0" borderId="3" xfId="0" applyNumberFormat="1" applyFont="1" applyFill="1" applyBorder="1" applyAlignment="1">
      <alignment horizontal="center" vertical="center" wrapText="1"/>
    </xf>
    <xf numFmtId="49" fontId="14" fillId="0" borderId="0" xfId="0" applyNumberFormat="1" applyFont="1" applyFill="1" applyBorder="1" applyAlignment="1">
      <alignment horizontal="left" vertical="top" wrapText="1"/>
    </xf>
    <xf numFmtId="0" fontId="14" fillId="0" borderId="0" xfId="0" applyFont="1" applyFill="1" applyBorder="1" applyAlignment="1">
      <alignment horizontal="left" wrapText="1"/>
    </xf>
    <xf numFmtId="0" fontId="9" fillId="0" borderId="0" xfId="0" applyFont="1" applyAlignment="1">
      <alignment horizontal="center"/>
    </xf>
  </cellXfs>
  <cellStyles count="6">
    <cellStyle name="Hyperlink" xfId="5" builtinId="8"/>
    <cellStyle name="Normal" xfId="0" builtinId="0"/>
    <cellStyle name="System Accent" xfId="3" xr:uid="{00000000-0005-0000-0000-000001000000}"/>
    <cellStyle name="System Header" xfId="2" xr:uid="{00000000-0005-0000-0000-000002000000}"/>
    <cellStyle name="System Total" xfId="1" xr:uid="{00000000-0005-0000-0000-000003000000}"/>
    <cellStyle name="Title" xfId="4" builtinId="15" customBuiltin="1"/>
  </cellStyles>
  <dxfs count="3">
    <dxf>
      <font>
        <b/>
        <i val="0"/>
      </font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horizontal style="thin">
          <color theme="3" tint="0.59996337778862885"/>
        </horizontal>
      </border>
    </dxf>
  </dxfs>
  <tableStyles count="1" defaultTableStyle="TableStyleMedium2" defaultPivotStyle="PivotStyleLight16">
    <tableStyle name="Table Style 1" pivot="0" count="3" xr9:uid="{00000000-0011-0000-FFFF-FFFF00000000}">
      <tableStyleElement type="wholeTable" dxfId="2"/>
      <tableStyleElement type="headerRow" dxfId="1"/>
      <tableStyleElement type="totalRow" dxfId="0"/>
    </tableStyle>
  </tableStyles>
  <colors>
    <mruColors>
      <color rgb="FFB8CCE4"/>
      <color rgb="FFFFFFB7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304800</xdr:colOff>
          <xdr:row>1</xdr:row>
          <xdr:rowOff>76200</xdr:rowOff>
        </xdr:from>
        <xdr:to>
          <xdr:col>7</xdr:col>
          <xdr:colOff>533400</xdr:colOff>
          <xdr:row>4</xdr:row>
          <xdr:rowOff>107950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A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Convert All Tables To Ranges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Unlinks from SQL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488950</xdr:colOff>
          <xdr:row>1</xdr:row>
          <xdr:rowOff>88900</xdr:rowOff>
        </xdr:from>
        <xdr:to>
          <xdr:col>7</xdr:col>
          <xdr:colOff>107950</xdr:colOff>
          <xdr:row>4</xdr:row>
          <xdr:rowOff>146050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A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Convert All Tables To Ranges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Unlinks from SQL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nalytics.secure.passhe.edu/Shared%20Documents/Enrolled%20Student%20Definition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L27"/>
  <sheetViews>
    <sheetView showGridLines="0" zoomScaleNormal="100" workbookViewId="0">
      <selection activeCell="B4" sqref="B4"/>
    </sheetView>
  </sheetViews>
  <sheetFormatPr defaultColWidth="9.1796875" defaultRowHeight="14" x14ac:dyDescent="0.3"/>
  <cols>
    <col min="1" max="1" width="10.26953125" style="1" customWidth="1"/>
    <col min="2" max="2" width="23.54296875" style="1" customWidth="1"/>
    <col min="3" max="6" width="15.7265625" style="1" customWidth="1"/>
    <col min="7" max="7" width="11.7265625" style="1" customWidth="1"/>
    <col min="8" max="8" width="12" style="1" customWidth="1"/>
    <col min="9" max="9" width="13.26953125" style="1" customWidth="1"/>
    <col min="10" max="10" width="9.7265625" style="1" customWidth="1"/>
    <col min="11" max="16384" width="9.1796875" style="1"/>
  </cols>
  <sheetData>
    <row r="1" spans="1:12" ht="15.5" x14ac:dyDescent="0.35">
      <c r="A1" s="94"/>
      <c r="B1" s="196" t="s">
        <v>100</v>
      </c>
      <c r="C1" s="196"/>
      <c r="D1" s="196"/>
      <c r="E1" s="196"/>
      <c r="F1" s="196"/>
    </row>
    <row r="2" spans="1:12" ht="15.5" x14ac:dyDescent="0.35">
      <c r="A2" s="94"/>
      <c r="B2" s="198" t="s">
        <v>5</v>
      </c>
      <c r="C2" s="198"/>
      <c r="D2" s="198"/>
      <c r="E2" s="198"/>
      <c r="F2" s="198"/>
      <c r="G2" s="25"/>
      <c r="H2" s="16"/>
      <c r="I2" s="16"/>
      <c r="J2" s="16"/>
      <c r="K2" s="16"/>
      <c r="L2" s="16"/>
    </row>
    <row r="3" spans="1:12" ht="15.5" x14ac:dyDescent="0.35">
      <c r="A3" s="94"/>
      <c r="B3" s="199" t="str">
        <f>CONCATENATE("Official Headcount Enrollment by University, ",IF(RIGHT(Parameters!B1,1)="1","Fall ","Spring "), IF(RIGHT(Parameters!B1,1)="1",LEFT(Parameters!B1,4) - 1,LEFT(Parameters!B1,4) )," to ", IF(RIGHT(Parameters!B1,1)="1",LEFT(Parameters!B1,4),LEFT(Parameters!B1,4)  + 1) )</f>
        <v>Official Headcount Enrollment by University, Fall 2020 to 2021</v>
      </c>
      <c r="C3" s="199"/>
      <c r="D3" s="199"/>
      <c r="E3" s="199"/>
      <c r="F3" s="199"/>
      <c r="G3" s="25"/>
      <c r="H3" s="19"/>
      <c r="I3" s="19"/>
      <c r="J3" s="19"/>
      <c r="K3" s="19"/>
      <c r="L3" s="19"/>
    </row>
    <row r="4" spans="1:12" ht="31.15" customHeight="1" x14ac:dyDescent="0.3">
      <c r="A4" s="19"/>
      <c r="B4" s="20" t="s">
        <v>8</v>
      </c>
      <c r="C4" s="20">
        <f xml:space="preserve"> IF(RIGHT(Parameters!B1,1)="1",LEFT(Parameters!B1,4) - 1,LEFT(Parameters!B1,4) )</f>
        <v>2020</v>
      </c>
      <c r="D4" s="20" t="str">
        <f xml:space="preserve"> IF(RIGHT(Parameters!B1,1)="1",LEFT(Parameters!B1,4),LEFT(Parameters!B1,4) + 1 )</f>
        <v>2021</v>
      </c>
      <c r="E4" s="20" t="str">
        <f>CONCATENATE("Change ",  IF(RIGHT(Parameters!B1,1)="1",LEFT(Parameters!B1,4) - 1,LEFT(Parameters!B1,4) ),"-", IF(RIGHT(Parameters!B1,1)="1",LEFT(Parameters!B1,4),LEFT(Parameters!B1,4) + 1))</f>
        <v>Change 2020-2021</v>
      </c>
      <c r="F4" s="20" t="s">
        <v>79</v>
      </c>
      <c r="G4" s="19"/>
      <c r="H4" s="19"/>
    </row>
    <row r="5" spans="1:12" ht="35.5" hidden="1" customHeight="1" thickBot="1" x14ac:dyDescent="0.35">
      <c r="A5" s="2"/>
      <c r="B5" s="169" t="s">
        <v>8</v>
      </c>
      <c r="C5" s="170" t="s">
        <v>124</v>
      </c>
      <c r="D5" s="170" t="s">
        <v>125</v>
      </c>
      <c r="E5" s="170" t="s">
        <v>126</v>
      </c>
      <c r="F5" s="171" t="s">
        <v>127</v>
      </c>
      <c r="G5" s="2"/>
    </row>
    <row r="6" spans="1:12" ht="16.899999999999999" customHeight="1" x14ac:dyDescent="0.3">
      <c r="A6" s="2"/>
      <c r="B6" s="167" t="s">
        <v>128</v>
      </c>
      <c r="C6" s="107">
        <v>8436</v>
      </c>
      <c r="D6" s="107">
        <v>7745</v>
      </c>
      <c r="E6" s="107">
        <v>-691</v>
      </c>
      <c r="F6" s="168">
        <v>-8.1909999999999997E-2</v>
      </c>
      <c r="G6" s="2"/>
    </row>
    <row r="7" spans="1:12" x14ac:dyDescent="0.3">
      <c r="A7" s="2"/>
      <c r="B7" s="167" t="s">
        <v>129</v>
      </c>
      <c r="C7" s="107">
        <v>6885</v>
      </c>
      <c r="D7" s="107">
        <v>6512</v>
      </c>
      <c r="E7" s="107">
        <v>-373</v>
      </c>
      <c r="F7" s="168">
        <v>-5.4175000000000001E-2</v>
      </c>
      <c r="G7" s="2"/>
    </row>
    <row r="8" spans="1:12" x14ac:dyDescent="0.3">
      <c r="A8" s="2"/>
      <c r="B8" s="167" t="s">
        <v>130</v>
      </c>
      <c r="C8" s="107">
        <v>623</v>
      </c>
      <c r="D8" s="107">
        <v>642</v>
      </c>
      <c r="E8" s="107">
        <v>19</v>
      </c>
      <c r="F8" s="168">
        <v>3.0497E-2</v>
      </c>
      <c r="G8" s="2"/>
    </row>
    <row r="9" spans="1:12" x14ac:dyDescent="0.3">
      <c r="A9" s="2"/>
      <c r="B9" s="167" t="s">
        <v>131</v>
      </c>
      <c r="C9" s="107">
        <v>4465</v>
      </c>
      <c r="D9" s="107">
        <v>3922</v>
      </c>
      <c r="E9" s="107">
        <v>-543</v>
      </c>
      <c r="F9" s="168">
        <v>-0.121612</v>
      </c>
      <c r="G9" s="2"/>
    </row>
    <row r="10" spans="1:12" x14ac:dyDescent="0.3">
      <c r="A10" s="2"/>
      <c r="B10" s="167" t="s">
        <v>132</v>
      </c>
      <c r="C10" s="107">
        <v>5842</v>
      </c>
      <c r="D10" s="107">
        <v>5136</v>
      </c>
      <c r="E10" s="107">
        <v>-706</v>
      </c>
      <c r="F10" s="168">
        <v>-0.120849</v>
      </c>
      <c r="G10" s="2"/>
    </row>
    <row r="11" spans="1:12" x14ac:dyDescent="0.3">
      <c r="A11" s="2"/>
      <c r="B11" s="167" t="s">
        <v>133</v>
      </c>
      <c r="C11" s="107">
        <v>4319</v>
      </c>
      <c r="D11" s="107">
        <v>4043</v>
      </c>
      <c r="E11" s="107">
        <v>-276</v>
      </c>
      <c r="F11" s="168">
        <v>-6.3903000000000001E-2</v>
      </c>
      <c r="G11" s="2"/>
    </row>
    <row r="12" spans="1:12" x14ac:dyDescent="0.3">
      <c r="A12" s="2"/>
      <c r="B12" s="167" t="s">
        <v>134</v>
      </c>
      <c r="C12" s="107">
        <v>10067</v>
      </c>
      <c r="D12" s="107">
        <v>9308</v>
      </c>
      <c r="E12" s="107">
        <v>-759</v>
      </c>
      <c r="F12" s="168">
        <v>-7.5394000000000003E-2</v>
      </c>
      <c r="G12" s="2"/>
    </row>
    <row r="13" spans="1:12" x14ac:dyDescent="0.3">
      <c r="A13" s="2"/>
      <c r="B13" s="167" t="s">
        <v>135</v>
      </c>
      <c r="C13" s="107">
        <v>7892</v>
      </c>
      <c r="D13" s="107">
        <v>7675</v>
      </c>
      <c r="E13" s="107">
        <v>-217</v>
      </c>
      <c r="F13" s="168">
        <v>-2.7496E-2</v>
      </c>
      <c r="G13" s="2"/>
    </row>
    <row r="14" spans="1:12" x14ac:dyDescent="0.3">
      <c r="A14" s="2"/>
      <c r="B14" s="167" t="s">
        <v>136</v>
      </c>
      <c r="C14" s="107">
        <v>3163</v>
      </c>
      <c r="D14" s="107">
        <v>2920</v>
      </c>
      <c r="E14" s="107">
        <v>-243</v>
      </c>
      <c r="F14" s="168">
        <v>-7.6825000000000004E-2</v>
      </c>
      <c r="G14" s="2"/>
    </row>
    <row r="15" spans="1:12" x14ac:dyDescent="0.3">
      <c r="A15" s="2"/>
      <c r="B15" s="167" t="s">
        <v>137</v>
      </c>
      <c r="C15" s="107">
        <v>1792</v>
      </c>
      <c r="D15" s="107">
        <v>1803</v>
      </c>
      <c r="E15" s="107">
        <v>11</v>
      </c>
      <c r="F15" s="168">
        <v>6.1380000000000002E-3</v>
      </c>
      <c r="G15" s="2"/>
    </row>
    <row r="16" spans="1:12" x14ac:dyDescent="0.3">
      <c r="A16" s="2"/>
      <c r="B16" s="167" t="s">
        <v>138</v>
      </c>
      <c r="C16" s="107">
        <v>7495</v>
      </c>
      <c r="D16" s="107">
        <v>7213</v>
      </c>
      <c r="E16" s="107">
        <v>-282</v>
      </c>
      <c r="F16" s="168">
        <v>-3.7624999999999999E-2</v>
      </c>
      <c r="G16" s="2"/>
    </row>
    <row r="17" spans="1:12" x14ac:dyDescent="0.3">
      <c r="A17" s="2"/>
      <c r="B17" s="167" t="s">
        <v>139</v>
      </c>
      <c r="C17" s="107">
        <v>6130</v>
      </c>
      <c r="D17" s="107">
        <v>5668</v>
      </c>
      <c r="E17" s="107">
        <v>-462</v>
      </c>
      <c r="F17" s="168">
        <v>-7.5367000000000003E-2</v>
      </c>
      <c r="G17" s="2"/>
    </row>
    <row r="18" spans="1:12" x14ac:dyDescent="0.3">
      <c r="A18" s="2"/>
      <c r="B18" s="167" t="s">
        <v>140</v>
      </c>
      <c r="C18" s="107">
        <v>8876</v>
      </c>
      <c r="D18" s="107">
        <v>8424</v>
      </c>
      <c r="E18" s="107">
        <v>-452</v>
      </c>
      <c r="F18" s="168">
        <v>-5.0923000000000003E-2</v>
      </c>
      <c r="G18" s="2"/>
    </row>
    <row r="19" spans="1:12" x14ac:dyDescent="0.3">
      <c r="A19" s="2"/>
      <c r="B19" s="167" t="s">
        <v>141</v>
      </c>
      <c r="C19" s="107">
        <v>17719</v>
      </c>
      <c r="D19" s="107">
        <v>17640</v>
      </c>
      <c r="E19" s="107">
        <v>-79</v>
      </c>
      <c r="F19" s="168">
        <v>-4.4580000000000002E-3</v>
      </c>
      <c r="G19" s="2"/>
    </row>
    <row r="20" spans="1:12" ht="14.5" thickBot="1" x14ac:dyDescent="0.35">
      <c r="A20" s="2"/>
      <c r="B20" s="172" t="s">
        <v>0</v>
      </c>
      <c r="C20" s="173">
        <f>SUBTOTAL(109,'Table 1'!$C$6:$C$19)</f>
        <v>93704</v>
      </c>
      <c r="D20" s="173">
        <f>SUBTOTAL(109,'Table 1'!$D$6:$D$19)</f>
        <v>88651</v>
      </c>
      <c r="E20" s="173">
        <f>'Table 1'!$D$20 - 'Table 1'!$C$20</f>
        <v>-5053</v>
      </c>
      <c r="F20" s="174">
        <f>'Table 1'!$E$20/'Table 1'!$C$20</f>
        <v>-5.392512592845556E-2</v>
      </c>
      <c r="G20" s="2"/>
    </row>
    <row r="21" spans="1:12" x14ac:dyDescent="0.3">
      <c r="A21" s="21"/>
      <c r="B21" s="2"/>
      <c r="C21" s="108"/>
      <c r="D21" s="108"/>
      <c r="E21" s="108"/>
      <c r="F21" s="108"/>
      <c r="G21" s="6"/>
      <c r="H21" s="6"/>
      <c r="I21" s="6"/>
      <c r="J21" s="6"/>
      <c r="K21" s="6"/>
      <c r="L21" s="3"/>
    </row>
    <row r="22" spans="1:12" x14ac:dyDescent="0.3">
      <c r="A22" s="21"/>
      <c r="B22" s="29" t="s">
        <v>6</v>
      </c>
      <c r="C22" s="108"/>
      <c r="D22" s="108"/>
      <c r="E22" s="108"/>
      <c r="F22" s="108"/>
      <c r="G22" s="6"/>
      <c r="H22" s="6"/>
      <c r="I22" s="6"/>
      <c r="J22" s="6"/>
      <c r="K22" s="6"/>
      <c r="L22" s="3"/>
    </row>
    <row r="23" spans="1:12" x14ac:dyDescent="0.3">
      <c r="A23" s="21"/>
      <c r="B23" s="26" t="s">
        <v>7</v>
      </c>
      <c r="C23" s="5"/>
      <c r="D23" s="5"/>
      <c r="E23" s="5"/>
      <c r="F23" s="5"/>
      <c r="G23" s="22"/>
      <c r="H23" s="23"/>
      <c r="I23" s="23"/>
      <c r="J23" s="24"/>
      <c r="K23" s="4"/>
      <c r="L23" s="3"/>
    </row>
    <row r="24" spans="1:12" x14ac:dyDescent="0.3">
      <c r="B24" s="26" t="s">
        <v>112</v>
      </c>
      <c r="I24" s="104"/>
    </row>
    <row r="25" spans="1:12" ht="14.5" x14ac:dyDescent="0.35">
      <c r="B25" s="150" t="s">
        <v>111</v>
      </c>
    </row>
    <row r="26" spans="1:12" x14ac:dyDescent="0.3">
      <c r="A26" s="21"/>
      <c r="B26" s="26" t="s">
        <v>107</v>
      </c>
      <c r="C26" s="5"/>
      <c r="D26" s="5"/>
      <c r="E26" s="5"/>
      <c r="F26" s="5"/>
      <c r="G26" s="22"/>
      <c r="H26" s="23"/>
      <c r="I26" s="23"/>
      <c r="J26" s="24"/>
      <c r="K26" s="4"/>
      <c r="L26" s="3"/>
    </row>
    <row r="27" spans="1:12" x14ac:dyDescent="0.3">
      <c r="A27" s="197"/>
      <c r="B27" s="197"/>
      <c r="C27" s="197"/>
      <c r="D27" s="197"/>
      <c r="E27" s="197"/>
      <c r="F27" s="197"/>
      <c r="G27" s="197"/>
      <c r="H27" s="197"/>
      <c r="I27" s="197"/>
      <c r="J27" s="197"/>
      <c r="K27" s="197"/>
      <c r="L27" s="197"/>
    </row>
  </sheetData>
  <mergeCells count="4">
    <mergeCell ref="B1:F1"/>
    <mergeCell ref="A27:L27"/>
    <mergeCell ref="B2:F2"/>
    <mergeCell ref="B3:F3"/>
  </mergeCells>
  <hyperlinks>
    <hyperlink ref="B25" r:id="rId1" xr:uid="{4553C709-F2FD-4B73-870E-D9F9386353AE}"/>
  </hyperlinks>
  <printOptions horizontalCentered="1"/>
  <pageMargins left="0.5" right="0.5" top="1" bottom="0.5" header="0.3" footer="0.3"/>
  <pageSetup fitToHeight="0" orientation="landscape" r:id="rId2"/>
  <headerFooter>
    <oddHeader>&amp;L&amp;"Arial,Regular"&amp;10Pennsylvania's State System of Higher Education | &amp;D
Advanced Data Analytics | Page &amp;P of &amp;N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pageSetUpPr fitToPage="1"/>
  </sheetPr>
  <dimension ref="A1:P182"/>
  <sheetViews>
    <sheetView showGridLines="0" zoomScaleNormal="100" workbookViewId="0">
      <selection activeCell="A107" sqref="A107:P112"/>
    </sheetView>
  </sheetViews>
  <sheetFormatPr defaultColWidth="9.1796875" defaultRowHeight="14" x14ac:dyDescent="0.3"/>
  <cols>
    <col min="1" max="1" width="35.54296875" style="1" customWidth="1"/>
    <col min="2" max="16" width="9.7265625" style="1" customWidth="1"/>
    <col min="17" max="16384" width="9.1796875" style="1"/>
  </cols>
  <sheetData>
    <row r="1" spans="1:16" ht="15.5" x14ac:dyDescent="0.35">
      <c r="A1" s="198" t="s">
        <v>100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</row>
    <row r="2" spans="1:16" ht="15.5" x14ac:dyDescent="0.35">
      <c r="A2" s="199" t="str">
        <f>CONCATENATE("Total Number of Majors* by Field and University, ", IF(RIGHT(Parameters!B1,1)="1","Fall ","Spring "), IF(RIGHT(Parameters!B1,1)="1",LEFT(Parameters!B1,4),LEFT(Parameters!B1,4) + 1 ),", Ranked in Descending Order")</f>
        <v>Total Number of Majors* by Field and University, Fall 2021, Ranked in Descending Order</v>
      </c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</row>
    <row r="3" spans="1:16" x14ac:dyDescent="0.3">
      <c r="A3" s="195" t="s">
        <v>167</v>
      </c>
      <c r="B3" s="41" t="s">
        <v>168</v>
      </c>
      <c r="C3" s="41" t="s">
        <v>169</v>
      </c>
      <c r="D3" s="41" t="s">
        <v>170</v>
      </c>
      <c r="E3" s="41" t="s">
        <v>171</v>
      </c>
      <c r="F3" s="41" t="s">
        <v>172</v>
      </c>
      <c r="G3" s="41" t="s">
        <v>173</v>
      </c>
      <c r="H3" s="41" t="s">
        <v>174</v>
      </c>
      <c r="I3" s="41" t="s">
        <v>175</v>
      </c>
      <c r="J3" s="41" t="s">
        <v>176</v>
      </c>
      <c r="K3" s="41" t="s">
        <v>177</v>
      </c>
      <c r="L3" s="41" t="s">
        <v>178</v>
      </c>
      <c r="M3" s="41" t="s">
        <v>179</v>
      </c>
      <c r="N3" s="41" t="s">
        <v>180</v>
      </c>
      <c r="O3" s="41" t="s">
        <v>181</v>
      </c>
      <c r="P3" s="92" t="s">
        <v>23</v>
      </c>
    </row>
    <row r="4" spans="1:16" x14ac:dyDescent="0.3">
      <c r="A4" s="106" t="s">
        <v>217</v>
      </c>
      <c r="B4" s="33">
        <v>1069</v>
      </c>
      <c r="C4" s="33">
        <v>1054</v>
      </c>
      <c r="D4" s="33">
        <v>161</v>
      </c>
      <c r="E4" s="33">
        <v>489</v>
      </c>
      <c r="F4" s="33">
        <v>800</v>
      </c>
      <c r="G4" s="33">
        <v>552</v>
      </c>
      <c r="H4" s="33">
        <v>1557</v>
      </c>
      <c r="I4" s="33">
        <v>1343</v>
      </c>
      <c r="J4" s="33">
        <v>293</v>
      </c>
      <c r="K4" s="33">
        <v>214</v>
      </c>
      <c r="L4" s="33">
        <v>1677</v>
      </c>
      <c r="M4" s="33">
        <v>922</v>
      </c>
      <c r="N4" s="33">
        <v>1786</v>
      </c>
      <c r="O4" s="33">
        <v>2031</v>
      </c>
      <c r="P4" s="35">
        <v>13948</v>
      </c>
    </row>
    <row r="5" spans="1:16" x14ac:dyDescent="0.3">
      <c r="A5" s="106" t="s">
        <v>182</v>
      </c>
      <c r="B5" s="117">
        <v>1445</v>
      </c>
      <c r="C5" s="117">
        <v>694</v>
      </c>
      <c r="D5" s="117">
        <v>133</v>
      </c>
      <c r="E5" s="117">
        <v>467</v>
      </c>
      <c r="F5" s="117">
        <v>688</v>
      </c>
      <c r="G5" s="117">
        <v>321</v>
      </c>
      <c r="H5" s="117">
        <v>1476</v>
      </c>
      <c r="I5" s="117">
        <v>1110</v>
      </c>
      <c r="J5" s="117">
        <v>246</v>
      </c>
      <c r="K5" s="117">
        <v>129</v>
      </c>
      <c r="L5" s="117">
        <v>711</v>
      </c>
      <c r="M5" s="117">
        <v>1137</v>
      </c>
      <c r="N5" s="117">
        <v>778</v>
      </c>
      <c r="O5" s="117">
        <v>3848</v>
      </c>
      <c r="P5" s="119">
        <v>13183</v>
      </c>
    </row>
    <row r="6" spans="1:16" x14ac:dyDescent="0.3">
      <c r="A6" s="106" t="s">
        <v>183</v>
      </c>
      <c r="B6" s="117">
        <v>891</v>
      </c>
      <c r="C6" s="117">
        <v>1077</v>
      </c>
      <c r="D6" s="117">
        <v>24</v>
      </c>
      <c r="E6" s="117">
        <v>356</v>
      </c>
      <c r="F6" s="117">
        <v>853</v>
      </c>
      <c r="G6" s="117">
        <v>828</v>
      </c>
      <c r="H6" s="117">
        <v>658</v>
      </c>
      <c r="I6" s="117">
        <v>1610</v>
      </c>
      <c r="J6" s="117">
        <v>237</v>
      </c>
      <c r="K6" s="117">
        <v>143</v>
      </c>
      <c r="L6" s="117">
        <v>1049</v>
      </c>
      <c r="M6" s="117">
        <v>725</v>
      </c>
      <c r="N6" s="117">
        <v>1170</v>
      </c>
      <c r="O6" s="117">
        <v>1893</v>
      </c>
      <c r="P6" s="119">
        <v>11514</v>
      </c>
    </row>
    <row r="7" spans="1:16" x14ac:dyDescent="0.3">
      <c r="A7" s="106" t="s">
        <v>184</v>
      </c>
      <c r="B7" s="117">
        <v>1451</v>
      </c>
      <c r="C7" s="117">
        <v>616</v>
      </c>
      <c r="D7" s="117">
        <v>0</v>
      </c>
      <c r="E7" s="117">
        <v>1194</v>
      </c>
      <c r="F7" s="117">
        <v>659</v>
      </c>
      <c r="G7" s="117">
        <v>592</v>
      </c>
      <c r="H7" s="117">
        <v>1246</v>
      </c>
      <c r="I7" s="117">
        <v>0</v>
      </c>
      <c r="J7" s="117">
        <v>1017</v>
      </c>
      <c r="K7" s="117">
        <v>229</v>
      </c>
      <c r="L7" s="117">
        <v>597</v>
      </c>
      <c r="M7" s="117">
        <v>2</v>
      </c>
      <c r="N7" s="117">
        <v>1695</v>
      </c>
      <c r="O7" s="117">
        <v>2096</v>
      </c>
      <c r="P7" s="119">
        <v>11394</v>
      </c>
    </row>
    <row r="8" spans="1:16" x14ac:dyDescent="0.3">
      <c r="A8" s="106" t="s">
        <v>185</v>
      </c>
      <c r="B8" s="117">
        <v>332</v>
      </c>
      <c r="C8" s="117">
        <v>259</v>
      </c>
      <c r="D8" s="117">
        <v>78</v>
      </c>
      <c r="E8" s="117">
        <v>97</v>
      </c>
      <c r="F8" s="117">
        <v>286</v>
      </c>
      <c r="G8" s="117">
        <v>56</v>
      </c>
      <c r="H8" s="117">
        <v>485</v>
      </c>
      <c r="I8" s="117">
        <v>564</v>
      </c>
      <c r="J8" s="117">
        <v>131</v>
      </c>
      <c r="K8" s="117">
        <v>133</v>
      </c>
      <c r="L8" s="117">
        <v>488</v>
      </c>
      <c r="M8" s="117">
        <v>347</v>
      </c>
      <c r="N8" s="117">
        <v>426</v>
      </c>
      <c r="O8" s="117">
        <v>1183</v>
      </c>
      <c r="P8" s="119">
        <v>4865</v>
      </c>
    </row>
    <row r="9" spans="1:16" x14ac:dyDescent="0.3">
      <c r="A9" s="106" t="s">
        <v>186</v>
      </c>
      <c r="B9" s="117">
        <v>165</v>
      </c>
      <c r="C9" s="117">
        <v>758</v>
      </c>
      <c r="D9" s="117">
        <v>9</v>
      </c>
      <c r="E9" s="117">
        <v>137</v>
      </c>
      <c r="F9" s="117">
        <v>446</v>
      </c>
      <c r="G9" s="117">
        <v>143</v>
      </c>
      <c r="H9" s="117">
        <v>371</v>
      </c>
      <c r="I9" s="117">
        <v>303</v>
      </c>
      <c r="J9" s="117">
        <v>337</v>
      </c>
      <c r="K9" s="117">
        <v>0</v>
      </c>
      <c r="L9" s="117">
        <v>113</v>
      </c>
      <c r="M9" s="117">
        <v>173</v>
      </c>
      <c r="N9" s="117">
        <v>426</v>
      </c>
      <c r="O9" s="117">
        <v>868</v>
      </c>
      <c r="P9" s="119">
        <v>4249</v>
      </c>
    </row>
    <row r="10" spans="1:16" x14ac:dyDescent="0.3">
      <c r="A10" s="106" t="s">
        <v>188</v>
      </c>
      <c r="B10" s="117">
        <v>141</v>
      </c>
      <c r="C10" s="117">
        <v>214</v>
      </c>
      <c r="D10" s="117">
        <v>18</v>
      </c>
      <c r="E10" s="117">
        <v>24</v>
      </c>
      <c r="F10" s="117">
        <v>113</v>
      </c>
      <c r="G10" s="117">
        <v>525</v>
      </c>
      <c r="H10" s="117">
        <v>535</v>
      </c>
      <c r="I10" s="117">
        <v>652</v>
      </c>
      <c r="J10" s="117">
        <v>13</v>
      </c>
      <c r="K10" s="117">
        <v>153</v>
      </c>
      <c r="L10" s="117">
        <v>503</v>
      </c>
      <c r="M10" s="117">
        <v>60</v>
      </c>
      <c r="N10" s="117">
        <v>322</v>
      </c>
      <c r="O10" s="117">
        <v>614</v>
      </c>
      <c r="P10" s="119">
        <v>3887</v>
      </c>
    </row>
    <row r="11" spans="1:16" x14ac:dyDescent="0.3">
      <c r="A11" s="106" t="s">
        <v>189</v>
      </c>
      <c r="B11" s="117">
        <v>221</v>
      </c>
      <c r="C11" s="117">
        <v>316</v>
      </c>
      <c r="D11" s="117">
        <v>75</v>
      </c>
      <c r="E11" s="117">
        <v>96</v>
      </c>
      <c r="F11" s="117">
        <v>88</v>
      </c>
      <c r="G11" s="117">
        <v>80</v>
      </c>
      <c r="H11" s="117">
        <v>879</v>
      </c>
      <c r="I11" s="117">
        <v>184</v>
      </c>
      <c r="J11" s="117">
        <v>63</v>
      </c>
      <c r="K11" s="117">
        <v>32</v>
      </c>
      <c r="L11" s="117">
        <v>475</v>
      </c>
      <c r="M11" s="117">
        <v>185</v>
      </c>
      <c r="N11" s="117">
        <v>288</v>
      </c>
      <c r="O11" s="117">
        <v>397</v>
      </c>
      <c r="P11" s="119">
        <v>3379</v>
      </c>
    </row>
    <row r="12" spans="1:16" x14ac:dyDescent="0.3">
      <c r="A12" s="106" t="s">
        <v>190</v>
      </c>
      <c r="B12" s="117">
        <v>314</v>
      </c>
      <c r="C12" s="117">
        <v>491</v>
      </c>
      <c r="D12" s="117">
        <v>0</v>
      </c>
      <c r="E12" s="117">
        <v>123</v>
      </c>
      <c r="F12" s="117">
        <v>265</v>
      </c>
      <c r="G12" s="117">
        <v>101</v>
      </c>
      <c r="H12" s="117">
        <v>32</v>
      </c>
      <c r="I12" s="117">
        <v>343</v>
      </c>
      <c r="J12" s="117">
        <v>183</v>
      </c>
      <c r="K12" s="117">
        <v>107</v>
      </c>
      <c r="L12" s="117">
        <v>91</v>
      </c>
      <c r="M12" s="117">
        <v>289</v>
      </c>
      <c r="N12" s="117">
        <v>145</v>
      </c>
      <c r="O12" s="117">
        <v>665</v>
      </c>
      <c r="P12" s="119">
        <v>3149</v>
      </c>
    </row>
    <row r="13" spans="1:16" x14ac:dyDescent="0.3">
      <c r="A13" s="106" t="s">
        <v>191</v>
      </c>
      <c r="B13" s="117">
        <v>179</v>
      </c>
      <c r="C13" s="117">
        <v>167</v>
      </c>
      <c r="D13" s="117">
        <v>0</v>
      </c>
      <c r="E13" s="117">
        <v>0</v>
      </c>
      <c r="F13" s="117">
        <v>131</v>
      </c>
      <c r="G13" s="117">
        <v>414</v>
      </c>
      <c r="H13" s="117">
        <v>83</v>
      </c>
      <c r="I13" s="117">
        <v>324</v>
      </c>
      <c r="J13" s="117">
        <v>79</v>
      </c>
      <c r="K13" s="117">
        <v>46</v>
      </c>
      <c r="L13" s="117">
        <v>427</v>
      </c>
      <c r="M13" s="117">
        <v>268</v>
      </c>
      <c r="N13" s="117">
        <v>138</v>
      </c>
      <c r="O13" s="117">
        <v>751</v>
      </c>
      <c r="P13" s="119">
        <v>3007</v>
      </c>
    </row>
    <row r="14" spans="1:16" x14ac:dyDescent="0.3">
      <c r="A14" s="106" t="s">
        <v>193</v>
      </c>
      <c r="B14" s="117">
        <v>314</v>
      </c>
      <c r="C14" s="117">
        <v>50</v>
      </c>
      <c r="D14" s="117">
        <v>19</v>
      </c>
      <c r="E14" s="117">
        <v>78</v>
      </c>
      <c r="F14" s="117">
        <v>113</v>
      </c>
      <c r="G14" s="117">
        <v>104</v>
      </c>
      <c r="H14" s="117">
        <v>297</v>
      </c>
      <c r="I14" s="117">
        <v>281</v>
      </c>
      <c r="J14" s="117">
        <v>46</v>
      </c>
      <c r="K14" s="117">
        <v>48</v>
      </c>
      <c r="L14" s="117">
        <v>163</v>
      </c>
      <c r="M14" s="117">
        <v>176</v>
      </c>
      <c r="N14" s="117">
        <v>275</v>
      </c>
      <c r="O14" s="117">
        <v>319</v>
      </c>
      <c r="P14" s="119">
        <v>2283</v>
      </c>
    </row>
    <row r="15" spans="1:16" x14ac:dyDescent="0.3">
      <c r="A15" s="106" t="s">
        <v>194</v>
      </c>
      <c r="B15" s="117">
        <v>120</v>
      </c>
      <c r="C15" s="117">
        <v>57</v>
      </c>
      <c r="D15" s="117">
        <v>4</v>
      </c>
      <c r="E15" s="117">
        <v>66</v>
      </c>
      <c r="F15" s="117">
        <v>78</v>
      </c>
      <c r="G15" s="117">
        <v>40</v>
      </c>
      <c r="H15" s="117">
        <v>373</v>
      </c>
      <c r="I15" s="117">
        <v>142</v>
      </c>
      <c r="J15" s="117">
        <v>35</v>
      </c>
      <c r="K15" s="117">
        <v>18</v>
      </c>
      <c r="L15" s="117">
        <v>201</v>
      </c>
      <c r="M15" s="117">
        <v>112</v>
      </c>
      <c r="N15" s="117">
        <v>148</v>
      </c>
      <c r="O15" s="117">
        <v>728</v>
      </c>
      <c r="P15" s="119">
        <v>2122</v>
      </c>
    </row>
    <row r="16" spans="1:16" x14ac:dyDescent="0.3">
      <c r="A16" s="106" t="s">
        <v>197</v>
      </c>
      <c r="B16" s="117">
        <v>31</v>
      </c>
      <c r="C16" s="117">
        <v>35</v>
      </c>
      <c r="D16" s="117">
        <v>0</v>
      </c>
      <c r="E16" s="117">
        <v>16</v>
      </c>
      <c r="F16" s="117">
        <v>72</v>
      </c>
      <c r="G16" s="117">
        <v>5</v>
      </c>
      <c r="H16" s="117">
        <v>46</v>
      </c>
      <c r="I16" s="117">
        <v>87</v>
      </c>
      <c r="J16" s="117">
        <v>14</v>
      </c>
      <c r="K16" s="117">
        <v>21</v>
      </c>
      <c r="L16" s="117">
        <v>92</v>
      </c>
      <c r="M16" s="117">
        <v>152</v>
      </c>
      <c r="N16" s="117">
        <v>260</v>
      </c>
      <c r="O16" s="117">
        <v>268</v>
      </c>
      <c r="P16" s="119">
        <v>1099</v>
      </c>
    </row>
    <row r="17" spans="1:16" x14ac:dyDescent="0.3">
      <c r="A17" s="106" t="s">
        <v>200</v>
      </c>
      <c r="B17" s="117">
        <v>11</v>
      </c>
      <c r="C17" s="117">
        <v>84</v>
      </c>
      <c r="D17" s="117">
        <v>24</v>
      </c>
      <c r="E17" s="117">
        <v>186</v>
      </c>
      <c r="F17" s="117">
        <v>0</v>
      </c>
      <c r="G17" s="117">
        <v>33</v>
      </c>
      <c r="H17" s="117">
        <v>43</v>
      </c>
      <c r="I17" s="117">
        <v>5</v>
      </c>
      <c r="J17" s="117">
        <v>16</v>
      </c>
      <c r="K17" s="117">
        <v>82</v>
      </c>
      <c r="L17" s="117">
        <v>0</v>
      </c>
      <c r="M17" s="117">
        <v>17</v>
      </c>
      <c r="N17" s="117">
        <v>0</v>
      </c>
      <c r="O17" s="117">
        <v>262</v>
      </c>
      <c r="P17" s="119">
        <v>763</v>
      </c>
    </row>
    <row r="18" spans="1:16" x14ac:dyDescent="0.3">
      <c r="A18" s="106" t="s">
        <v>201</v>
      </c>
      <c r="B18" s="117">
        <v>31</v>
      </c>
      <c r="C18" s="117">
        <v>50</v>
      </c>
      <c r="D18" s="117">
        <v>0</v>
      </c>
      <c r="E18" s="117">
        <v>0</v>
      </c>
      <c r="F18" s="117">
        <v>20</v>
      </c>
      <c r="G18" s="117">
        <v>13</v>
      </c>
      <c r="H18" s="117">
        <v>181</v>
      </c>
      <c r="I18" s="117">
        <v>77</v>
      </c>
      <c r="J18" s="117">
        <v>0</v>
      </c>
      <c r="K18" s="117">
        <v>2</v>
      </c>
      <c r="L18" s="117">
        <v>104</v>
      </c>
      <c r="M18" s="117">
        <v>42</v>
      </c>
      <c r="N18" s="117">
        <v>90</v>
      </c>
      <c r="O18" s="117">
        <v>110</v>
      </c>
      <c r="P18" s="119">
        <v>720</v>
      </c>
    </row>
    <row r="19" spans="1:16" x14ac:dyDescent="0.3">
      <c r="A19" s="106" t="s">
        <v>203</v>
      </c>
      <c r="B19" s="117">
        <v>115</v>
      </c>
      <c r="C19" s="117">
        <v>172</v>
      </c>
      <c r="D19" s="117">
        <v>0</v>
      </c>
      <c r="E19" s="117">
        <v>0</v>
      </c>
      <c r="F19" s="117">
        <v>13</v>
      </c>
      <c r="G19" s="117">
        <v>0</v>
      </c>
      <c r="H19" s="117">
        <v>18</v>
      </c>
      <c r="I19" s="117">
        <v>13</v>
      </c>
      <c r="J19" s="117">
        <v>1</v>
      </c>
      <c r="K19" s="117">
        <v>1</v>
      </c>
      <c r="L19" s="117">
        <v>40</v>
      </c>
      <c r="M19" s="117">
        <v>21</v>
      </c>
      <c r="N19" s="117">
        <v>22</v>
      </c>
      <c r="O19" s="117">
        <v>106</v>
      </c>
      <c r="P19" s="119">
        <v>522</v>
      </c>
    </row>
    <row r="20" spans="1:16" x14ac:dyDescent="0.3">
      <c r="A20" s="106" t="s">
        <v>204</v>
      </c>
      <c r="B20" s="117">
        <v>0</v>
      </c>
      <c r="C20" s="117">
        <v>0</v>
      </c>
      <c r="D20" s="117">
        <v>0</v>
      </c>
      <c r="E20" s="117">
        <v>385</v>
      </c>
      <c r="F20" s="117">
        <v>0</v>
      </c>
      <c r="G20" s="117">
        <v>0</v>
      </c>
      <c r="H20" s="117">
        <v>0</v>
      </c>
      <c r="I20" s="117">
        <v>55</v>
      </c>
      <c r="J20" s="117">
        <v>0</v>
      </c>
      <c r="K20" s="117">
        <v>0</v>
      </c>
      <c r="L20" s="117">
        <v>0</v>
      </c>
      <c r="M20" s="117">
        <v>0</v>
      </c>
      <c r="N20" s="117">
        <v>0</v>
      </c>
      <c r="O20" s="117">
        <v>0</v>
      </c>
      <c r="P20" s="119">
        <v>440</v>
      </c>
    </row>
    <row r="21" spans="1:16" x14ac:dyDescent="0.3">
      <c r="A21" s="106" t="s">
        <v>202</v>
      </c>
      <c r="B21" s="117">
        <v>26</v>
      </c>
      <c r="C21" s="117">
        <v>31</v>
      </c>
      <c r="D21" s="117">
        <v>0</v>
      </c>
      <c r="E21" s="117">
        <v>0</v>
      </c>
      <c r="F21" s="117">
        <v>7</v>
      </c>
      <c r="G21" s="117">
        <v>0</v>
      </c>
      <c r="H21" s="117">
        <v>0</v>
      </c>
      <c r="I21" s="117">
        <v>0</v>
      </c>
      <c r="J21" s="117">
        <v>0</v>
      </c>
      <c r="K21" s="117">
        <v>0</v>
      </c>
      <c r="L21" s="117">
        <v>118</v>
      </c>
      <c r="M21" s="117">
        <v>42</v>
      </c>
      <c r="N21" s="117">
        <v>80</v>
      </c>
      <c r="O21" s="117">
        <v>0</v>
      </c>
      <c r="P21" s="119">
        <v>304</v>
      </c>
    </row>
    <row r="22" spans="1:16" x14ac:dyDescent="0.3">
      <c r="A22" s="106" t="s">
        <v>206</v>
      </c>
      <c r="B22" s="117">
        <v>0</v>
      </c>
      <c r="C22" s="117">
        <v>4</v>
      </c>
      <c r="D22" s="117">
        <v>0</v>
      </c>
      <c r="E22" s="117">
        <v>0</v>
      </c>
      <c r="F22" s="117">
        <v>0</v>
      </c>
      <c r="G22" s="117">
        <v>0</v>
      </c>
      <c r="H22" s="117">
        <v>177</v>
      </c>
      <c r="I22" s="117">
        <v>0</v>
      </c>
      <c r="J22" s="117">
        <v>0</v>
      </c>
      <c r="K22" s="117">
        <v>0</v>
      </c>
      <c r="L22" s="117">
        <v>0</v>
      </c>
      <c r="M22" s="117">
        <v>0</v>
      </c>
      <c r="N22" s="117">
        <v>0</v>
      </c>
      <c r="O22" s="117">
        <v>52</v>
      </c>
      <c r="P22" s="119">
        <v>233</v>
      </c>
    </row>
    <row r="23" spans="1:16" x14ac:dyDescent="0.3">
      <c r="A23" s="106" t="s">
        <v>207</v>
      </c>
      <c r="B23" s="117">
        <v>0</v>
      </c>
      <c r="C23" s="117">
        <v>0</v>
      </c>
      <c r="D23" s="117">
        <v>0</v>
      </c>
      <c r="E23" s="117">
        <v>0</v>
      </c>
      <c r="F23" s="117">
        <v>0</v>
      </c>
      <c r="G23" s="117">
        <v>0</v>
      </c>
      <c r="H23" s="117">
        <v>152</v>
      </c>
      <c r="I23" s="117">
        <v>0</v>
      </c>
      <c r="J23" s="117">
        <v>0</v>
      </c>
      <c r="K23" s="117">
        <v>0</v>
      </c>
      <c r="L23" s="117">
        <v>0</v>
      </c>
      <c r="M23" s="117">
        <v>0</v>
      </c>
      <c r="N23" s="117">
        <v>0</v>
      </c>
      <c r="O23" s="117">
        <v>0</v>
      </c>
      <c r="P23" s="119">
        <v>152</v>
      </c>
    </row>
    <row r="24" spans="1:16" x14ac:dyDescent="0.3">
      <c r="A24" s="106" t="s">
        <v>208</v>
      </c>
      <c r="B24" s="117">
        <v>0</v>
      </c>
      <c r="C24" s="117">
        <v>0</v>
      </c>
      <c r="D24" s="117">
        <v>0</v>
      </c>
      <c r="E24" s="117">
        <v>0</v>
      </c>
      <c r="F24" s="117">
        <v>124</v>
      </c>
      <c r="G24" s="117">
        <v>0</v>
      </c>
      <c r="H24" s="117">
        <v>0</v>
      </c>
      <c r="I24" s="117">
        <v>0</v>
      </c>
      <c r="J24" s="117">
        <v>0</v>
      </c>
      <c r="K24" s="117">
        <v>0</v>
      </c>
      <c r="L24" s="117">
        <v>0</v>
      </c>
      <c r="M24" s="117">
        <v>0</v>
      </c>
      <c r="N24" s="117">
        <v>0</v>
      </c>
      <c r="O24" s="117">
        <v>0</v>
      </c>
      <c r="P24" s="119">
        <v>124</v>
      </c>
    </row>
    <row r="25" spans="1:16" x14ac:dyDescent="0.3">
      <c r="A25" s="106" t="s">
        <v>209</v>
      </c>
      <c r="B25" s="117">
        <v>13</v>
      </c>
      <c r="C25" s="117">
        <v>0</v>
      </c>
      <c r="D25" s="117">
        <v>0</v>
      </c>
      <c r="E25" s="117">
        <v>7</v>
      </c>
      <c r="F25" s="117">
        <v>8</v>
      </c>
      <c r="G25" s="117">
        <v>0</v>
      </c>
      <c r="H25" s="117">
        <v>15</v>
      </c>
      <c r="I25" s="117">
        <v>13</v>
      </c>
      <c r="J25" s="117">
        <v>0</v>
      </c>
      <c r="K25" s="117">
        <v>1</v>
      </c>
      <c r="L25" s="117">
        <v>6</v>
      </c>
      <c r="M25" s="117">
        <v>0</v>
      </c>
      <c r="N25" s="117">
        <v>10</v>
      </c>
      <c r="O25" s="117">
        <v>42</v>
      </c>
      <c r="P25" s="119">
        <v>115</v>
      </c>
    </row>
    <row r="26" spans="1:16" x14ac:dyDescent="0.3">
      <c r="A26" s="106" t="s">
        <v>210</v>
      </c>
      <c r="B26" s="117">
        <v>0</v>
      </c>
      <c r="C26" s="117">
        <v>88</v>
      </c>
      <c r="D26" s="117">
        <v>0</v>
      </c>
      <c r="E26" s="117">
        <v>16</v>
      </c>
      <c r="F26" s="117">
        <v>0</v>
      </c>
      <c r="G26" s="117">
        <v>0</v>
      </c>
      <c r="H26" s="117">
        <v>0</v>
      </c>
      <c r="I26" s="117">
        <v>0</v>
      </c>
      <c r="J26" s="117">
        <v>0</v>
      </c>
      <c r="K26" s="117">
        <v>0</v>
      </c>
      <c r="L26" s="117">
        <v>0</v>
      </c>
      <c r="M26" s="117">
        <v>0</v>
      </c>
      <c r="N26" s="117">
        <v>0</v>
      </c>
      <c r="O26" s="117">
        <v>0</v>
      </c>
      <c r="P26" s="119">
        <v>104</v>
      </c>
    </row>
    <row r="27" spans="1:16" x14ac:dyDescent="0.3">
      <c r="A27" s="106" t="s">
        <v>211</v>
      </c>
      <c r="B27" s="117">
        <v>0</v>
      </c>
      <c r="C27" s="117">
        <v>73</v>
      </c>
      <c r="D27" s="117">
        <v>0</v>
      </c>
      <c r="E27" s="117">
        <v>0</v>
      </c>
      <c r="F27" s="117">
        <v>0</v>
      </c>
      <c r="G27" s="117">
        <v>0</v>
      </c>
      <c r="H27" s="117">
        <v>0</v>
      </c>
      <c r="I27" s="117">
        <v>0</v>
      </c>
      <c r="J27" s="117">
        <v>0</v>
      </c>
      <c r="K27" s="117">
        <v>0</v>
      </c>
      <c r="L27" s="117">
        <v>0</v>
      </c>
      <c r="M27" s="117">
        <v>0</v>
      </c>
      <c r="N27" s="117">
        <v>0</v>
      </c>
      <c r="O27" s="117">
        <v>0</v>
      </c>
      <c r="P27" s="119">
        <v>73</v>
      </c>
    </row>
    <row r="28" spans="1:16" x14ac:dyDescent="0.3">
      <c r="A28" s="106" t="s">
        <v>212</v>
      </c>
      <c r="B28" s="117">
        <v>0</v>
      </c>
      <c r="C28" s="117">
        <v>0</v>
      </c>
      <c r="D28" s="117">
        <v>0</v>
      </c>
      <c r="E28" s="117">
        <v>0</v>
      </c>
      <c r="F28" s="117">
        <v>0</v>
      </c>
      <c r="G28" s="117">
        <v>0</v>
      </c>
      <c r="H28" s="117">
        <v>20</v>
      </c>
      <c r="I28" s="117">
        <v>0</v>
      </c>
      <c r="J28" s="117">
        <v>0</v>
      </c>
      <c r="K28" s="117">
        <v>0</v>
      </c>
      <c r="L28" s="117">
        <v>0</v>
      </c>
      <c r="M28" s="117">
        <v>0</v>
      </c>
      <c r="N28" s="117">
        <v>0</v>
      </c>
      <c r="O28" s="117">
        <v>53</v>
      </c>
      <c r="P28" s="119">
        <v>73</v>
      </c>
    </row>
    <row r="29" spans="1:16" x14ac:dyDescent="0.3">
      <c r="A29" s="106" t="s">
        <v>213</v>
      </c>
      <c r="B29" s="117">
        <v>0</v>
      </c>
      <c r="C29" s="117">
        <v>0</v>
      </c>
      <c r="D29" s="117">
        <v>0</v>
      </c>
      <c r="E29" s="117">
        <v>0</v>
      </c>
      <c r="F29" s="117">
        <v>0</v>
      </c>
      <c r="G29" s="117">
        <v>0</v>
      </c>
      <c r="H29" s="117">
        <v>15</v>
      </c>
      <c r="I29" s="117">
        <v>7</v>
      </c>
      <c r="J29" s="117">
        <v>0</v>
      </c>
      <c r="K29" s="117">
        <v>0</v>
      </c>
      <c r="L29" s="117">
        <v>18</v>
      </c>
      <c r="M29" s="117">
        <v>0</v>
      </c>
      <c r="N29" s="117">
        <v>0</v>
      </c>
      <c r="O29" s="117">
        <v>21</v>
      </c>
      <c r="P29" s="119">
        <v>61</v>
      </c>
    </row>
    <row r="30" spans="1:16" x14ac:dyDescent="0.3">
      <c r="A30" s="106" t="s">
        <v>215</v>
      </c>
      <c r="B30" s="117">
        <v>524</v>
      </c>
      <c r="C30" s="117">
        <v>52</v>
      </c>
      <c r="D30" s="117">
        <v>84</v>
      </c>
      <c r="E30" s="117">
        <v>96</v>
      </c>
      <c r="F30" s="117">
        <v>264</v>
      </c>
      <c r="G30" s="117">
        <v>68</v>
      </c>
      <c r="H30" s="117">
        <v>479</v>
      </c>
      <c r="I30" s="117">
        <v>339</v>
      </c>
      <c r="J30" s="117">
        <v>95</v>
      </c>
      <c r="K30" s="117">
        <v>144</v>
      </c>
      <c r="L30" s="117">
        <v>177</v>
      </c>
      <c r="M30" s="117">
        <v>762</v>
      </c>
      <c r="N30" s="117">
        <v>277</v>
      </c>
      <c r="O30" s="117">
        <v>968</v>
      </c>
      <c r="P30" s="119">
        <v>4329</v>
      </c>
    </row>
    <row r="31" spans="1:16" x14ac:dyDescent="0.3">
      <c r="A31" s="113" t="s">
        <v>216</v>
      </c>
      <c r="B31" s="120">
        <v>352</v>
      </c>
      <c r="C31" s="120">
        <v>170</v>
      </c>
      <c r="D31" s="120">
        <v>13</v>
      </c>
      <c r="E31" s="120">
        <v>89</v>
      </c>
      <c r="F31" s="120">
        <v>108</v>
      </c>
      <c r="G31" s="120">
        <v>168</v>
      </c>
      <c r="H31" s="120">
        <v>170</v>
      </c>
      <c r="I31" s="120">
        <v>223</v>
      </c>
      <c r="J31" s="120">
        <v>114</v>
      </c>
      <c r="K31" s="120">
        <v>300</v>
      </c>
      <c r="L31" s="120">
        <v>163</v>
      </c>
      <c r="M31" s="120">
        <v>236</v>
      </c>
      <c r="N31" s="120">
        <v>88</v>
      </c>
      <c r="O31" s="120">
        <v>365</v>
      </c>
      <c r="P31" s="119">
        <v>2559</v>
      </c>
    </row>
    <row r="32" spans="1:16" ht="14.25" customHeight="1" x14ac:dyDescent="0.3">
      <c r="A32" s="158" t="s">
        <v>23</v>
      </c>
      <c r="B32" s="158">
        <f>SUBTOTAL(109,'Table 9 additional'!$B$4:$B$31)</f>
        <v>7745</v>
      </c>
      <c r="C32" s="158">
        <f>SUBTOTAL(109,'Table 9 additional'!$C$4:$C$31)</f>
        <v>6512</v>
      </c>
      <c r="D32" s="158">
        <f>SUBTOTAL(109,'Table 9 additional'!$D$4:$D$31)</f>
        <v>642</v>
      </c>
      <c r="E32" s="158">
        <f>SUBTOTAL(109,'Table 9 additional'!$E$4:$E$31)</f>
        <v>3922</v>
      </c>
      <c r="F32" s="158">
        <f>SUBTOTAL(109,'Table 9 additional'!$F$4:$F$31)</f>
        <v>5136</v>
      </c>
      <c r="G32" s="158">
        <f>SUBTOTAL(109,'Table 9 additional'!$G$4:$G$31)</f>
        <v>4043</v>
      </c>
      <c r="H32" s="158">
        <f>SUBTOTAL(109,'Table 9 additional'!$H$4:$H$31)</f>
        <v>9308</v>
      </c>
      <c r="I32" s="158">
        <f>SUBTOTAL(109,'Table 9 additional'!$I$4:$I$31)</f>
        <v>7675</v>
      </c>
      <c r="J32" s="158">
        <f>SUBTOTAL(109,'Table 9 additional'!$J$4:$J$31)</f>
        <v>2920</v>
      </c>
      <c r="K32" s="158">
        <f>SUBTOTAL(109,'Table 9 additional'!$K$4:$K$31)</f>
        <v>1803</v>
      </c>
      <c r="L32" s="158">
        <f>SUBTOTAL(109,'Table 9 additional'!$L$4:$L$31)</f>
        <v>7213</v>
      </c>
      <c r="M32" s="158">
        <f>SUBTOTAL(109,'Table 9 additional'!$M$4:$M$31)</f>
        <v>5668</v>
      </c>
      <c r="N32" s="158">
        <f>SUBTOTAL(109,'Table 9 additional'!$N$4:$N$31)</f>
        <v>8424</v>
      </c>
      <c r="O32" s="158">
        <f>SUBTOTAL(109,'Table 9 additional'!$O$4:$O$31)</f>
        <v>17640</v>
      </c>
      <c r="P32" s="158">
        <f>SUBTOTAL(109,'Table 9 additional'!$P$4:$P$31)</f>
        <v>88651</v>
      </c>
    </row>
    <row r="33" spans="1:16" ht="14.25" customHeight="1" x14ac:dyDescent="0.3"/>
    <row r="34" spans="1:16" ht="14.25" customHeight="1" x14ac:dyDescent="0.3">
      <c r="A34" s="212" t="s">
        <v>110</v>
      </c>
      <c r="B34" s="212"/>
      <c r="C34" s="212"/>
      <c r="D34" s="212"/>
      <c r="E34" s="212"/>
      <c r="F34" s="212"/>
      <c r="G34" s="212"/>
      <c r="H34" s="212"/>
      <c r="I34" s="212"/>
      <c r="J34" s="212"/>
      <c r="K34" s="212"/>
      <c r="L34" s="212"/>
      <c r="M34" s="212"/>
      <c r="N34" s="212"/>
      <c r="O34" s="212"/>
      <c r="P34" s="212"/>
    </row>
    <row r="35" spans="1:16" ht="14.25" customHeight="1" x14ac:dyDescent="0.3">
      <c r="A35" s="26" t="s">
        <v>6</v>
      </c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90"/>
    </row>
    <row r="36" spans="1:16" ht="14.25" customHeight="1" x14ac:dyDescent="0.3">
      <c r="A36" s="26" t="s">
        <v>7</v>
      </c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</row>
    <row r="37" spans="1:16" ht="14.25" customHeight="1" x14ac:dyDescent="0.3"/>
    <row r="39" spans="1:16" ht="66" customHeight="1" x14ac:dyDescent="0.35">
      <c r="A39" s="199" t="str">
        <f>CONCATENATE("Total Number of Graduate Level Majors* by Field and University, ", IF(RIGHT(Parameters!B1,1)="1","Fall ","Spring "), IF(RIGHT(Parameters!B1,1)="1",LEFT(Parameters!B1,4),LEFT(Parameters!B1,4) + 1 ),", Ranked in Descending Order")</f>
        <v>Total Number of Graduate Level Majors* by Field and University, Fall 2021, Ranked in Descending Order</v>
      </c>
      <c r="B39" s="199"/>
      <c r="C39" s="199"/>
      <c r="D39" s="199"/>
      <c r="E39" s="199"/>
      <c r="F39" s="199"/>
      <c r="G39" s="199"/>
      <c r="H39" s="199"/>
      <c r="I39" s="199"/>
      <c r="J39" s="199"/>
      <c r="K39" s="199"/>
      <c r="L39" s="199"/>
      <c r="M39" s="199"/>
      <c r="N39" s="199"/>
      <c r="O39" s="199"/>
      <c r="P39" s="199"/>
    </row>
    <row r="40" spans="1:16" x14ac:dyDescent="0.3">
      <c r="A40" s="195" t="s">
        <v>167</v>
      </c>
      <c r="B40" s="41" t="s">
        <v>168</v>
      </c>
      <c r="C40" s="41" t="s">
        <v>169</v>
      </c>
      <c r="D40" s="41" t="s">
        <v>170</v>
      </c>
      <c r="E40" s="41" t="s">
        <v>171</v>
      </c>
      <c r="F40" s="41" t="s">
        <v>172</v>
      </c>
      <c r="G40" s="41" t="s">
        <v>173</v>
      </c>
      <c r="H40" s="41" t="s">
        <v>174</v>
      </c>
      <c r="I40" s="41" t="s">
        <v>175</v>
      </c>
      <c r="J40" s="41" t="s">
        <v>176</v>
      </c>
      <c r="K40" s="41" t="s">
        <v>177</v>
      </c>
      <c r="L40" s="41" t="s">
        <v>178</v>
      </c>
      <c r="M40" s="41" t="s">
        <v>179</v>
      </c>
      <c r="N40" s="41" t="s">
        <v>180</v>
      </c>
      <c r="O40" s="41" t="s">
        <v>181</v>
      </c>
      <c r="P40" s="92" t="s">
        <v>23</v>
      </c>
    </row>
    <row r="41" spans="1:16" x14ac:dyDescent="0.3">
      <c r="A41" s="106" t="s">
        <v>183</v>
      </c>
      <c r="B41" s="33">
        <v>169</v>
      </c>
      <c r="C41" s="33">
        <v>749</v>
      </c>
      <c r="D41" s="33">
        <v>0</v>
      </c>
      <c r="E41" s="33">
        <v>81</v>
      </c>
      <c r="F41" s="33">
        <v>353</v>
      </c>
      <c r="G41" s="33">
        <v>485</v>
      </c>
      <c r="H41" s="33">
        <v>345</v>
      </c>
      <c r="I41" s="33">
        <v>419</v>
      </c>
      <c r="J41" s="33">
        <v>26</v>
      </c>
      <c r="K41" s="33">
        <v>12</v>
      </c>
      <c r="L41" s="33">
        <v>293</v>
      </c>
      <c r="M41" s="33">
        <v>240</v>
      </c>
      <c r="N41" s="33">
        <v>488</v>
      </c>
      <c r="O41" s="33">
        <v>683</v>
      </c>
      <c r="P41" s="35">
        <v>4343</v>
      </c>
    </row>
    <row r="42" spans="1:16" x14ac:dyDescent="0.3">
      <c r="A42" s="106" t="s">
        <v>219</v>
      </c>
      <c r="B42" s="117">
        <v>231</v>
      </c>
      <c r="C42" s="117">
        <v>230</v>
      </c>
      <c r="D42" s="117">
        <v>0</v>
      </c>
      <c r="E42" s="117">
        <v>201</v>
      </c>
      <c r="F42" s="117">
        <v>168</v>
      </c>
      <c r="G42" s="117">
        <v>142</v>
      </c>
      <c r="H42" s="117">
        <v>285</v>
      </c>
      <c r="I42" s="117">
        <v>0</v>
      </c>
      <c r="J42" s="117">
        <v>336</v>
      </c>
      <c r="K42" s="117">
        <v>0</v>
      </c>
      <c r="L42" s="117">
        <v>105</v>
      </c>
      <c r="M42" s="117">
        <v>2</v>
      </c>
      <c r="N42" s="117">
        <v>429</v>
      </c>
      <c r="O42" s="117">
        <v>398</v>
      </c>
      <c r="P42" s="119">
        <v>2527</v>
      </c>
    </row>
    <row r="43" spans="1:16" x14ac:dyDescent="0.3">
      <c r="A43" s="106" t="s">
        <v>218</v>
      </c>
      <c r="B43" s="117">
        <v>93</v>
      </c>
      <c r="C43" s="117">
        <v>199</v>
      </c>
      <c r="D43" s="117">
        <v>0</v>
      </c>
      <c r="E43" s="117">
        <v>76</v>
      </c>
      <c r="F43" s="117">
        <v>70</v>
      </c>
      <c r="G43" s="117">
        <v>34</v>
      </c>
      <c r="H43" s="117">
        <v>340</v>
      </c>
      <c r="I43" s="117">
        <v>54</v>
      </c>
      <c r="J43" s="117">
        <v>0</v>
      </c>
      <c r="K43" s="117">
        <v>0</v>
      </c>
      <c r="L43" s="117">
        <v>0</v>
      </c>
      <c r="M43" s="117">
        <v>214</v>
      </c>
      <c r="N43" s="117">
        <v>71</v>
      </c>
      <c r="O43" s="117">
        <v>677</v>
      </c>
      <c r="P43" s="119">
        <v>1828</v>
      </c>
    </row>
    <row r="44" spans="1:16" x14ac:dyDescent="0.3">
      <c r="A44" s="106" t="s">
        <v>226</v>
      </c>
      <c r="B44" s="117">
        <v>10</v>
      </c>
      <c r="C44" s="117">
        <v>87</v>
      </c>
      <c r="D44" s="117">
        <v>0</v>
      </c>
      <c r="E44" s="117">
        <v>0</v>
      </c>
      <c r="F44" s="117">
        <v>0</v>
      </c>
      <c r="G44" s="117">
        <v>307</v>
      </c>
      <c r="H44" s="117">
        <v>83</v>
      </c>
      <c r="I44" s="117">
        <v>130</v>
      </c>
      <c r="J44" s="117">
        <v>0</v>
      </c>
      <c r="K44" s="117">
        <v>0</v>
      </c>
      <c r="L44" s="117">
        <v>147</v>
      </c>
      <c r="M44" s="117">
        <v>101</v>
      </c>
      <c r="N44" s="117">
        <v>43</v>
      </c>
      <c r="O44" s="117">
        <v>540</v>
      </c>
      <c r="P44" s="119">
        <v>1448</v>
      </c>
    </row>
    <row r="45" spans="1:16" x14ac:dyDescent="0.3">
      <c r="A45" s="106" t="s">
        <v>217</v>
      </c>
      <c r="B45" s="117">
        <v>124</v>
      </c>
      <c r="C45" s="117">
        <v>46</v>
      </c>
      <c r="D45" s="117">
        <v>0</v>
      </c>
      <c r="E45" s="117">
        <v>17</v>
      </c>
      <c r="F45" s="117">
        <v>60</v>
      </c>
      <c r="G45" s="117">
        <v>0</v>
      </c>
      <c r="H45" s="117">
        <v>271</v>
      </c>
      <c r="I45" s="117">
        <v>97</v>
      </c>
      <c r="J45" s="117">
        <v>1</v>
      </c>
      <c r="K45" s="117">
        <v>0</v>
      </c>
      <c r="L45" s="117">
        <v>40</v>
      </c>
      <c r="M45" s="117">
        <v>54</v>
      </c>
      <c r="N45" s="117">
        <v>138</v>
      </c>
      <c r="O45" s="117">
        <v>197</v>
      </c>
      <c r="P45" s="119">
        <v>1045</v>
      </c>
    </row>
    <row r="46" spans="1:16" x14ac:dyDescent="0.3">
      <c r="A46" s="106" t="s">
        <v>222</v>
      </c>
      <c r="B46" s="117">
        <v>9</v>
      </c>
      <c r="C46" s="117">
        <v>361</v>
      </c>
      <c r="D46" s="117">
        <v>0</v>
      </c>
      <c r="E46" s="117">
        <v>0</v>
      </c>
      <c r="F46" s="117">
        <v>30</v>
      </c>
      <c r="G46" s="117">
        <v>0</v>
      </c>
      <c r="H46" s="117">
        <v>94</v>
      </c>
      <c r="I46" s="117">
        <v>0</v>
      </c>
      <c r="J46" s="117">
        <v>82</v>
      </c>
      <c r="K46" s="117">
        <v>0</v>
      </c>
      <c r="L46" s="117">
        <v>30</v>
      </c>
      <c r="M46" s="117">
        <v>0</v>
      </c>
      <c r="N46" s="117">
        <v>58</v>
      </c>
      <c r="O46" s="117">
        <v>37</v>
      </c>
      <c r="P46" s="119">
        <v>701</v>
      </c>
    </row>
    <row r="47" spans="1:16" x14ac:dyDescent="0.3">
      <c r="A47" s="106" t="s">
        <v>220</v>
      </c>
      <c r="B47" s="117">
        <v>0</v>
      </c>
      <c r="C47" s="117">
        <v>29</v>
      </c>
      <c r="D47" s="117">
        <v>0</v>
      </c>
      <c r="E47" s="117">
        <v>0</v>
      </c>
      <c r="F47" s="117">
        <v>0</v>
      </c>
      <c r="G47" s="117">
        <v>56</v>
      </c>
      <c r="H47" s="117">
        <v>125</v>
      </c>
      <c r="I47" s="117">
        <v>118</v>
      </c>
      <c r="J47" s="117">
        <v>0</v>
      </c>
      <c r="K47" s="117">
        <v>0</v>
      </c>
      <c r="L47" s="117">
        <v>107</v>
      </c>
      <c r="M47" s="117">
        <v>35</v>
      </c>
      <c r="N47" s="117">
        <v>46</v>
      </c>
      <c r="O47" s="117">
        <v>124</v>
      </c>
      <c r="P47" s="119">
        <v>640</v>
      </c>
    </row>
    <row r="48" spans="1:16" x14ac:dyDescent="0.3">
      <c r="A48" s="106" t="s">
        <v>201</v>
      </c>
      <c r="B48" s="117">
        <v>31</v>
      </c>
      <c r="C48" s="117">
        <v>50</v>
      </c>
      <c r="D48" s="117">
        <v>0</v>
      </c>
      <c r="E48" s="117">
        <v>0</v>
      </c>
      <c r="F48" s="117">
        <v>20</v>
      </c>
      <c r="G48" s="117">
        <v>13</v>
      </c>
      <c r="H48" s="117">
        <v>2</v>
      </c>
      <c r="I48" s="117">
        <v>72</v>
      </c>
      <c r="J48" s="117">
        <v>0</v>
      </c>
      <c r="K48" s="117">
        <v>0</v>
      </c>
      <c r="L48" s="117">
        <v>104</v>
      </c>
      <c r="M48" s="117">
        <v>42</v>
      </c>
      <c r="N48" s="117">
        <v>90</v>
      </c>
      <c r="O48" s="117">
        <v>104</v>
      </c>
      <c r="P48" s="119">
        <v>528</v>
      </c>
    </row>
    <row r="49" spans="1:16" x14ac:dyDescent="0.3">
      <c r="A49" s="106" t="s">
        <v>238</v>
      </c>
      <c r="B49" s="117">
        <v>0</v>
      </c>
      <c r="C49" s="117">
        <v>0</v>
      </c>
      <c r="D49" s="117">
        <v>0</v>
      </c>
      <c r="E49" s="117">
        <v>385</v>
      </c>
      <c r="F49" s="117">
        <v>0</v>
      </c>
      <c r="G49" s="117">
        <v>0</v>
      </c>
      <c r="H49" s="117">
        <v>0</v>
      </c>
      <c r="I49" s="117">
        <v>27</v>
      </c>
      <c r="J49" s="117">
        <v>0</v>
      </c>
      <c r="K49" s="117">
        <v>0</v>
      </c>
      <c r="L49" s="117">
        <v>0</v>
      </c>
      <c r="M49" s="117">
        <v>0</v>
      </c>
      <c r="N49" s="117">
        <v>0</v>
      </c>
      <c r="O49" s="117">
        <v>0</v>
      </c>
      <c r="P49" s="119">
        <v>412</v>
      </c>
    </row>
    <row r="50" spans="1:16" x14ac:dyDescent="0.3">
      <c r="A50" s="106" t="s">
        <v>225</v>
      </c>
      <c r="B50" s="117">
        <v>0</v>
      </c>
      <c r="C50" s="117">
        <v>0</v>
      </c>
      <c r="D50" s="117">
        <v>0</v>
      </c>
      <c r="E50" s="117">
        <v>0</v>
      </c>
      <c r="F50" s="117">
        <v>14</v>
      </c>
      <c r="G50" s="117">
        <v>0</v>
      </c>
      <c r="H50" s="117">
        <v>236</v>
      </c>
      <c r="I50" s="117">
        <v>9</v>
      </c>
      <c r="J50" s="117">
        <v>0</v>
      </c>
      <c r="K50" s="117">
        <v>0</v>
      </c>
      <c r="L50" s="117">
        <v>19</v>
      </c>
      <c r="M50" s="117">
        <v>0</v>
      </c>
      <c r="N50" s="117">
        <v>32</v>
      </c>
      <c r="O50" s="117">
        <v>79</v>
      </c>
      <c r="P50" s="119">
        <v>389</v>
      </c>
    </row>
    <row r="51" spans="1:16" x14ac:dyDescent="0.3">
      <c r="A51" s="106" t="s">
        <v>223</v>
      </c>
      <c r="B51" s="117">
        <v>0</v>
      </c>
      <c r="C51" s="117">
        <v>134</v>
      </c>
      <c r="D51" s="117">
        <v>0</v>
      </c>
      <c r="E51" s="117">
        <v>0</v>
      </c>
      <c r="F51" s="117">
        <v>0</v>
      </c>
      <c r="G51" s="117">
        <v>0</v>
      </c>
      <c r="H51" s="117">
        <v>0</v>
      </c>
      <c r="I51" s="117">
        <v>0</v>
      </c>
      <c r="J51" s="117">
        <v>0</v>
      </c>
      <c r="K51" s="117">
        <v>0</v>
      </c>
      <c r="L51" s="117">
        <v>66</v>
      </c>
      <c r="M51" s="117">
        <v>30</v>
      </c>
      <c r="N51" s="117">
        <v>15</v>
      </c>
      <c r="O51" s="117">
        <v>51</v>
      </c>
      <c r="P51" s="119">
        <v>296</v>
      </c>
    </row>
    <row r="52" spans="1:16" x14ac:dyDescent="0.3">
      <c r="A52" s="106" t="s">
        <v>221</v>
      </c>
      <c r="B52" s="117">
        <v>1</v>
      </c>
      <c r="C52" s="117">
        <v>0</v>
      </c>
      <c r="D52" s="117">
        <v>0</v>
      </c>
      <c r="E52" s="117">
        <v>0</v>
      </c>
      <c r="F52" s="117">
        <v>0</v>
      </c>
      <c r="G52" s="117">
        <v>38</v>
      </c>
      <c r="H52" s="117">
        <v>30</v>
      </c>
      <c r="I52" s="117">
        <v>35</v>
      </c>
      <c r="J52" s="117">
        <v>0</v>
      </c>
      <c r="K52" s="117">
        <v>0</v>
      </c>
      <c r="L52" s="117">
        <v>8</v>
      </c>
      <c r="M52" s="117">
        <v>0</v>
      </c>
      <c r="N52" s="117">
        <v>0</v>
      </c>
      <c r="O52" s="117">
        <v>63</v>
      </c>
      <c r="P52" s="119">
        <v>175</v>
      </c>
    </row>
    <row r="53" spans="1:16" x14ac:dyDescent="0.3">
      <c r="A53" s="106" t="s">
        <v>227</v>
      </c>
      <c r="B53" s="117">
        <v>0</v>
      </c>
      <c r="C53" s="117">
        <v>0</v>
      </c>
      <c r="D53" s="117">
        <v>0</v>
      </c>
      <c r="E53" s="117">
        <v>0</v>
      </c>
      <c r="F53" s="117">
        <v>11</v>
      </c>
      <c r="G53" s="117">
        <v>0</v>
      </c>
      <c r="H53" s="117">
        <v>0</v>
      </c>
      <c r="I53" s="117">
        <v>0</v>
      </c>
      <c r="J53" s="117">
        <v>0</v>
      </c>
      <c r="K53" s="117">
        <v>0</v>
      </c>
      <c r="L53" s="117">
        <v>19</v>
      </c>
      <c r="M53" s="117">
        <v>26</v>
      </c>
      <c r="N53" s="117">
        <v>84</v>
      </c>
      <c r="O53" s="117">
        <v>24</v>
      </c>
      <c r="P53" s="119">
        <v>164</v>
      </c>
    </row>
    <row r="54" spans="1:16" x14ac:dyDescent="0.3">
      <c r="A54" s="106" t="s">
        <v>224</v>
      </c>
      <c r="B54" s="117">
        <v>0</v>
      </c>
      <c r="C54" s="117">
        <v>0</v>
      </c>
      <c r="D54" s="117">
        <v>0</v>
      </c>
      <c r="E54" s="117">
        <v>2</v>
      </c>
      <c r="F54" s="117">
        <v>14</v>
      </c>
      <c r="G54" s="117">
        <v>21</v>
      </c>
      <c r="H54" s="117">
        <v>50</v>
      </c>
      <c r="I54" s="117">
        <v>0</v>
      </c>
      <c r="J54" s="117">
        <v>0</v>
      </c>
      <c r="K54" s="117">
        <v>0</v>
      </c>
      <c r="L54" s="117">
        <v>0</v>
      </c>
      <c r="M54" s="117">
        <v>11</v>
      </c>
      <c r="N54" s="117">
        <v>0</v>
      </c>
      <c r="O54" s="117">
        <v>4</v>
      </c>
      <c r="P54" s="119">
        <v>102</v>
      </c>
    </row>
    <row r="55" spans="1:16" x14ac:dyDescent="0.3">
      <c r="A55" s="106" t="s">
        <v>229</v>
      </c>
      <c r="B55" s="117">
        <v>0</v>
      </c>
      <c r="C55" s="117">
        <v>55</v>
      </c>
      <c r="D55" s="117">
        <v>0</v>
      </c>
      <c r="E55" s="117">
        <v>0</v>
      </c>
      <c r="F55" s="117">
        <v>0</v>
      </c>
      <c r="G55" s="117">
        <v>0</v>
      </c>
      <c r="H55" s="117">
        <v>0</v>
      </c>
      <c r="I55" s="117">
        <v>0</v>
      </c>
      <c r="J55" s="117">
        <v>0</v>
      </c>
      <c r="K55" s="117">
        <v>0</v>
      </c>
      <c r="L55" s="117">
        <v>2</v>
      </c>
      <c r="M55" s="117">
        <v>0</v>
      </c>
      <c r="N55" s="117">
        <v>0</v>
      </c>
      <c r="O55" s="117">
        <v>35</v>
      </c>
      <c r="P55" s="119">
        <v>92</v>
      </c>
    </row>
    <row r="56" spans="1:16" x14ac:dyDescent="0.3">
      <c r="A56" s="113" t="s">
        <v>231</v>
      </c>
      <c r="B56" s="120">
        <v>0</v>
      </c>
      <c r="C56" s="120">
        <v>4</v>
      </c>
      <c r="D56" s="120">
        <v>0</v>
      </c>
      <c r="E56" s="120">
        <v>0</v>
      </c>
      <c r="F56" s="120">
        <v>0</v>
      </c>
      <c r="G56" s="120">
        <v>0</v>
      </c>
      <c r="H56" s="120">
        <v>34</v>
      </c>
      <c r="I56" s="120">
        <v>0</v>
      </c>
      <c r="J56" s="120">
        <v>0</v>
      </c>
      <c r="K56" s="120">
        <v>0</v>
      </c>
      <c r="L56" s="120">
        <v>0</v>
      </c>
      <c r="M56" s="120">
        <v>0</v>
      </c>
      <c r="N56" s="120">
        <v>0</v>
      </c>
      <c r="O56" s="120">
        <v>52</v>
      </c>
      <c r="P56" s="119">
        <v>90</v>
      </c>
    </row>
    <row r="57" spans="1:16" x14ac:dyDescent="0.3">
      <c r="A57" s="129" t="s">
        <v>189</v>
      </c>
      <c r="B57" s="134">
        <v>0</v>
      </c>
      <c r="C57" s="134">
        <v>1</v>
      </c>
      <c r="D57" s="134">
        <v>0</v>
      </c>
      <c r="E57" s="134">
        <v>0</v>
      </c>
      <c r="F57" s="134">
        <v>6</v>
      </c>
      <c r="G57" s="134">
        <v>0</v>
      </c>
      <c r="H57" s="134">
        <v>65</v>
      </c>
      <c r="I57" s="134">
        <v>0</v>
      </c>
      <c r="J57" s="134">
        <v>0</v>
      </c>
      <c r="K57" s="134">
        <v>0</v>
      </c>
      <c r="L57" s="134">
        <v>0</v>
      </c>
      <c r="M57" s="134">
        <v>0</v>
      </c>
      <c r="N57" s="134">
        <v>0</v>
      </c>
      <c r="O57" s="134">
        <v>14</v>
      </c>
      <c r="P57" s="135">
        <v>86</v>
      </c>
    </row>
    <row r="58" spans="1:16" x14ac:dyDescent="0.3">
      <c r="A58" s="129" t="s">
        <v>237</v>
      </c>
      <c r="B58" s="134">
        <v>0</v>
      </c>
      <c r="C58" s="134">
        <v>54</v>
      </c>
      <c r="D58" s="134">
        <v>0</v>
      </c>
      <c r="E58" s="134">
        <v>0</v>
      </c>
      <c r="F58" s="134">
        <v>0</v>
      </c>
      <c r="G58" s="134">
        <v>0</v>
      </c>
      <c r="H58" s="134">
        <v>0</v>
      </c>
      <c r="I58" s="134">
        <v>0</v>
      </c>
      <c r="J58" s="134">
        <v>0</v>
      </c>
      <c r="K58" s="134">
        <v>0</v>
      </c>
      <c r="L58" s="134">
        <v>0</v>
      </c>
      <c r="M58" s="134">
        <v>0</v>
      </c>
      <c r="N58" s="134">
        <v>0</v>
      </c>
      <c r="O58" s="134">
        <v>0</v>
      </c>
      <c r="P58" s="135">
        <v>54</v>
      </c>
    </row>
    <row r="59" spans="1:16" x14ac:dyDescent="0.3">
      <c r="A59" s="129" t="s">
        <v>230</v>
      </c>
      <c r="B59" s="134">
        <v>0</v>
      </c>
      <c r="C59" s="134">
        <v>26</v>
      </c>
      <c r="D59" s="134">
        <v>0</v>
      </c>
      <c r="E59" s="134">
        <v>0</v>
      </c>
      <c r="F59" s="134">
        <v>0</v>
      </c>
      <c r="G59" s="134">
        <v>0</v>
      </c>
      <c r="H59" s="134">
        <v>0</v>
      </c>
      <c r="I59" s="134">
        <v>0</v>
      </c>
      <c r="J59" s="134">
        <v>0</v>
      </c>
      <c r="K59" s="134">
        <v>0</v>
      </c>
      <c r="L59" s="134">
        <v>0</v>
      </c>
      <c r="M59" s="134">
        <v>0</v>
      </c>
      <c r="N59" s="134">
        <v>0</v>
      </c>
      <c r="O59" s="134">
        <v>0</v>
      </c>
      <c r="P59" s="135">
        <v>26</v>
      </c>
    </row>
    <row r="60" spans="1:16" x14ac:dyDescent="0.3">
      <c r="A60" s="129" t="s">
        <v>233</v>
      </c>
      <c r="B60" s="134">
        <v>0</v>
      </c>
      <c r="C60" s="134">
        <v>0</v>
      </c>
      <c r="D60" s="134">
        <v>0</v>
      </c>
      <c r="E60" s="134">
        <v>0</v>
      </c>
      <c r="F60" s="134">
        <v>0</v>
      </c>
      <c r="G60" s="134">
        <v>0</v>
      </c>
      <c r="H60" s="134">
        <v>0</v>
      </c>
      <c r="I60" s="134">
        <v>0</v>
      </c>
      <c r="J60" s="134">
        <v>0</v>
      </c>
      <c r="K60" s="134">
        <v>0</v>
      </c>
      <c r="L60" s="134">
        <v>0</v>
      </c>
      <c r="M60" s="134">
        <v>0</v>
      </c>
      <c r="N60" s="134">
        <v>0</v>
      </c>
      <c r="O60" s="134">
        <v>19</v>
      </c>
      <c r="P60" s="135">
        <v>19</v>
      </c>
    </row>
    <row r="61" spans="1:16" s="39" customFormat="1" ht="14.25" customHeight="1" x14ac:dyDescent="0.3">
      <c r="A61" s="129" t="s">
        <v>234</v>
      </c>
      <c r="B61" s="134">
        <v>0</v>
      </c>
      <c r="C61" s="134">
        <v>0</v>
      </c>
      <c r="D61" s="134">
        <v>0</v>
      </c>
      <c r="E61" s="134">
        <v>0</v>
      </c>
      <c r="F61" s="134">
        <v>0</v>
      </c>
      <c r="G61" s="134">
        <v>0</v>
      </c>
      <c r="H61" s="134">
        <v>0</v>
      </c>
      <c r="I61" s="134">
        <v>0</v>
      </c>
      <c r="J61" s="134">
        <v>0</v>
      </c>
      <c r="K61" s="134">
        <v>0</v>
      </c>
      <c r="L61" s="134">
        <v>0</v>
      </c>
      <c r="M61" s="134">
        <v>0</v>
      </c>
      <c r="N61" s="134">
        <v>0</v>
      </c>
      <c r="O61" s="134">
        <v>12</v>
      </c>
      <c r="P61" s="135">
        <v>12</v>
      </c>
    </row>
    <row r="62" spans="1:16" s="39" customFormat="1" x14ac:dyDescent="0.3">
      <c r="A62" s="129" t="s">
        <v>239</v>
      </c>
      <c r="B62" s="134">
        <v>8</v>
      </c>
      <c r="C62" s="134">
        <v>21</v>
      </c>
      <c r="D62" s="134">
        <v>0</v>
      </c>
      <c r="E62" s="134">
        <v>4</v>
      </c>
      <c r="F62" s="134">
        <v>63</v>
      </c>
      <c r="G62" s="134">
        <v>8</v>
      </c>
      <c r="H62" s="134">
        <v>5</v>
      </c>
      <c r="I62" s="134">
        <v>17</v>
      </c>
      <c r="J62" s="134">
        <v>9</v>
      </c>
      <c r="K62" s="134">
        <v>1</v>
      </c>
      <c r="L62" s="134">
        <v>16</v>
      </c>
      <c r="M62" s="134">
        <v>12</v>
      </c>
      <c r="N62" s="134">
        <v>10</v>
      </c>
      <c r="O62" s="134">
        <v>52</v>
      </c>
      <c r="P62" s="135">
        <v>226</v>
      </c>
    </row>
    <row r="63" spans="1:16" s="39" customFormat="1" x14ac:dyDescent="0.3">
      <c r="A63" s="158" t="s">
        <v>23</v>
      </c>
      <c r="B63" s="158">
        <f>SUBTOTAL(109,'Table 9 additional'!$B$41:$B$62)</f>
        <v>676</v>
      </c>
      <c r="C63" s="158">
        <f>SUBTOTAL(109,'Table 9 additional'!$C$41:$C$62)</f>
        <v>2046</v>
      </c>
      <c r="D63" s="158">
        <f>SUBTOTAL(109,'Table 9 additional'!$D$41:$D$62)</f>
        <v>0</v>
      </c>
      <c r="E63" s="158">
        <f>SUBTOTAL(109,'Table 9 additional'!$E$41:$E$62)</f>
        <v>766</v>
      </c>
      <c r="F63" s="158">
        <f>SUBTOTAL(109,'Table 9 additional'!$F$41:$F$62)</f>
        <v>809</v>
      </c>
      <c r="G63" s="158">
        <f>SUBTOTAL(109,'Table 9 additional'!$G$41:$G$62)</f>
        <v>1104</v>
      </c>
      <c r="H63" s="158">
        <f>SUBTOTAL(109,'Table 9 additional'!$H$41:$H$62)</f>
        <v>1965</v>
      </c>
      <c r="I63" s="158">
        <f>SUBTOTAL(109,'Table 9 additional'!$I$41:$I$62)</f>
        <v>978</v>
      </c>
      <c r="J63" s="158">
        <f>SUBTOTAL(109,'Table 9 additional'!$J$41:$J$62)</f>
        <v>454</v>
      </c>
      <c r="K63" s="158">
        <f>SUBTOTAL(109,'Table 9 additional'!$K$41:$K$62)</f>
        <v>13</v>
      </c>
      <c r="L63" s="158">
        <f>SUBTOTAL(109,'Table 9 additional'!$L$41:$L$62)</f>
        <v>956</v>
      </c>
      <c r="M63" s="158">
        <f>SUBTOTAL(109,'Table 9 additional'!$M$41:$M$62)</f>
        <v>767</v>
      </c>
      <c r="N63" s="158">
        <f>SUBTOTAL(109,'Table 9 additional'!$N$41:$N$62)</f>
        <v>1504</v>
      </c>
      <c r="O63" s="158">
        <f>SUBTOTAL(109,'Table 9 additional'!$O$41:$O$62)</f>
        <v>3165</v>
      </c>
      <c r="P63" s="158">
        <f>SUBTOTAL(109,'Table 9 additional'!$P$41:$P$62)</f>
        <v>15203</v>
      </c>
    </row>
    <row r="66" spans="1:16" ht="14.25" customHeight="1" x14ac:dyDescent="0.3">
      <c r="A66" s="212" t="s">
        <v>110</v>
      </c>
      <c r="B66" s="212"/>
      <c r="C66" s="212"/>
      <c r="D66" s="212"/>
      <c r="E66" s="212"/>
      <c r="F66" s="212"/>
      <c r="G66" s="212"/>
      <c r="H66" s="212"/>
      <c r="I66" s="212"/>
      <c r="J66" s="212"/>
      <c r="K66" s="212"/>
      <c r="L66" s="212"/>
      <c r="M66" s="212"/>
      <c r="N66" s="212"/>
      <c r="O66" s="212"/>
      <c r="P66" s="212"/>
    </row>
    <row r="67" spans="1:16" ht="14.25" customHeight="1" x14ac:dyDescent="0.3">
      <c r="A67" s="26" t="s">
        <v>6</v>
      </c>
      <c r="B67" s="89"/>
      <c r="C67" s="89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90"/>
    </row>
    <row r="68" spans="1:16" x14ac:dyDescent="0.3">
      <c r="A68" s="26" t="s">
        <v>7</v>
      </c>
      <c r="B68" s="89"/>
      <c r="C68" s="89"/>
      <c r="D68" s="89"/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</row>
    <row r="71" spans="1:16" ht="15.5" x14ac:dyDescent="0.35">
      <c r="A71" s="199" t="str">
        <f>CONCATENATE("Total Number of Undergraduate Level Majors* by Field and University, ", IF(RIGHT(Parameters!B1,1)="1","Fall ","Spring "), IF(RIGHT(Parameters!B1,1)="1",LEFT(Parameters!B1,4),LEFT(Parameters!B1,4) + 1 ),", Ranked in Descending Order")</f>
        <v>Total Number of Undergraduate Level Majors* by Field and University, Fall 2021, Ranked in Descending Order</v>
      </c>
      <c r="B71" s="199"/>
      <c r="C71" s="199"/>
      <c r="D71" s="199"/>
      <c r="E71" s="199"/>
      <c r="F71" s="199"/>
      <c r="G71" s="199"/>
      <c r="H71" s="199"/>
      <c r="I71" s="199"/>
      <c r="J71" s="199"/>
      <c r="K71" s="199"/>
      <c r="L71" s="199"/>
      <c r="M71" s="199"/>
      <c r="N71" s="199"/>
      <c r="O71" s="199"/>
      <c r="P71" s="199"/>
    </row>
    <row r="72" spans="1:16" x14ac:dyDescent="0.3">
      <c r="A72" s="195" t="s">
        <v>167</v>
      </c>
      <c r="B72" s="41" t="s">
        <v>168</v>
      </c>
      <c r="C72" s="41" t="s">
        <v>169</v>
      </c>
      <c r="D72" s="41" t="s">
        <v>170</v>
      </c>
      <c r="E72" s="41" t="s">
        <v>171</v>
      </c>
      <c r="F72" s="41" t="s">
        <v>172</v>
      </c>
      <c r="G72" s="41" t="s">
        <v>173</v>
      </c>
      <c r="H72" s="41" t="s">
        <v>174</v>
      </c>
      <c r="I72" s="41" t="s">
        <v>175</v>
      </c>
      <c r="J72" s="41" t="s">
        <v>176</v>
      </c>
      <c r="K72" s="41" t="s">
        <v>177</v>
      </c>
      <c r="L72" s="41" t="s">
        <v>178</v>
      </c>
      <c r="M72" s="41" t="s">
        <v>179</v>
      </c>
      <c r="N72" s="41" t="s">
        <v>180</v>
      </c>
      <c r="O72" s="93" t="s">
        <v>181</v>
      </c>
      <c r="P72" s="92" t="s">
        <v>23</v>
      </c>
    </row>
    <row r="73" spans="1:16" x14ac:dyDescent="0.3">
      <c r="A73" s="28" t="s">
        <v>217</v>
      </c>
      <c r="B73" s="33">
        <v>945</v>
      </c>
      <c r="C73" s="33">
        <v>1008</v>
      </c>
      <c r="D73" s="33">
        <v>161</v>
      </c>
      <c r="E73" s="33">
        <v>472</v>
      </c>
      <c r="F73" s="33">
        <v>740</v>
      </c>
      <c r="G73" s="33">
        <v>552</v>
      </c>
      <c r="H73" s="33">
        <v>1286</v>
      </c>
      <c r="I73" s="33">
        <v>1246</v>
      </c>
      <c r="J73" s="33">
        <v>292</v>
      </c>
      <c r="K73" s="33">
        <v>214</v>
      </c>
      <c r="L73" s="33">
        <v>1637</v>
      </c>
      <c r="M73" s="33">
        <v>868</v>
      </c>
      <c r="N73" s="33">
        <v>1648</v>
      </c>
      <c r="O73" s="33">
        <v>1834</v>
      </c>
      <c r="P73" s="35">
        <v>12903</v>
      </c>
    </row>
    <row r="74" spans="1:16" x14ac:dyDescent="0.3">
      <c r="A74" s="106" t="s">
        <v>182</v>
      </c>
      <c r="B74" s="117">
        <v>1352</v>
      </c>
      <c r="C74" s="117">
        <v>495</v>
      </c>
      <c r="D74" s="117">
        <v>133</v>
      </c>
      <c r="E74" s="117">
        <v>391</v>
      </c>
      <c r="F74" s="117">
        <v>618</v>
      </c>
      <c r="G74" s="117">
        <v>287</v>
      </c>
      <c r="H74" s="117">
        <v>1136</v>
      </c>
      <c r="I74" s="117">
        <v>1056</v>
      </c>
      <c r="J74" s="117">
        <v>246</v>
      </c>
      <c r="K74" s="117">
        <v>129</v>
      </c>
      <c r="L74" s="117">
        <v>711</v>
      </c>
      <c r="M74" s="117">
        <v>923</v>
      </c>
      <c r="N74" s="117">
        <v>707</v>
      </c>
      <c r="O74" s="117">
        <v>3171</v>
      </c>
      <c r="P74" s="119">
        <v>11355</v>
      </c>
    </row>
    <row r="75" spans="1:16" x14ac:dyDescent="0.3">
      <c r="A75" s="106" t="s">
        <v>184</v>
      </c>
      <c r="B75" s="117">
        <v>1220</v>
      </c>
      <c r="C75" s="117">
        <v>386</v>
      </c>
      <c r="D75" s="117">
        <v>0</v>
      </c>
      <c r="E75" s="117">
        <v>993</v>
      </c>
      <c r="F75" s="117">
        <v>491</v>
      </c>
      <c r="G75" s="117">
        <v>450</v>
      </c>
      <c r="H75" s="117">
        <v>961</v>
      </c>
      <c r="I75" s="117">
        <v>0</v>
      </c>
      <c r="J75" s="117">
        <v>681</v>
      </c>
      <c r="K75" s="117">
        <v>229</v>
      </c>
      <c r="L75" s="117">
        <v>492</v>
      </c>
      <c r="M75" s="117">
        <v>0</v>
      </c>
      <c r="N75" s="117">
        <v>1266</v>
      </c>
      <c r="O75" s="117">
        <v>1698</v>
      </c>
      <c r="P75" s="119">
        <v>8867</v>
      </c>
    </row>
    <row r="76" spans="1:16" x14ac:dyDescent="0.3">
      <c r="A76" s="106" t="s">
        <v>183</v>
      </c>
      <c r="B76" s="117">
        <v>722</v>
      </c>
      <c r="C76" s="117">
        <v>328</v>
      </c>
      <c r="D76" s="117">
        <v>24</v>
      </c>
      <c r="E76" s="117">
        <v>275</v>
      </c>
      <c r="F76" s="117">
        <v>500</v>
      </c>
      <c r="G76" s="117">
        <v>343</v>
      </c>
      <c r="H76" s="117">
        <v>313</v>
      </c>
      <c r="I76" s="117">
        <v>1191</v>
      </c>
      <c r="J76" s="117">
        <v>211</v>
      </c>
      <c r="K76" s="117">
        <v>131</v>
      </c>
      <c r="L76" s="117">
        <v>756</v>
      </c>
      <c r="M76" s="117">
        <v>485</v>
      </c>
      <c r="N76" s="117">
        <v>682</v>
      </c>
      <c r="O76" s="117">
        <v>1210</v>
      </c>
      <c r="P76" s="119">
        <v>7171</v>
      </c>
    </row>
    <row r="77" spans="1:16" ht="14.25" customHeight="1" x14ac:dyDescent="0.3">
      <c r="A77" s="106" t="s">
        <v>185</v>
      </c>
      <c r="B77" s="117">
        <v>332</v>
      </c>
      <c r="C77" s="117">
        <v>230</v>
      </c>
      <c r="D77" s="117">
        <v>78</v>
      </c>
      <c r="E77" s="117">
        <v>97</v>
      </c>
      <c r="F77" s="117">
        <v>286</v>
      </c>
      <c r="G77" s="117">
        <v>0</v>
      </c>
      <c r="H77" s="117">
        <v>360</v>
      </c>
      <c r="I77" s="117">
        <v>446</v>
      </c>
      <c r="J77" s="117">
        <v>131</v>
      </c>
      <c r="K77" s="117">
        <v>133</v>
      </c>
      <c r="L77" s="117">
        <v>381</v>
      </c>
      <c r="M77" s="117">
        <v>312</v>
      </c>
      <c r="N77" s="117">
        <v>380</v>
      </c>
      <c r="O77" s="117">
        <v>1059</v>
      </c>
      <c r="P77" s="119">
        <v>4225</v>
      </c>
    </row>
    <row r="78" spans="1:16" x14ac:dyDescent="0.3">
      <c r="A78" s="106" t="s">
        <v>188</v>
      </c>
      <c r="B78" s="117">
        <v>140</v>
      </c>
      <c r="C78" s="117">
        <v>214</v>
      </c>
      <c r="D78" s="117">
        <v>18</v>
      </c>
      <c r="E78" s="117">
        <v>24</v>
      </c>
      <c r="F78" s="117">
        <v>113</v>
      </c>
      <c r="G78" s="117">
        <v>487</v>
      </c>
      <c r="H78" s="117">
        <v>505</v>
      </c>
      <c r="I78" s="117">
        <v>617</v>
      </c>
      <c r="J78" s="117">
        <v>13</v>
      </c>
      <c r="K78" s="117">
        <v>153</v>
      </c>
      <c r="L78" s="117">
        <v>495</v>
      </c>
      <c r="M78" s="117">
        <v>60</v>
      </c>
      <c r="N78" s="117">
        <v>322</v>
      </c>
      <c r="O78" s="117">
        <v>551</v>
      </c>
      <c r="P78" s="119">
        <v>3712</v>
      </c>
    </row>
    <row r="79" spans="1:16" x14ac:dyDescent="0.3">
      <c r="A79" s="106" t="s">
        <v>186</v>
      </c>
      <c r="B79" s="117">
        <v>156</v>
      </c>
      <c r="C79" s="117">
        <v>397</v>
      </c>
      <c r="D79" s="117">
        <v>9</v>
      </c>
      <c r="E79" s="117">
        <v>137</v>
      </c>
      <c r="F79" s="117">
        <v>416</v>
      </c>
      <c r="G79" s="117">
        <v>143</v>
      </c>
      <c r="H79" s="117">
        <v>277</v>
      </c>
      <c r="I79" s="117">
        <v>303</v>
      </c>
      <c r="J79" s="117">
        <v>255</v>
      </c>
      <c r="K79" s="117">
        <v>0</v>
      </c>
      <c r="L79" s="117">
        <v>83</v>
      </c>
      <c r="M79" s="117">
        <v>173</v>
      </c>
      <c r="N79" s="117">
        <v>368</v>
      </c>
      <c r="O79" s="117">
        <v>831</v>
      </c>
      <c r="P79" s="119">
        <v>3548</v>
      </c>
    </row>
    <row r="80" spans="1:16" x14ac:dyDescent="0.3">
      <c r="A80" s="106" t="s">
        <v>189</v>
      </c>
      <c r="B80" s="117">
        <v>221</v>
      </c>
      <c r="C80" s="117">
        <v>315</v>
      </c>
      <c r="D80" s="117">
        <v>75</v>
      </c>
      <c r="E80" s="117">
        <v>96</v>
      </c>
      <c r="F80" s="117">
        <v>82</v>
      </c>
      <c r="G80" s="117">
        <v>80</v>
      </c>
      <c r="H80" s="117">
        <v>814</v>
      </c>
      <c r="I80" s="117">
        <v>184</v>
      </c>
      <c r="J80" s="117">
        <v>63</v>
      </c>
      <c r="K80" s="117">
        <v>32</v>
      </c>
      <c r="L80" s="117">
        <v>475</v>
      </c>
      <c r="M80" s="117">
        <v>185</v>
      </c>
      <c r="N80" s="117">
        <v>288</v>
      </c>
      <c r="O80" s="117">
        <v>383</v>
      </c>
      <c r="P80" s="119">
        <v>3293</v>
      </c>
    </row>
    <row r="81" spans="1:16" x14ac:dyDescent="0.3">
      <c r="A81" s="106" t="s">
        <v>190</v>
      </c>
      <c r="B81" s="117">
        <v>314</v>
      </c>
      <c r="C81" s="117">
        <v>357</v>
      </c>
      <c r="D81" s="117">
        <v>0</v>
      </c>
      <c r="E81" s="117">
        <v>123</v>
      </c>
      <c r="F81" s="117">
        <v>265</v>
      </c>
      <c r="G81" s="117">
        <v>101</v>
      </c>
      <c r="H81" s="117">
        <v>32</v>
      </c>
      <c r="I81" s="117">
        <v>343</v>
      </c>
      <c r="J81" s="117">
        <v>183</v>
      </c>
      <c r="K81" s="117">
        <v>107</v>
      </c>
      <c r="L81" s="117">
        <v>25</v>
      </c>
      <c r="M81" s="117">
        <v>259</v>
      </c>
      <c r="N81" s="117">
        <v>130</v>
      </c>
      <c r="O81" s="117">
        <v>614</v>
      </c>
      <c r="P81" s="119">
        <v>2853</v>
      </c>
    </row>
    <row r="82" spans="1:16" x14ac:dyDescent="0.3">
      <c r="A82" s="106" t="s">
        <v>193</v>
      </c>
      <c r="B82" s="117">
        <v>314</v>
      </c>
      <c r="C82" s="117">
        <v>50</v>
      </c>
      <c r="D82" s="117">
        <v>19</v>
      </c>
      <c r="E82" s="117">
        <v>76</v>
      </c>
      <c r="F82" s="117">
        <v>99</v>
      </c>
      <c r="G82" s="117">
        <v>83</v>
      </c>
      <c r="H82" s="117">
        <v>247</v>
      </c>
      <c r="I82" s="117">
        <v>281</v>
      </c>
      <c r="J82" s="117">
        <v>46</v>
      </c>
      <c r="K82" s="117">
        <v>48</v>
      </c>
      <c r="L82" s="117">
        <v>163</v>
      </c>
      <c r="M82" s="117">
        <v>165</v>
      </c>
      <c r="N82" s="117">
        <v>275</v>
      </c>
      <c r="O82" s="117">
        <v>315</v>
      </c>
      <c r="P82" s="119">
        <v>2181</v>
      </c>
    </row>
    <row r="83" spans="1:16" x14ac:dyDescent="0.3">
      <c r="A83" s="106" t="s">
        <v>194</v>
      </c>
      <c r="B83" s="117">
        <v>120</v>
      </c>
      <c r="C83" s="117">
        <v>57</v>
      </c>
      <c r="D83" s="117">
        <v>4</v>
      </c>
      <c r="E83" s="117">
        <v>66</v>
      </c>
      <c r="F83" s="117">
        <v>64</v>
      </c>
      <c r="G83" s="117">
        <v>40</v>
      </c>
      <c r="H83" s="117">
        <v>137</v>
      </c>
      <c r="I83" s="117">
        <v>133</v>
      </c>
      <c r="J83" s="117">
        <v>35</v>
      </c>
      <c r="K83" s="117">
        <v>18</v>
      </c>
      <c r="L83" s="117">
        <v>182</v>
      </c>
      <c r="M83" s="117">
        <v>112</v>
      </c>
      <c r="N83" s="117">
        <v>116</v>
      </c>
      <c r="O83" s="117">
        <v>649</v>
      </c>
      <c r="P83" s="119">
        <v>1733</v>
      </c>
    </row>
    <row r="84" spans="1:16" x14ac:dyDescent="0.3">
      <c r="A84" s="106" t="s">
        <v>191</v>
      </c>
      <c r="B84" s="117">
        <v>169</v>
      </c>
      <c r="C84" s="117">
        <v>80</v>
      </c>
      <c r="D84" s="117">
        <v>0</v>
      </c>
      <c r="E84" s="117">
        <v>0</v>
      </c>
      <c r="F84" s="117">
        <v>131</v>
      </c>
      <c r="G84" s="117">
        <v>107</v>
      </c>
      <c r="H84" s="117">
        <v>0</v>
      </c>
      <c r="I84" s="117">
        <v>194</v>
      </c>
      <c r="J84" s="117">
        <v>79</v>
      </c>
      <c r="K84" s="117">
        <v>46</v>
      </c>
      <c r="L84" s="117">
        <v>280</v>
      </c>
      <c r="M84" s="117">
        <v>167</v>
      </c>
      <c r="N84" s="117">
        <v>95</v>
      </c>
      <c r="O84" s="117">
        <v>211</v>
      </c>
      <c r="P84" s="119">
        <v>1559</v>
      </c>
    </row>
    <row r="85" spans="1:16" x14ac:dyDescent="0.3">
      <c r="A85" s="106" t="s">
        <v>197</v>
      </c>
      <c r="B85" s="117">
        <v>31</v>
      </c>
      <c r="C85" s="117">
        <v>35</v>
      </c>
      <c r="D85" s="117">
        <v>0</v>
      </c>
      <c r="E85" s="117">
        <v>16</v>
      </c>
      <c r="F85" s="117">
        <v>61</v>
      </c>
      <c r="G85" s="117">
        <v>5</v>
      </c>
      <c r="H85" s="117">
        <v>46</v>
      </c>
      <c r="I85" s="117">
        <v>87</v>
      </c>
      <c r="J85" s="117">
        <v>14</v>
      </c>
      <c r="K85" s="117">
        <v>21</v>
      </c>
      <c r="L85" s="117">
        <v>73</v>
      </c>
      <c r="M85" s="117">
        <v>126</v>
      </c>
      <c r="N85" s="117">
        <v>176</v>
      </c>
      <c r="O85" s="117">
        <v>244</v>
      </c>
      <c r="P85" s="119">
        <v>935</v>
      </c>
    </row>
    <row r="86" spans="1:16" x14ac:dyDescent="0.3">
      <c r="A86" s="106" t="s">
        <v>200</v>
      </c>
      <c r="B86" s="117">
        <v>11</v>
      </c>
      <c r="C86" s="117">
        <v>84</v>
      </c>
      <c r="D86" s="117">
        <v>24</v>
      </c>
      <c r="E86" s="117">
        <v>186</v>
      </c>
      <c r="F86" s="117">
        <v>0</v>
      </c>
      <c r="G86" s="117">
        <v>33</v>
      </c>
      <c r="H86" s="117">
        <v>43</v>
      </c>
      <c r="I86" s="117">
        <v>5</v>
      </c>
      <c r="J86" s="117">
        <v>16</v>
      </c>
      <c r="K86" s="117">
        <v>82</v>
      </c>
      <c r="L86" s="117">
        <v>0</v>
      </c>
      <c r="M86" s="117">
        <v>17</v>
      </c>
      <c r="N86" s="117">
        <v>0</v>
      </c>
      <c r="O86" s="117">
        <v>262</v>
      </c>
      <c r="P86" s="119">
        <v>763</v>
      </c>
    </row>
    <row r="87" spans="1:16" x14ac:dyDescent="0.3">
      <c r="A87" s="106" t="s">
        <v>203</v>
      </c>
      <c r="B87" s="117">
        <v>115</v>
      </c>
      <c r="C87" s="117">
        <v>117</v>
      </c>
      <c r="D87" s="117">
        <v>0</v>
      </c>
      <c r="E87" s="117">
        <v>0</v>
      </c>
      <c r="F87" s="117">
        <v>13</v>
      </c>
      <c r="G87" s="117">
        <v>0</v>
      </c>
      <c r="H87" s="117">
        <v>18</v>
      </c>
      <c r="I87" s="117">
        <v>13</v>
      </c>
      <c r="J87" s="117">
        <v>1</v>
      </c>
      <c r="K87" s="117">
        <v>1</v>
      </c>
      <c r="L87" s="117">
        <v>38</v>
      </c>
      <c r="M87" s="117">
        <v>21</v>
      </c>
      <c r="N87" s="117">
        <v>22</v>
      </c>
      <c r="O87" s="117">
        <v>71</v>
      </c>
      <c r="P87" s="119">
        <v>430</v>
      </c>
    </row>
    <row r="88" spans="1:16" x14ac:dyDescent="0.3">
      <c r="A88" s="106" t="s">
        <v>202</v>
      </c>
      <c r="B88" s="117">
        <v>26</v>
      </c>
      <c r="C88" s="117">
        <v>5</v>
      </c>
      <c r="D88" s="117">
        <v>0</v>
      </c>
      <c r="E88" s="117">
        <v>0</v>
      </c>
      <c r="F88" s="117">
        <v>7</v>
      </c>
      <c r="G88" s="117">
        <v>0</v>
      </c>
      <c r="H88" s="117">
        <v>0</v>
      </c>
      <c r="I88" s="117">
        <v>0</v>
      </c>
      <c r="J88" s="117">
        <v>0</v>
      </c>
      <c r="K88" s="117">
        <v>0</v>
      </c>
      <c r="L88" s="117">
        <v>118</v>
      </c>
      <c r="M88" s="117">
        <v>42</v>
      </c>
      <c r="N88" s="117">
        <v>80</v>
      </c>
      <c r="O88" s="117">
        <v>0</v>
      </c>
      <c r="P88" s="119">
        <v>278</v>
      </c>
    </row>
    <row r="89" spans="1:16" x14ac:dyDescent="0.3">
      <c r="A89" s="106" t="s">
        <v>201</v>
      </c>
      <c r="B89" s="117">
        <v>0</v>
      </c>
      <c r="C89" s="117">
        <v>0</v>
      </c>
      <c r="D89" s="117">
        <v>0</v>
      </c>
      <c r="E89" s="117">
        <v>0</v>
      </c>
      <c r="F89" s="117">
        <v>0</v>
      </c>
      <c r="G89" s="117">
        <v>0</v>
      </c>
      <c r="H89" s="117">
        <v>179</v>
      </c>
      <c r="I89" s="117">
        <v>5</v>
      </c>
      <c r="J89" s="117">
        <v>0</v>
      </c>
      <c r="K89" s="117">
        <v>2</v>
      </c>
      <c r="L89" s="117">
        <v>0</v>
      </c>
      <c r="M89" s="117">
        <v>0</v>
      </c>
      <c r="N89" s="117">
        <v>0</v>
      </c>
      <c r="O89" s="117">
        <v>6</v>
      </c>
      <c r="P89" s="119">
        <v>192</v>
      </c>
    </row>
    <row r="90" spans="1:16" x14ac:dyDescent="0.3">
      <c r="A90" s="106" t="s">
        <v>207</v>
      </c>
      <c r="B90" s="117">
        <v>0</v>
      </c>
      <c r="C90" s="117">
        <v>0</v>
      </c>
      <c r="D90" s="117">
        <v>0</v>
      </c>
      <c r="E90" s="117">
        <v>0</v>
      </c>
      <c r="F90" s="117">
        <v>0</v>
      </c>
      <c r="G90" s="117">
        <v>0</v>
      </c>
      <c r="H90" s="117">
        <v>152</v>
      </c>
      <c r="I90" s="117">
        <v>0</v>
      </c>
      <c r="J90" s="117">
        <v>0</v>
      </c>
      <c r="K90" s="117">
        <v>0</v>
      </c>
      <c r="L90" s="117">
        <v>0</v>
      </c>
      <c r="M90" s="117">
        <v>0</v>
      </c>
      <c r="N90" s="117">
        <v>0</v>
      </c>
      <c r="O90" s="117">
        <v>0</v>
      </c>
      <c r="P90" s="119">
        <v>152</v>
      </c>
    </row>
    <row r="91" spans="1:16" x14ac:dyDescent="0.3">
      <c r="A91" s="106" t="s">
        <v>206</v>
      </c>
      <c r="B91" s="117">
        <v>0</v>
      </c>
      <c r="C91" s="117">
        <v>0</v>
      </c>
      <c r="D91" s="117">
        <v>0</v>
      </c>
      <c r="E91" s="117">
        <v>0</v>
      </c>
      <c r="F91" s="117">
        <v>0</v>
      </c>
      <c r="G91" s="117">
        <v>0</v>
      </c>
      <c r="H91" s="117">
        <v>143</v>
      </c>
      <c r="I91" s="117">
        <v>0</v>
      </c>
      <c r="J91" s="117">
        <v>0</v>
      </c>
      <c r="K91" s="117">
        <v>0</v>
      </c>
      <c r="L91" s="117">
        <v>0</v>
      </c>
      <c r="M91" s="117">
        <v>0</v>
      </c>
      <c r="N91" s="117">
        <v>0</v>
      </c>
      <c r="O91" s="117">
        <v>0</v>
      </c>
      <c r="P91" s="119">
        <v>143</v>
      </c>
    </row>
    <row r="92" spans="1:16" x14ac:dyDescent="0.3">
      <c r="A92" s="106" t="s">
        <v>208</v>
      </c>
      <c r="B92" s="117">
        <v>0</v>
      </c>
      <c r="C92" s="117">
        <v>0</v>
      </c>
      <c r="D92" s="117">
        <v>0</v>
      </c>
      <c r="E92" s="117">
        <v>0</v>
      </c>
      <c r="F92" s="117">
        <v>124</v>
      </c>
      <c r="G92" s="117">
        <v>0</v>
      </c>
      <c r="H92" s="117">
        <v>0</v>
      </c>
      <c r="I92" s="117">
        <v>0</v>
      </c>
      <c r="J92" s="117">
        <v>0</v>
      </c>
      <c r="K92" s="117">
        <v>0</v>
      </c>
      <c r="L92" s="117">
        <v>0</v>
      </c>
      <c r="M92" s="117">
        <v>0</v>
      </c>
      <c r="N92" s="117">
        <v>0</v>
      </c>
      <c r="O92" s="117">
        <v>0</v>
      </c>
      <c r="P92" s="119">
        <v>124</v>
      </c>
    </row>
    <row r="93" spans="1:16" x14ac:dyDescent="0.3">
      <c r="A93" s="106" t="s">
        <v>209</v>
      </c>
      <c r="B93" s="117">
        <v>13</v>
      </c>
      <c r="C93" s="117">
        <v>0</v>
      </c>
      <c r="D93" s="117">
        <v>0</v>
      </c>
      <c r="E93" s="117">
        <v>7</v>
      </c>
      <c r="F93" s="117">
        <v>8</v>
      </c>
      <c r="G93" s="117">
        <v>0</v>
      </c>
      <c r="H93" s="117">
        <v>15</v>
      </c>
      <c r="I93" s="117">
        <v>13</v>
      </c>
      <c r="J93" s="117">
        <v>0</v>
      </c>
      <c r="K93" s="117">
        <v>1</v>
      </c>
      <c r="L93" s="117">
        <v>6</v>
      </c>
      <c r="M93" s="117">
        <v>0</v>
      </c>
      <c r="N93" s="117">
        <v>10</v>
      </c>
      <c r="O93" s="117">
        <v>23</v>
      </c>
      <c r="P93" s="119">
        <v>96</v>
      </c>
    </row>
    <row r="94" spans="1:16" x14ac:dyDescent="0.3">
      <c r="A94" s="106" t="s">
        <v>211</v>
      </c>
      <c r="B94" s="117">
        <v>0</v>
      </c>
      <c r="C94" s="117">
        <v>73</v>
      </c>
      <c r="D94" s="117">
        <v>0</v>
      </c>
      <c r="E94" s="117">
        <v>0</v>
      </c>
      <c r="F94" s="117">
        <v>0</v>
      </c>
      <c r="G94" s="117">
        <v>0</v>
      </c>
      <c r="H94" s="117">
        <v>0</v>
      </c>
      <c r="I94" s="117">
        <v>0</v>
      </c>
      <c r="J94" s="117">
        <v>0</v>
      </c>
      <c r="K94" s="117">
        <v>0</v>
      </c>
      <c r="L94" s="117">
        <v>0</v>
      </c>
      <c r="M94" s="117">
        <v>0</v>
      </c>
      <c r="N94" s="117">
        <v>0</v>
      </c>
      <c r="O94" s="117">
        <v>0</v>
      </c>
      <c r="P94" s="119">
        <v>73</v>
      </c>
    </row>
    <row r="95" spans="1:16" x14ac:dyDescent="0.3">
      <c r="A95" s="106" t="s">
        <v>212</v>
      </c>
      <c r="B95" s="117">
        <v>0</v>
      </c>
      <c r="C95" s="117">
        <v>0</v>
      </c>
      <c r="D95" s="117">
        <v>0</v>
      </c>
      <c r="E95" s="117">
        <v>0</v>
      </c>
      <c r="F95" s="117">
        <v>0</v>
      </c>
      <c r="G95" s="117">
        <v>0</v>
      </c>
      <c r="H95" s="117">
        <v>20</v>
      </c>
      <c r="I95" s="117">
        <v>0</v>
      </c>
      <c r="J95" s="117">
        <v>0</v>
      </c>
      <c r="K95" s="117">
        <v>0</v>
      </c>
      <c r="L95" s="117">
        <v>0</v>
      </c>
      <c r="M95" s="117">
        <v>0</v>
      </c>
      <c r="N95" s="117">
        <v>0</v>
      </c>
      <c r="O95" s="117">
        <v>41</v>
      </c>
      <c r="P95" s="119">
        <v>61</v>
      </c>
    </row>
    <row r="96" spans="1:16" s="39" customFormat="1" ht="14.25" customHeight="1" x14ac:dyDescent="0.3">
      <c r="A96" s="106" t="s">
        <v>213</v>
      </c>
      <c r="B96" s="117">
        <v>0</v>
      </c>
      <c r="C96" s="117">
        <v>0</v>
      </c>
      <c r="D96" s="117">
        <v>0</v>
      </c>
      <c r="E96" s="117">
        <v>0</v>
      </c>
      <c r="F96" s="117">
        <v>0</v>
      </c>
      <c r="G96" s="117">
        <v>0</v>
      </c>
      <c r="H96" s="117">
        <v>15</v>
      </c>
      <c r="I96" s="117">
        <v>7</v>
      </c>
      <c r="J96" s="117">
        <v>0</v>
      </c>
      <c r="K96" s="117">
        <v>0</v>
      </c>
      <c r="L96" s="117">
        <v>18</v>
      </c>
      <c r="M96" s="117">
        <v>0</v>
      </c>
      <c r="N96" s="117">
        <v>0</v>
      </c>
      <c r="O96" s="117">
        <v>21</v>
      </c>
      <c r="P96" s="119">
        <v>61</v>
      </c>
    </row>
    <row r="97" spans="1:16" s="39" customFormat="1" x14ac:dyDescent="0.3">
      <c r="A97" s="106" t="s">
        <v>210</v>
      </c>
      <c r="B97" s="117">
        <v>0</v>
      </c>
      <c r="C97" s="117">
        <v>34</v>
      </c>
      <c r="D97" s="117">
        <v>0</v>
      </c>
      <c r="E97" s="117">
        <v>16</v>
      </c>
      <c r="F97" s="117">
        <v>0</v>
      </c>
      <c r="G97" s="117">
        <v>0</v>
      </c>
      <c r="H97" s="117">
        <v>0</v>
      </c>
      <c r="I97" s="117">
        <v>0</v>
      </c>
      <c r="J97" s="117">
        <v>0</v>
      </c>
      <c r="K97" s="117">
        <v>0</v>
      </c>
      <c r="L97" s="117">
        <v>0</v>
      </c>
      <c r="M97" s="117">
        <v>0</v>
      </c>
      <c r="N97" s="117">
        <v>0</v>
      </c>
      <c r="O97" s="117">
        <v>0</v>
      </c>
      <c r="P97" s="119">
        <v>50</v>
      </c>
    </row>
    <row r="98" spans="1:16" s="39" customFormat="1" x14ac:dyDescent="0.3">
      <c r="A98" s="106" t="s">
        <v>204</v>
      </c>
      <c r="B98" s="117">
        <v>0</v>
      </c>
      <c r="C98" s="117">
        <v>0</v>
      </c>
      <c r="D98" s="117">
        <v>0</v>
      </c>
      <c r="E98" s="117">
        <v>0</v>
      </c>
      <c r="F98" s="117">
        <v>0</v>
      </c>
      <c r="G98" s="117">
        <v>0</v>
      </c>
      <c r="H98" s="117">
        <v>0</v>
      </c>
      <c r="I98" s="117">
        <v>28</v>
      </c>
      <c r="J98" s="117">
        <v>0</v>
      </c>
      <c r="K98" s="117">
        <v>0</v>
      </c>
      <c r="L98" s="117">
        <v>0</v>
      </c>
      <c r="M98" s="117">
        <v>0</v>
      </c>
      <c r="N98" s="117">
        <v>0</v>
      </c>
      <c r="O98" s="117">
        <v>0</v>
      </c>
      <c r="P98" s="119">
        <v>28</v>
      </c>
    </row>
    <row r="99" spans="1:16" x14ac:dyDescent="0.3">
      <c r="A99" s="113" t="s">
        <v>215</v>
      </c>
      <c r="B99" s="120">
        <v>524</v>
      </c>
      <c r="C99" s="120">
        <v>52</v>
      </c>
      <c r="D99" s="120">
        <v>84</v>
      </c>
      <c r="E99" s="120">
        <v>96</v>
      </c>
      <c r="F99" s="120">
        <v>264</v>
      </c>
      <c r="G99" s="120">
        <v>68</v>
      </c>
      <c r="H99" s="120">
        <v>479</v>
      </c>
      <c r="I99" s="120">
        <v>339</v>
      </c>
      <c r="J99" s="120">
        <v>95</v>
      </c>
      <c r="K99" s="120">
        <v>144</v>
      </c>
      <c r="L99" s="120">
        <v>177</v>
      </c>
      <c r="M99" s="120">
        <v>762</v>
      </c>
      <c r="N99" s="120">
        <v>277</v>
      </c>
      <c r="O99" s="120">
        <v>968</v>
      </c>
      <c r="P99" s="119">
        <v>4329</v>
      </c>
    </row>
    <row r="100" spans="1:16" x14ac:dyDescent="0.3">
      <c r="A100" s="129" t="s">
        <v>216</v>
      </c>
      <c r="B100" s="134">
        <v>344</v>
      </c>
      <c r="C100" s="134">
        <v>149</v>
      </c>
      <c r="D100" s="134">
        <v>13</v>
      </c>
      <c r="E100" s="134">
        <v>85</v>
      </c>
      <c r="F100" s="134">
        <v>45</v>
      </c>
      <c r="G100" s="134">
        <v>160</v>
      </c>
      <c r="H100" s="134">
        <v>165</v>
      </c>
      <c r="I100" s="134">
        <v>206</v>
      </c>
      <c r="J100" s="134">
        <v>105</v>
      </c>
      <c r="K100" s="134">
        <v>299</v>
      </c>
      <c r="L100" s="134">
        <v>147</v>
      </c>
      <c r="M100" s="134">
        <v>224</v>
      </c>
      <c r="N100" s="134">
        <v>78</v>
      </c>
      <c r="O100" s="134">
        <v>313</v>
      </c>
      <c r="P100" s="135">
        <v>2333</v>
      </c>
    </row>
    <row r="101" spans="1:16" x14ac:dyDescent="0.3">
      <c r="A101" s="158" t="s">
        <v>23</v>
      </c>
      <c r="B101" s="158">
        <f>SUBTOTAL(109,'Table 9 additional'!$B$73:$B$100)</f>
        <v>7069</v>
      </c>
      <c r="C101" s="158">
        <f>SUBTOTAL(109,'Table 9 additional'!$C$73:$C$100)</f>
        <v>4466</v>
      </c>
      <c r="D101" s="158">
        <f>SUBTOTAL(109,'Table 9 additional'!$D$73:$D$100)</f>
        <v>642</v>
      </c>
      <c r="E101" s="158">
        <f>SUBTOTAL(109,'Table 9 additional'!$E$73:$E$100)</f>
        <v>3156</v>
      </c>
      <c r="F101" s="158">
        <f>SUBTOTAL(109,'Table 9 additional'!$F$73:$F$100)</f>
        <v>4327</v>
      </c>
      <c r="G101" s="158">
        <f>SUBTOTAL(109,'Table 9 additional'!$G$73:$G$100)</f>
        <v>2939</v>
      </c>
      <c r="H101" s="158">
        <f>SUBTOTAL(109,'Table 9 additional'!$H$73:$H$100)</f>
        <v>7343</v>
      </c>
      <c r="I101" s="158">
        <f>SUBTOTAL(109,'Table 9 additional'!$I$73:$I$100)</f>
        <v>6697</v>
      </c>
      <c r="J101" s="158">
        <f>SUBTOTAL(109,'Table 9 additional'!$J$73:$J$100)</f>
        <v>2466</v>
      </c>
      <c r="K101" s="158">
        <f>SUBTOTAL(109,'Table 9 additional'!$K$73:$K$100)</f>
        <v>1790</v>
      </c>
      <c r="L101" s="158">
        <f>SUBTOTAL(109,'Table 9 additional'!$L$73:$L$100)</f>
        <v>6257</v>
      </c>
      <c r="M101" s="158">
        <f>SUBTOTAL(109,'Table 9 additional'!$M$73:$M$100)</f>
        <v>4901</v>
      </c>
      <c r="N101" s="158">
        <f>SUBTOTAL(109,'Table 9 additional'!$N$73:$N$100)</f>
        <v>6920</v>
      </c>
      <c r="O101" s="163">
        <f>SUBTOTAL(109,'Table 9 additional'!$O$73:$O$100)</f>
        <v>14475</v>
      </c>
      <c r="P101" s="158">
        <f>SUBTOTAL(109,'Table 9 additional'!$P$73:$P$100)</f>
        <v>73448</v>
      </c>
    </row>
    <row r="103" spans="1:16" x14ac:dyDescent="0.3">
      <c r="A103" s="212" t="s">
        <v>110</v>
      </c>
      <c r="B103" s="212"/>
      <c r="C103" s="212"/>
      <c r="D103" s="212"/>
      <c r="E103" s="212"/>
      <c r="F103" s="212"/>
      <c r="G103" s="212"/>
      <c r="H103" s="212"/>
      <c r="I103" s="212"/>
      <c r="J103" s="212"/>
      <c r="K103" s="212"/>
      <c r="L103" s="212"/>
      <c r="M103" s="212"/>
      <c r="N103" s="212"/>
      <c r="O103" s="212"/>
      <c r="P103" s="212"/>
    </row>
    <row r="104" spans="1:16" x14ac:dyDescent="0.3">
      <c r="A104" s="26" t="s">
        <v>6</v>
      </c>
      <c r="B104" s="89"/>
      <c r="C104" s="89"/>
      <c r="D104" s="89"/>
      <c r="E104" s="89"/>
      <c r="F104" s="89"/>
      <c r="G104" s="89"/>
      <c r="H104" s="89"/>
      <c r="I104" s="89"/>
      <c r="J104" s="89"/>
      <c r="K104" s="89"/>
      <c r="L104" s="89"/>
      <c r="M104" s="89"/>
      <c r="N104" s="89"/>
      <c r="O104" s="89"/>
      <c r="P104" s="90"/>
    </row>
    <row r="105" spans="1:16" x14ac:dyDescent="0.3">
      <c r="A105" s="26" t="s">
        <v>7</v>
      </c>
      <c r="B105" s="89"/>
      <c r="C105" s="89"/>
      <c r="D105" s="89"/>
      <c r="E105" s="89"/>
      <c r="F105" s="89"/>
      <c r="G105" s="89"/>
      <c r="H105" s="89"/>
      <c r="I105" s="89"/>
      <c r="J105" s="89"/>
      <c r="K105" s="89"/>
      <c r="L105" s="89"/>
      <c r="M105" s="89"/>
      <c r="N105" s="89"/>
      <c r="O105" s="89"/>
      <c r="P105" s="89"/>
    </row>
    <row r="106" spans="1:16" x14ac:dyDescent="0.3">
      <c r="A106" s="5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</row>
    <row r="107" spans="1:16" ht="14.25" customHeight="1" x14ac:dyDescent="0.35">
      <c r="A107" s="199" t="str">
        <f>CONCATENATE("Total Number of Bachelor Degree-Seeking Majors* by Field and University with STEM Majors Disaggregated, ", IF(RIGHT(Parameters!B1,1)="1","Fall ","Spring "), IF(RIGHT(Parameters!B1,1)="1",LEFT(Parameters!B1,4),LEFT(Parameters!B1,4) + 1 ),", Ranked in Descending Order")</f>
        <v>Total Number of Bachelor Degree-Seeking Majors* by Field and University with STEM Majors Disaggregated, Fall 2021, Ranked in Descending Order</v>
      </c>
      <c r="B107" s="199"/>
      <c r="C107" s="199"/>
      <c r="D107" s="199"/>
      <c r="E107" s="199"/>
      <c r="F107" s="199"/>
      <c r="G107" s="199"/>
      <c r="H107" s="199"/>
      <c r="I107" s="199"/>
      <c r="J107" s="199"/>
      <c r="K107" s="199"/>
      <c r="L107" s="199"/>
      <c r="M107" s="199"/>
      <c r="N107" s="199"/>
      <c r="O107" s="199"/>
      <c r="P107" s="199"/>
    </row>
    <row r="108" spans="1:16" x14ac:dyDescent="0.3">
      <c r="A108" s="195" t="s">
        <v>167</v>
      </c>
      <c r="B108" s="41" t="s">
        <v>168</v>
      </c>
      <c r="C108" s="41" t="s">
        <v>169</v>
      </c>
      <c r="D108" s="41" t="s">
        <v>170</v>
      </c>
      <c r="E108" s="41" t="s">
        <v>171</v>
      </c>
      <c r="F108" s="41" t="s">
        <v>172</v>
      </c>
      <c r="G108" s="41" t="s">
        <v>173</v>
      </c>
      <c r="H108" s="41" t="s">
        <v>174</v>
      </c>
      <c r="I108" s="41" t="s">
        <v>175</v>
      </c>
      <c r="J108" s="41" t="s">
        <v>176</v>
      </c>
      <c r="K108" s="41" t="s">
        <v>177</v>
      </c>
      <c r="L108" s="41" t="s">
        <v>178</v>
      </c>
      <c r="M108" s="41" t="s">
        <v>179</v>
      </c>
      <c r="N108" s="41" t="s">
        <v>180</v>
      </c>
      <c r="O108" s="41" t="s">
        <v>181</v>
      </c>
      <c r="P108" s="92" t="s">
        <v>23</v>
      </c>
    </row>
    <row r="109" spans="1:16" x14ac:dyDescent="0.3">
      <c r="A109" s="96" t="s">
        <v>182</v>
      </c>
      <c r="B109" s="98">
        <v>1352</v>
      </c>
      <c r="C109" s="98">
        <v>490</v>
      </c>
      <c r="D109" s="98">
        <v>133</v>
      </c>
      <c r="E109" s="98">
        <v>375</v>
      </c>
      <c r="F109" s="98">
        <v>618</v>
      </c>
      <c r="G109" s="98">
        <v>270</v>
      </c>
      <c r="H109" s="98">
        <v>1134</v>
      </c>
      <c r="I109" s="98">
        <v>1056</v>
      </c>
      <c r="J109" s="98">
        <v>228</v>
      </c>
      <c r="K109" s="98">
        <v>105</v>
      </c>
      <c r="L109" s="98">
        <v>709</v>
      </c>
      <c r="M109" s="98">
        <v>923</v>
      </c>
      <c r="N109" s="98">
        <v>707</v>
      </c>
      <c r="O109" s="98">
        <v>3171</v>
      </c>
      <c r="P109" s="99">
        <v>11271</v>
      </c>
    </row>
    <row r="110" spans="1:16" x14ac:dyDescent="0.3">
      <c r="A110" s="106" t="s">
        <v>184</v>
      </c>
      <c r="B110" s="117">
        <v>1228</v>
      </c>
      <c r="C110" s="117">
        <v>303</v>
      </c>
      <c r="D110" s="117">
        <v>0</v>
      </c>
      <c r="E110" s="117">
        <v>760</v>
      </c>
      <c r="F110" s="117">
        <v>505</v>
      </c>
      <c r="G110" s="117">
        <v>440</v>
      </c>
      <c r="H110" s="117">
        <v>1032</v>
      </c>
      <c r="I110" s="117">
        <v>0</v>
      </c>
      <c r="J110" s="117">
        <v>486</v>
      </c>
      <c r="K110" s="117">
        <v>208</v>
      </c>
      <c r="L110" s="117">
        <v>492</v>
      </c>
      <c r="M110" s="117">
        <v>0</v>
      </c>
      <c r="N110" s="117">
        <v>1266</v>
      </c>
      <c r="O110" s="117">
        <v>1786</v>
      </c>
      <c r="P110" s="119">
        <v>8506</v>
      </c>
    </row>
    <row r="111" spans="1:16" x14ac:dyDescent="0.3">
      <c r="A111" s="106" t="s">
        <v>183</v>
      </c>
      <c r="B111" s="117">
        <v>722</v>
      </c>
      <c r="C111" s="117">
        <v>326</v>
      </c>
      <c r="D111" s="117">
        <v>24</v>
      </c>
      <c r="E111" s="117">
        <v>242</v>
      </c>
      <c r="F111" s="117">
        <v>500</v>
      </c>
      <c r="G111" s="117">
        <v>326</v>
      </c>
      <c r="H111" s="117">
        <v>312</v>
      </c>
      <c r="I111" s="117">
        <v>1191</v>
      </c>
      <c r="J111" s="117">
        <v>211</v>
      </c>
      <c r="K111" s="117">
        <v>131</v>
      </c>
      <c r="L111" s="117">
        <v>756</v>
      </c>
      <c r="M111" s="117">
        <v>485</v>
      </c>
      <c r="N111" s="117">
        <v>682</v>
      </c>
      <c r="O111" s="117">
        <v>1210</v>
      </c>
      <c r="P111" s="119">
        <v>7118</v>
      </c>
    </row>
    <row r="112" spans="1:16" x14ac:dyDescent="0.3">
      <c r="A112" s="106" t="s">
        <v>185</v>
      </c>
      <c r="B112" s="117">
        <v>332</v>
      </c>
      <c r="C112" s="117">
        <v>230</v>
      </c>
      <c r="D112" s="117">
        <v>78</v>
      </c>
      <c r="E112" s="117">
        <v>161</v>
      </c>
      <c r="F112" s="117">
        <v>286</v>
      </c>
      <c r="G112" s="117">
        <v>170</v>
      </c>
      <c r="H112" s="117">
        <v>360</v>
      </c>
      <c r="I112" s="117">
        <v>446</v>
      </c>
      <c r="J112" s="117">
        <v>131</v>
      </c>
      <c r="K112" s="117">
        <v>133</v>
      </c>
      <c r="L112" s="117">
        <v>381</v>
      </c>
      <c r="M112" s="117">
        <v>312</v>
      </c>
      <c r="N112" s="117">
        <v>380</v>
      </c>
      <c r="O112" s="117">
        <v>1059</v>
      </c>
      <c r="P112" s="119">
        <v>4459</v>
      </c>
    </row>
    <row r="113" spans="1:16" x14ac:dyDescent="0.3">
      <c r="A113" s="106" t="s">
        <v>187</v>
      </c>
      <c r="B113" s="117">
        <v>196</v>
      </c>
      <c r="C113" s="117">
        <v>204</v>
      </c>
      <c r="D113" s="117">
        <v>149</v>
      </c>
      <c r="E113" s="117">
        <v>157</v>
      </c>
      <c r="F113" s="117">
        <v>462</v>
      </c>
      <c r="G113" s="117">
        <v>96</v>
      </c>
      <c r="H113" s="117">
        <v>345</v>
      </c>
      <c r="I113" s="117">
        <v>365</v>
      </c>
      <c r="J113" s="117">
        <v>116</v>
      </c>
      <c r="K113" s="117">
        <v>105</v>
      </c>
      <c r="L113" s="117">
        <v>512</v>
      </c>
      <c r="M113" s="117">
        <v>297</v>
      </c>
      <c r="N113" s="117">
        <v>352</v>
      </c>
      <c r="O113" s="117">
        <v>743</v>
      </c>
      <c r="P113" s="119">
        <v>4099</v>
      </c>
    </row>
    <row r="114" spans="1:16" x14ac:dyDescent="0.3">
      <c r="A114" s="106" t="s">
        <v>188</v>
      </c>
      <c r="B114" s="117">
        <v>140</v>
      </c>
      <c r="C114" s="117">
        <v>210</v>
      </c>
      <c r="D114" s="117">
        <v>18</v>
      </c>
      <c r="E114" s="117">
        <v>24</v>
      </c>
      <c r="F114" s="117">
        <v>113</v>
      </c>
      <c r="G114" s="117">
        <v>487</v>
      </c>
      <c r="H114" s="117">
        <v>505</v>
      </c>
      <c r="I114" s="117">
        <v>617</v>
      </c>
      <c r="J114" s="117">
        <v>13</v>
      </c>
      <c r="K114" s="117">
        <v>153</v>
      </c>
      <c r="L114" s="117">
        <v>495</v>
      </c>
      <c r="M114" s="117">
        <v>60</v>
      </c>
      <c r="N114" s="117">
        <v>322</v>
      </c>
      <c r="O114" s="117">
        <v>551</v>
      </c>
      <c r="P114" s="119">
        <v>3708</v>
      </c>
    </row>
    <row r="115" spans="1:16" ht="18" customHeight="1" x14ac:dyDescent="0.3">
      <c r="A115" s="106" t="s">
        <v>186</v>
      </c>
      <c r="B115" s="117">
        <v>156</v>
      </c>
      <c r="C115" s="117">
        <v>397</v>
      </c>
      <c r="D115" s="117">
        <v>9</v>
      </c>
      <c r="E115" s="117">
        <v>137</v>
      </c>
      <c r="F115" s="117">
        <v>416</v>
      </c>
      <c r="G115" s="117">
        <v>143</v>
      </c>
      <c r="H115" s="117">
        <v>277</v>
      </c>
      <c r="I115" s="117">
        <v>303</v>
      </c>
      <c r="J115" s="117">
        <v>255</v>
      </c>
      <c r="K115" s="117">
        <v>0</v>
      </c>
      <c r="L115" s="117">
        <v>83</v>
      </c>
      <c r="M115" s="117">
        <v>173</v>
      </c>
      <c r="N115" s="117">
        <v>368</v>
      </c>
      <c r="O115" s="117">
        <v>831</v>
      </c>
      <c r="P115" s="119">
        <v>3548</v>
      </c>
    </row>
    <row r="116" spans="1:16" ht="14.25" customHeight="1" x14ac:dyDescent="0.3">
      <c r="A116" s="106" t="s">
        <v>189</v>
      </c>
      <c r="B116" s="117">
        <v>221</v>
      </c>
      <c r="C116" s="117">
        <v>315</v>
      </c>
      <c r="D116" s="117">
        <v>75</v>
      </c>
      <c r="E116" s="117">
        <v>96</v>
      </c>
      <c r="F116" s="117">
        <v>82</v>
      </c>
      <c r="G116" s="117">
        <v>82</v>
      </c>
      <c r="H116" s="117">
        <v>839</v>
      </c>
      <c r="I116" s="117">
        <v>184</v>
      </c>
      <c r="J116" s="117">
        <v>63</v>
      </c>
      <c r="K116" s="117">
        <v>32</v>
      </c>
      <c r="L116" s="117">
        <v>475</v>
      </c>
      <c r="M116" s="117">
        <v>185</v>
      </c>
      <c r="N116" s="117">
        <v>288</v>
      </c>
      <c r="O116" s="117">
        <v>383</v>
      </c>
      <c r="P116" s="119">
        <v>3320</v>
      </c>
    </row>
    <row r="117" spans="1:16" x14ac:dyDescent="0.3">
      <c r="A117" s="106" t="s">
        <v>190</v>
      </c>
      <c r="B117" s="117">
        <v>584</v>
      </c>
      <c r="C117" s="117">
        <v>357</v>
      </c>
      <c r="D117" s="117">
        <v>0</v>
      </c>
      <c r="E117" s="117">
        <v>103</v>
      </c>
      <c r="F117" s="117">
        <v>265</v>
      </c>
      <c r="G117" s="117">
        <v>89</v>
      </c>
      <c r="H117" s="117">
        <v>0</v>
      </c>
      <c r="I117" s="117">
        <v>342</v>
      </c>
      <c r="J117" s="117">
        <v>171</v>
      </c>
      <c r="K117" s="117">
        <v>94</v>
      </c>
      <c r="L117" s="117">
        <v>25</v>
      </c>
      <c r="M117" s="117">
        <v>259</v>
      </c>
      <c r="N117" s="117">
        <v>129</v>
      </c>
      <c r="O117" s="117">
        <v>614</v>
      </c>
      <c r="P117" s="119">
        <v>3032</v>
      </c>
    </row>
    <row r="118" spans="1:16" x14ac:dyDescent="0.3">
      <c r="A118" s="106" t="s">
        <v>192</v>
      </c>
      <c r="B118" s="117">
        <v>205</v>
      </c>
      <c r="C118" s="117">
        <v>211</v>
      </c>
      <c r="D118" s="117">
        <v>9</v>
      </c>
      <c r="E118" s="117">
        <v>70</v>
      </c>
      <c r="F118" s="117">
        <v>139</v>
      </c>
      <c r="G118" s="117">
        <v>129</v>
      </c>
      <c r="H118" s="117">
        <v>210</v>
      </c>
      <c r="I118" s="117">
        <v>298</v>
      </c>
      <c r="J118" s="117">
        <v>73</v>
      </c>
      <c r="K118" s="117">
        <v>31</v>
      </c>
      <c r="L118" s="117">
        <v>251</v>
      </c>
      <c r="M118" s="117">
        <v>103</v>
      </c>
      <c r="N118" s="117">
        <v>414</v>
      </c>
      <c r="O118" s="117">
        <v>445</v>
      </c>
      <c r="P118" s="119">
        <v>2588</v>
      </c>
    </row>
    <row r="119" spans="1:16" x14ac:dyDescent="0.3">
      <c r="A119" s="106" t="s">
        <v>193</v>
      </c>
      <c r="B119" s="117">
        <v>314</v>
      </c>
      <c r="C119" s="117">
        <v>50</v>
      </c>
      <c r="D119" s="117">
        <v>19</v>
      </c>
      <c r="E119" s="117">
        <v>76</v>
      </c>
      <c r="F119" s="117">
        <v>99</v>
      </c>
      <c r="G119" s="117">
        <v>83</v>
      </c>
      <c r="H119" s="117">
        <v>247</v>
      </c>
      <c r="I119" s="117">
        <v>560</v>
      </c>
      <c r="J119" s="117">
        <v>46</v>
      </c>
      <c r="K119" s="117">
        <v>48</v>
      </c>
      <c r="L119" s="117">
        <v>240</v>
      </c>
      <c r="M119" s="117">
        <v>165</v>
      </c>
      <c r="N119" s="117">
        <v>275</v>
      </c>
      <c r="O119" s="117">
        <v>315</v>
      </c>
      <c r="P119" s="119">
        <v>2537</v>
      </c>
    </row>
    <row r="120" spans="1:16" x14ac:dyDescent="0.3">
      <c r="A120" s="106" t="s">
        <v>194</v>
      </c>
      <c r="B120" s="117">
        <v>120</v>
      </c>
      <c r="C120" s="117">
        <v>57</v>
      </c>
      <c r="D120" s="117">
        <v>4</v>
      </c>
      <c r="E120" s="117">
        <v>66</v>
      </c>
      <c r="F120" s="117">
        <v>64</v>
      </c>
      <c r="G120" s="117">
        <v>40</v>
      </c>
      <c r="H120" s="117">
        <v>137</v>
      </c>
      <c r="I120" s="117">
        <v>133</v>
      </c>
      <c r="J120" s="117">
        <v>35</v>
      </c>
      <c r="K120" s="117">
        <v>18</v>
      </c>
      <c r="L120" s="117">
        <v>182</v>
      </c>
      <c r="M120" s="117">
        <v>111</v>
      </c>
      <c r="N120" s="117">
        <v>116</v>
      </c>
      <c r="O120" s="117">
        <v>649</v>
      </c>
      <c r="P120" s="119">
        <v>1732</v>
      </c>
    </row>
    <row r="121" spans="1:16" x14ac:dyDescent="0.3">
      <c r="A121" s="106" t="s">
        <v>195</v>
      </c>
      <c r="B121" s="117">
        <v>167</v>
      </c>
      <c r="C121" s="117">
        <v>63</v>
      </c>
      <c r="D121" s="117">
        <v>0</v>
      </c>
      <c r="E121" s="117">
        <v>54</v>
      </c>
      <c r="F121" s="117">
        <v>67</v>
      </c>
      <c r="G121" s="117">
        <v>60</v>
      </c>
      <c r="H121" s="117">
        <v>109</v>
      </c>
      <c r="I121" s="117">
        <v>177</v>
      </c>
      <c r="J121" s="117">
        <v>82</v>
      </c>
      <c r="K121" s="117">
        <v>15</v>
      </c>
      <c r="L121" s="117">
        <v>261</v>
      </c>
      <c r="M121" s="117">
        <v>86</v>
      </c>
      <c r="N121" s="117">
        <v>176</v>
      </c>
      <c r="O121" s="117">
        <v>288</v>
      </c>
      <c r="P121" s="119">
        <v>1605</v>
      </c>
    </row>
    <row r="122" spans="1:16" x14ac:dyDescent="0.3">
      <c r="A122" s="106" t="s">
        <v>191</v>
      </c>
      <c r="B122" s="117">
        <v>169</v>
      </c>
      <c r="C122" s="117">
        <v>80</v>
      </c>
      <c r="D122" s="117">
        <v>0</v>
      </c>
      <c r="E122" s="117">
        <v>0</v>
      </c>
      <c r="F122" s="117">
        <v>131</v>
      </c>
      <c r="G122" s="117">
        <v>95</v>
      </c>
      <c r="H122" s="117">
        <v>0</v>
      </c>
      <c r="I122" s="117">
        <v>194</v>
      </c>
      <c r="J122" s="117">
        <v>79</v>
      </c>
      <c r="K122" s="117">
        <v>46</v>
      </c>
      <c r="L122" s="117">
        <v>280</v>
      </c>
      <c r="M122" s="117">
        <v>167</v>
      </c>
      <c r="N122" s="117">
        <v>95</v>
      </c>
      <c r="O122" s="117">
        <v>211</v>
      </c>
      <c r="P122" s="119">
        <v>1547</v>
      </c>
    </row>
    <row r="123" spans="1:16" x14ac:dyDescent="0.3">
      <c r="A123" s="106" t="s">
        <v>196</v>
      </c>
      <c r="B123" s="117">
        <v>0</v>
      </c>
      <c r="C123" s="117">
        <v>88</v>
      </c>
      <c r="D123" s="117">
        <v>0</v>
      </c>
      <c r="E123" s="117">
        <v>14</v>
      </c>
      <c r="F123" s="117">
        <v>0</v>
      </c>
      <c r="G123" s="117">
        <v>0</v>
      </c>
      <c r="H123" s="117">
        <v>219</v>
      </c>
      <c r="I123" s="117">
        <v>0</v>
      </c>
      <c r="J123" s="117">
        <v>0</v>
      </c>
      <c r="K123" s="117">
        <v>13</v>
      </c>
      <c r="L123" s="117">
        <v>199</v>
      </c>
      <c r="M123" s="117">
        <v>0</v>
      </c>
      <c r="N123" s="117">
        <v>425</v>
      </c>
      <c r="O123" s="117">
        <v>0</v>
      </c>
      <c r="P123" s="119">
        <v>958</v>
      </c>
    </row>
    <row r="124" spans="1:16" x14ac:dyDescent="0.3">
      <c r="A124" s="106" t="s">
        <v>197</v>
      </c>
      <c r="B124" s="117">
        <v>31</v>
      </c>
      <c r="C124" s="117">
        <v>35</v>
      </c>
      <c r="D124" s="117">
        <v>0</v>
      </c>
      <c r="E124" s="117">
        <v>16</v>
      </c>
      <c r="F124" s="117">
        <v>61</v>
      </c>
      <c r="G124" s="117">
        <v>5</v>
      </c>
      <c r="H124" s="117">
        <v>46</v>
      </c>
      <c r="I124" s="117">
        <v>87</v>
      </c>
      <c r="J124" s="117">
        <v>14</v>
      </c>
      <c r="K124" s="117">
        <v>21</v>
      </c>
      <c r="L124" s="117">
        <v>73</v>
      </c>
      <c r="M124" s="117">
        <v>126</v>
      </c>
      <c r="N124" s="117">
        <v>176</v>
      </c>
      <c r="O124" s="117">
        <v>244</v>
      </c>
      <c r="P124" s="119">
        <v>935</v>
      </c>
    </row>
    <row r="125" spans="1:16" x14ac:dyDescent="0.3">
      <c r="A125" s="106" t="s">
        <v>198</v>
      </c>
      <c r="B125" s="117">
        <v>55</v>
      </c>
      <c r="C125" s="117">
        <v>49</v>
      </c>
      <c r="D125" s="117">
        <v>3</v>
      </c>
      <c r="E125" s="117">
        <v>44</v>
      </c>
      <c r="F125" s="117">
        <v>41</v>
      </c>
      <c r="G125" s="117">
        <v>28</v>
      </c>
      <c r="H125" s="117">
        <v>84</v>
      </c>
      <c r="I125" s="117">
        <v>32</v>
      </c>
      <c r="J125" s="117">
        <v>21</v>
      </c>
      <c r="K125" s="117">
        <v>9</v>
      </c>
      <c r="L125" s="117">
        <v>121</v>
      </c>
      <c r="M125" s="117">
        <v>78</v>
      </c>
      <c r="N125" s="117">
        <v>102</v>
      </c>
      <c r="O125" s="117">
        <v>201</v>
      </c>
      <c r="P125" s="119">
        <v>868</v>
      </c>
    </row>
    <row r="126" spans="1:16" x14ac:dyDescent="0.3">
      <c r="A126" s="106" t="s">
        <v>199</v>
      </c>
      <c r="B126" s="117">
        <v>42</v>
      </c>
      <c r="C126" s="117">
        <v>108</v>
      </c>
      <c r="D126" s="117">
        <v>0</v>
      </c>
      <c r="E126" s="117">
        <v>0</v>
      </c>
      <c r="F126" s="117">
        <v>0</v>
      </c>
      <c r="G126" s="117">
        <v>0</v>
      </c>
      <c r="H126" s="117">
        <v>34</v>
      </c>
      <c r="I126" s="117">
        <v>0</v>
      </c>
      <c r="J126" s="117">
        <v>0</v>
      </c>
      <c r="K126" s="117">
        <v>0</v>
      </c>
      <c r="L126" s="117">
        <v>189</v>
      </c>
      <c r="M126" s="117">
        <v>213</v>
      </c>
      <c r="N126" s="117">
        <v>179</v>
      </c>
      <c r="O126" s="117">
        <v>59</v>
      </c>
      <c r="P126" s="119">
        <v>824</v>
      </c>
    </row>
    <row r="127" spans="1:16" x14ac:dyDescent="0.3">
      <c r="A127" s="106" t="s">
        <v>200</v>
      </c>
      <c r="B127" s="117">
        <v>0</v>
      </c>
      <c r="C127" s="117">
        <v>76</v>
      </c>
      <c r="D127" s="117">
        <v>24</v>
      </c>
      <c r="E127" s="117">
        <v>177</v>
      </c>
      <c r="F127" s="117">
        <v>0</v>
      </c>
      <c r="G127" s="117">
        <v>27</v>
      </c>
      <c r="H127" s="117">
        <v>34</v>
      </c>
      <c r="I127" s="117">
        <v>5</v>
      </c>
      <c r="J127" s="117">
        <v>16</v>
      </c>
      <c r="K127" s="117">
        <v>26</v>
      </c>
      <c r="L127" s="117">
        <v>0</v>
      </c>
      <c r="M127" s="117">
        <v>17</v>
      </c>
      <c r="N127" s="117">
        <v>0</v>
      </c>
      <c r="O127" s="117">
        <v>262</v>
      </c>
      <c r="P127" s="119">
        <v>664</v>
      </c>
    </row>
    <row r="128" spans="1:16" x14ac:dyDescent="0.3">
      <c r="A128" s="106" t="s">
        <v>202</v>
      </c>
      <c r="B128" s="117">
        <v>26</v>
      </c>
      <c r="C128" s="117">
        <v>28</v>
      </c>
      <c r="D128" s="117">
        <v>0</v>
      </c>
      <c r="E128" s="117">
        <v>41</v>
      </c>
      <c r="F128" s="117">
        <v>11</v>
      </c>
      <c r="G128" s="117">
        <v>0</v>
      </c>
      <c r="H128" s="117">
        <v>142</v>
      </c>
      <c r="I128" s="117">
        <v>0</v>
      </c>
      <c r="J128" s="117">
        <v>0</v>
      </c>
      <c r="K128" s="117">
        <v>0</v>
      </c>
      <c r="L128" s="117">
        <v>118</v>
      </c>
      <c r="M128" s="117">
        <v>82</v>
      </c>
      <c r="N128" s="117">
        <v>80</v>
      </c>
      <c r="O128" s="117">
        <v>0</v>
      </c>
      <c r="P128" s="119">
        <v>528</v>
      </c>
    </row>
    <row r="129" spans="1:16" x14ac:dyDescent="0.3">
      <c r="A129" s="106" t="s">
        <v>203</v>
      </c>
      <c r="B129" s="117">
        <v>115</v>
      </c>
      <c r="C129" s="117">
        <v>103</v>
      </c>
      <c r="D129" s="117">
        <v>0</v>
      </c>
      <c r="E129" s="117">
        <v>0</v>
      </c>
      <c r="F129" s="117">
        <v>13</v>
      </c>
      <c r="G129" s="117">
        <v>0</v>
      </c>
      <c r="H129" s="117">
        <v>18</v>
      </c>
      <c r="I129" s="117">
        <v>13</v>
      </c>
      <c r="J129" s="117">
        <v>1</v>
      </c>
      <c r="K129" s="117">
        <v>1</v>
      </c>
      <c r="L129" s="117">
        <v>38</v>
      </c>
      <c r="M129" s="117">
        <v>21</v>
      </c>
      <c r="N129" s="117">
        <v>22</v>
      </c>
      <c r="O129" s="117">
        <v>71</v>
      </c>
      <c r="P129" s="119">
        <v>416</v>
      </c>
    </row>
    <row r="130" spans="1:16" x14ac:dyDescent="0.3">
      <c r="A130" s="106" t="s">
        <v>205</v>
      </c>
      <c r="B130" s="117">
        <v>0</v>
      </c>
      <c r="C130" s="117">
        <v>118</v>
      </c>
      <c r="D130" s="117">
        <v>0</v>
      </c>
      <c r="E130" s="117">
        <v>9</v>
      </c>
      <c r="F130" s="117">
        <v>0</v>
      </c>
      <c r="G130" s="117">
        <v>0</v>
      </c>
      <c r="H130" s="117">
        <v>0</v>
      </c>
      <c r="I130" s="117">
        <v>95</v>
      </c>
      <c r="J130" s="117">
        <v>0</v>
      </c>
      <c r="K130" s="117">
        <v>38</v>
      </c>
      <c r="L130" s="117">
        <v>11</v>
      </c>
      <c r="M130" s="117">
        <v>51</v>
      </c>
      <c r="N130" s="117">
        <v>0</v>
      </c>
      <c r="O130" s="117">
        <v>0</v>
      </c>
      <c r="P130" s="119">
        <v>322</v>
      </c>
    </row>
    <row r="131" spans="1:16" x14ac:dyDescent="0.3">
      <c r="A131" s="106" t="s">
        <v>206</v>
      </c>
      <c r="B131" s="117">
        <v>0</v>
      </c>
      <c r="C131" s="117">
        <v>0</v>
      </c>
      <c r="D131" s="117">
        <v>0</v>
      </c>
      <c r="E131" s="117">
        <v>0</v>
      </c>
      <c r="F131" s="117">
        <v>0</v>
      </c>
      <c r="G131" s="117">
        <v>0</v>
      </c>
      <c r="H131" s="117">
        <v>143</v>
      </c>
      <c r="I131" s="117">
        <v>0</v>
      </c>
      <c r="J131" s="117">
        <v>0</v>
      </c>
      <c r="K131" s="117">
        <v>0</v>
      </c>
      <c r="L131" s="117">
        <v>0</v>
      </c>
      <c r="M131" s="117">
        <v>0</v>
      </c>
      <c r="N131" s="117">
        <v>0</v>
      </c>
      <c r="O131" s="117">
        <v>0</v>
      </c>
      <c r="P131" s="119">
        <v>143</v>
      </c>
    </row>
    <row r="132" spans="1:16" x14ac:dyDescent="0.3">
      <c r="A132" s="106" t="s">
        <v>208</v>
      </c>
      <c r="B132" s="117">
        <v>0</v>
      </c>
      <c r="C132" s="117">
        <v>0</v>
      </c>
      <c r="D132" s="117">
        <v>0</v>
      </c>
      <c r="E132" s="117">
        <v>0</v>
      </c>
      <c r="F132" s="117">
        <v>124</v>
      </c>
      <c r="G132" s="117">
        <v>0</v>
      </c>
      <c r="H132" s="117">
        <v>0</v>
      </c>
      <c r="I132" s="117">
        <v>0</v>
      </c>
      <c r="J132" s="117">
        <v>0</v>
      </c>
      <c r="K132" s="117">
        <v>0</v>
      </c>
      <c r="L132" s="117">
        <v>0</v>
      </c>
      <c r="M132" s="117">
        <v>0</v>
      </c>
      <c r="N132" s="117">
        <v>0</v>
      </c>
      <c r="O132" s="117">
        <v>0</v>
      </c>
      <c r="P132" s="119">
        <v>124</v>
      </c>
    </row>
    <row r="133" spans="1:16" x14ac:dyDescent="0.3">
      <c r="A133" s="113" t="s">
        <v>209</v>
      </c>
      <c r="B133" s="120">
        <v>13</v>
      </c>
      <c r="C133" s="120">
        <v>0</v>
      </c>
      <c r="D133" s="120">
        <v>0</v>
      </c>
      <c r="E133" s="120">
        <v>7</v>
      </c>
      <c r="F133" s="120">
        <v>8</v>
      </c>
      <c r="G133" s="120">
        <v>0</v>
      </c>
      <c r="H133" s="120">
        <v>15</v>
      </c>
      <c r="I133" s="120">
        <v>13</v>
      </c>
      <c r="J133" s="120">
        <v>0</v>
      </c>
      <c r="K133" s="120">
        <v>1</v>
      </c>
      <c r="L133" s="120">
        <v>6</v>
      </c>
      <c r="M133" s="120">
        <v>0</v>
      </c>
      <c r="N133" s="120">
        <v>10</v>
      </c>
      <c r="O133" s="120">
        <v>23</v>
      </c>
      <c r="P133" s="119">
        <v>96</v>
      </c>
    </row>
    <row r="134" spans="1:16" s="39" customFormat="1" ht="14.25" customHeight="1" x14ac:dyDescent="0.3">
      <c r="A134" s="129" t="s">
        <v>212</v>
      </c>
      <c r="B134" s="134">
        <v>0</v>
      </c>
      <c r="C134" s="134">
        <v>0</v>
      </c>
      <c r="D134" s="134">
        <v>0</v>
      </c>
      <c r="E134" s="134">
        <v>0</v>
      </c>
      <c r="F134" s="134">
        <v>0</v>
      </c>
      <c r="G134" s="134">
        <v>0</v>
      </c>
      <c r="H134" s="134">
        <v>20</v>
      </c>
      <c r="I134" s="134">
        <v>0</v>
      </c>
      <c r="J134" s="134">
        <v>0</v>
      </c>
      <c r="K134" s="134">
        <v>0</v>
      </c>
      <c r="L134" s="134">
        <v>0</v>
      </c>
      <c r="M134" s="134">
        <v>0</v>
      </c>
      <c r="N134" s="134">
        <v>0</v>
      </c>
      <c r="O134" s="134">
        <v>41</v>
      </c>
      <c r="P134" s="135">
        <v>61</v>
      </c>
    </row>
    <row r="135" spans="1:16" s="39" customFormat="1" x14ac:dyDescent="0.3">
      <c r="A135" s="129" t="s">
        <v>213</v>
      </c>
      <c r="B135" s="134">
        <v>0</v>
      </c>
      <c r="C135" s="134">
        <v>0</v>
      </c>
      <c r="D135" s="134">
        <v>0</v>
      </c>
      <c r="E135" s="134">
        <v>0</v>
      </c>
      <c r="F135" s="134">
        <v>0</v>
      </c>
      <c r="G135" s="134">
        <v>0</v>
      </c>
      <c r="H135" s="134">
        <v>15</v>
      </c>
      <c r="I135" s="134">
        <v>7</v>
      </c>
      <c r="J135" s="134">
        <v>0</v>
      </c>
      <c r="K135" s="134">
        <v>0</v>
      </c>
      <c r="L135" s="134">
        <v>18</v>
      </c>
      <c r="M135" s="134">
        <v>0</v>
      </c>
      <c r="N135" s="134">
        <v>0</v>
      </c>
      <c r="O135" s="134">
        <v>21</v>
      </c>
      <c r="P135" s="135">
        <v>61</v>
      </c>
    </row>
    <row r="136" spans="1:16" s="39" customFormat="1" x14ac:dyDescent="0.3">
      <c r="A136" s="129" t="s">
        <v>211</v>
      </c>
      <c r="B136" s="134">
        <v>0</v>
      </c>
      <c r="C136" s="134">
        <v>50</v>
      </c>
      <c r="D136" s="134">
        <v>0</v>
      </c>
      <c r="E136" s="134">
        <v>0</v>
      </c>
      <c r="F136" s="134">
        <v>0</v>
      </c>
      <c r="G136" s="134">
        <v>0</v>
      </c>
      <c r="H136" s="134">
        <v>0</v>
      </c>
      <c r="I136" s="134">
        <v>0</v>
      </c>
      <c r="J136" s="134">
        <v>0</v>
      </c>
      <c r="K136" s="134">
        <v>0</v>
      </c>
      <c r="L136" s="134">
        <v>0</v>
      </c>
      <c r="M136" s="134">
        <v>0</v>
      </c>
      <c r="N136" s="134">
        <v>0</v>
      </c>
      <c r="O136" s="134">
        <v>0</v>
      </c>
      <c r="P136" s="135">
        <v>50</v>
      </c>
    </row>
    <row r="137" spans="1:16" x14ac:dyDescent="0.3">
      <c r="A137" s="129" t="s">
        <v>210</v>
      </c>
      <c r="B137" s="134">
        <v>0</v>
      </c>
      <c r="C137" s="134">
        <v>34</v>
      </c>
      <c r="D137" s="134">
        <v>0</v>
      </c>
      <c r="E137" s="134">
        <v>15</v>
      </c>
      <c r="F137" s="134">
        <v>0</v>
      </c>
      <c r="G137" s="134">
        <v>0</v>
      </c>
      <c r="H137" s="134">
        <v>0</v>
      </c>
      <c r="I137" s="134">
        <v>0</v>
      </c>
      <c r="J137" s="134">
        <v>0</v>
      </c>
      <c r="K137" s="134">
        <v>0</v>
      </c>
      <c r="L137" s="134">
        <v>0</v>
      </c>
      <c r="M137" s="134">
        <v>0</v>
      </c>
      <c r="N137" s="134">
        <v>0</v>
      </c>
      <c r="O137" s="134">
        <v>0</v>
      </c>
      <c r="P137" s="135">
        <v>49</v>
      </c>
    </row>
    <row r="138" spans="1:16" x14ac:dyDescent="0.3">
      <c r="A138" s="129" t="s">
        <v>204</v>
      </c>
      <c r="B138" s="134">
        <v>0</v>
      </c>
      <c r="C138" s="134">
        <v>0</v>
      </c>
      <c r="D138" s="134">
        <v>0</v>
      </c>
      <c r="E138" s="134">
        <v>0</v>
      </c>
      <c r="F138" s="134">
        <v>0</v>
      </c>
      <c r="G138" s="134">
        <v>0</v>
      </c>
      <c r="H138" s="134">
        <v>0</v>
      </c>
      <c r="I138" s="134">
        <v>28</v>
      </c>
      <c r="J138" s="134">
        <v>0</v>
      </c>
      <c r="K138" s="134">
        <v>0</v>
      </c>
      <c r="L138" s="134">
        <v>0</v>
      </c>
      <c r="M138" s="134">
        <v>0</v>
      </c>
      <c r="N138" s="134">
        <v>0</v>
      </c>
      <c r="O138" s="134">
        <v>0</v>
      </c>
      <c r="P138" s="135">
        <v>28</v>
      </c>
    </row>
    <row r="139" spans="1:16" x14ac:dyDescent="0.3">
      <c r="A139" s="129" t="s">
        <v>214</v>
      </c>
      <c r="B139" s="134">
        <v>0</v>
      </c>
      <c r="C139" s="134">
        <v>0</v>
      </c>
      <c r="D139" s="134">
        <v>0</v>
      </c>
      <c r="E139" s="134">
        <v>0</v>
      </c>
      <c r="F139" s="134">
        <v>0</v>
      </c>
      <c r="G139" s="134">
        <v>5</v>
      </c>
      <c r="H139" s="134">
        <v>0</v>
      </c>
      <c r="I139" s="134">
        <v>0</v>
      </c>
      <c r="J139" s="134">
        <v>0</v>
      </c>
      <c r="K139" s="134">
        <v>0</v>
      </c>
      <c r="L139" s="134">
        <v>0</v>
      </c>
      <c r="M139" s="134">
        <v>0</v>
      </c>
      <c r="N139" s="134">
        <v>0</v>
      </c>
      <c r="O139" s="134">
        <v>0</v>
      </c>
      <c r="P139" s="135">
        <v>5</v>
      </c>
    </row>
    <row r="140" spans="1:16" x14ac:dyDescent="0.3">
      <c r="A140" s="113" t="s">
        <v>215</v>
      </c>
      <c r="B140" s="120">
        <v>524</v>
      </c>
      <c r="C140" s="120">
        <v>52</v>
      </c>
      <c r="D140" s="120">
        <v>84</v>
      </c>
      <c r="E140" s="120">
        <v>96</v>
      </c>
      <c r="F140" s="120">
        <v>264</v>
      </c>
      <c r="G140" s="120">
        <v>68</v>
      </c>
      <c r="H140" s="120">
        <v>479</v>
      </c>
      <c r="I140" s="120">
        <v>339</v>
      </c>
      <c r="J140" s="120">
        <v>95</v>
      </c>
      <c r="K140" s="120">
        <v>144</v>
      </c>
      <c r="L140" s="120">
        <v>177</v>
      </c>
      <c r="M140" s="120">
        <v>762</v>
      </c>
      <c r="N140" s="120">
        <v>277</v>
      </c>
      <c r="O140" s="120">
        <v>968</v>
      </c>
      <c r="P140" s="119">
        <v>4329</v>
      </c>
    </row>
    <row r="141" spans="1:16" ht="15" customHeight="1" x14ac:dyDescent="0.3">
      <c r="A141" s="158" t="s">
        <v>23</v>
      </c>
      <c r="B141" s="158">
        <f>SUBTOTAL(109,'Table 9 additional'!$B$109:$B$140)</f>
        <v>6712</v>
      </c>
      <c r="C141" s="158">
        <f>SUBTOTAL(109,'Table 9 additional'!$C$109:$C$140)</f>
        <v>4034</v>
      </c>
      <c r="D141" s="158">
        <f>SUBTOTAL(109,'Table 9 additional'!$D$109:$D$140)</f>
        <v>629</v>
      </c>
      <c r="E141" s="158">
        <f>SUBTOTAL(109,'Table 9 additional'!$E$109:$E$140)</f>
        <v>2740</v>
      </c>
      <c r="F141" s="158">
        <f>SUBTOTAL(109,'Table 9 additional'!$F$109:$F$140)</f>
        <v>4269</v>
      </c>
      <c r="G141" s="158">
        <f>SUBTOTAL(109,'Table 9 additional'!$G$109:$G$140)</f>
        <v>2643</v>
      </c>
      <c r="H141" s="158">
        <f>SUBTOTAL(109,'Table 9 additional'!$H$109:$H$140)</f>
        <v>6756</v>
      </c>
      <c r="I141" s="158">
        <f>SUBTOTAL(109,'Table 9 additional'!$I$109:$I$140)</f>
        <v>6485</v>
      </c>
      <c r="J141" s="158">
        <f>SUBTOTAL(109,'Table 9 additional'!$J$109:$J$140)</f>
        <v>2136</v>
      </c>
      <c r="K141" s="158">
        <f>SUBTOTAL(109,'Table 9 additional'!$K$109:$K$140)</f>
        <v>1372</v>
      </c>
      <c r="L141" s="158">
        <f>SUBTOTAL(109,'Table 9 additional'!$L$109:$L$140)</f>
        <v>6092</v>
      </c>
      <c r="M141" s="158">
        <f>SUBTOTAL(109,'Table 9 additional'!$M$109:$M$140)</f>
        <v>4676</v>
      </c>
      <c r="N141" s="158">
        <f>SUBTOTAL(109,'Table 9 additional'!$N$109:$N$140)</f>
        <v>6841</v>
      </c>
      <c r="O141" s="158">
        <f>SUBTOTAL(109,'Table 9 additional'!$O$109:$O$140)</f>
        <v>14146</v>
      </c>
      <c r="P141" s="158">
        <f>SUBTOTAL(109,'Table 9 additional'!$P$109:$P$140)</f>
        <v>69531</v>
      </c>
    </row>
    <row r="142" spans="1:16" ht="14.25" customHeight="1" x14ac:dyDescent="0.3"/>
    <row r="143" spans="1:16" ht="14.25" customHeight="1" x14ac:dyDescent="0.3">
      <c r="A143" s="212" t="s">
        <v>110</v>
      </c>
      <c r="B143" s="212"/>
      <c r="C143" s="212"/>
      <c r="D143" s="212"/>
      <c r="E143" s="212"/>
      <c r="F143" s="212"/>
      <c r="G143" s="212"/>
      <c r="H143" s="212"/>
      <c r="I143" s="212"/>
      <c r="J143" s="212"/>
      <c r="K143" s="212"/>
      <c r="L143" s="212"/>
      <c r="M143" s="212"/>
      <c r="N143" s="212"/>
      <c r="O143" s="212"/>
      <c r="P143" s="212"/>
    </row>
    <row r="144" spans="1:16" ht="14.25" customHeight="1" x14ac:dyDescent="0.3">
      <c r="A144" s="26" t="s">
        <v>6</v>
      </c>
      <c r="B144" s="89"/>
      <c r="C144" s="89"/>
      <c r="D144" s="89"/>
      <c r="E144" s="89"/>
      <c r="F144" s="89"/>
      <c r="G144" s="89"/>
      <c r="H144" s="89"/>
      <c r="I144" s="89"/>
      <c r="J144" s="89"/>
      <c r="K144" s="89"/>
      <c r="L144" s="89"/>
      <c r="M144" s="89"/>
      <c r="N144" s="89"/>
      <c r="O144" s="89"/>
      <c r="P144" s="90"/>
    </row>
    <row r="145" spans="1:16" ht="14.25" customHeight="1" x14ac:dyDescent="0.3">
      <c r="A145" s="26" t="s">
        <v>7</v>
      </c>
      <c r="B145" s="89"/>
      <c r="C145" s="89"/>
      <c r="D145" s="89"/>
      <c r="E145" s="89"/>
      <c r="F145" s="89"/>
      <c r="G145" s="89"/>
      <c r="H145" s="89"/>
      <c r="I145" s="89"/>
      <c r="J145" s="89"/>
      <c r="K145" s="89"/>
      <c r="L145" s="89"/>
      <c r="M145" s="89"/>
      <c r="N145" s="89"/>
      <c r="O145" s="89"/>
      <c r="P145" s="89"/>
    </row>
    <row r="147" spans="1:16" ht="15.5" x14ac:dyDescent="0.35">
      <c r="A147" s="199" t="str">
        <f>CONCATENATE("Total Number of Bachelor Degree-Seeking Majors* by Field and University, ", IF(RIGHT(Parameters!B1,1)="1","Fall ","Spring "), IF(RIGHT(Parameters!B1,1)="1",LEFT(Parameters!B1,4),LEFT(Parameters!B1,4) + 1 ),", Ranked in Descending Order")</f>
        <v>Total Number of Bachelor Degree-Seeking Majors* by Field and University, Fall 2021, Ranked in Descending Order</v>
      </c>
      <c r="B147" s="199"/>
      <c r="C147" s="199"/>
      <c r="D147" s="199"/>
      <c r="E147" s="199"/>
      <c r="F147" s="199"/>
      <c r="G147" s="199"/>
      <c r="H147" s="199"/>
      <c r="I147" s="199"/>
      <c r="J147" s="199"/>
      <c r="K147" s="199"/>
      <c r="L147" s="199"/>
      <c r="M147" s="199"/>
      <c r="N147" s="199"/>
      <c r="O147" s="199"/>
      <c r="P147" s="199"/>
    </row>
    <row r="148" spans="1:16" x14ac:dyDescent="0.3">
      <c r="A148" s="195" t="s">
        <v>167</v>
      </c>
      <c r="B148" s="41" t="s">
        <v>168</v>
      </c>
      <c r="C148" s="41" t="s">
        <v>169</v>
      </c>
      <c r="D148" s="41" t="s">
        <v>170</v>
      </c>
      <c r="E148" s="41" t="s">
        <v>171</v>
      </c>
      <c r="F148" s="41" t="s">
        <v>172</v>
      </c>
      <c r="G148" s="41" t="s">
        <v>173</v>
      </c>
      <c r="H148" s="41" t="s">
        <v>174</v>
      </c>
      <c r="I148" s="41" t="s">
        <v>175</v>
      </c>
      <c r="J148" s="41" t="s">
        <v>176</v>
      </c>
      <c r="K148" s="41" t="s">
        <v>177</v>
      </c>
      <c r="L148" s="41" t="s">
        <v>178</v>
      </c>
      <c r="M148" s="41" t="s">
        <v>179</v>
      </c>
      <c r="N148" s="41" t="s">
        <v>180</v>
      </c>
      <c r="O148" s="41" t="s">
        <v>181</v>
      </c>
      <c r="P148" s="92" t="s">
        <v>23</v>
      </c>
    </row>
    <row r="149" spans="1:16" x14ac:dyDescent="0.3">
      <c r="A149" s="28" t="s">
        <v>217</v>
      </c>
      <c r="B149" s="33">
        <v>944</v>
      </c>
      <c r="C149" s="33">
        <v>864</v>
      </c>
      <c r="D149" s="33">
        <v>161</v>
      </c>
      <c r="E149" s="33">
        <v>461</v>
      </c>
      <c r="F149" s="33">
        <v>740</v>
      </c>
      <c r="G149" s="33">
        <v>495</v>
      </c>
      <c r="H149" s="33">
        <v>1286</v>
      </c>
      <c r="I149" s="33">
        <v>1246</v>
      </c>
      <c r="J149" s="33">
        <v>292</v>
      </c>
      <c r="K149" s="33">
        <v>211</v>
      </c>
      <c r="L149" s="33">
        <v>1621</v>
      </c>
      <c r="M149" s="33">
        <v>868</v>
      </c>
      <c r="N149" s="33">
        <v>1648</v>
      </c>
      <c r="O149" s="33">
        <v>1833</v>
      </c>
      <c r="P149" s="35">
        <v>12670</v>
      </c>
    </row>
    <row r="150" spans="1:16" x14ac:dyDescent="0.3">
      <c r="A150" s="106" t="s">
        <v>218</v>
      </c>
      <c r="B150" s="117">
        <v>1352</v>
      </c>
      <c r="C150" s="117">
        <v>490</v>
      </c>
      <c r="D150" s="117">
        <v>133</v>
      </c>
      <c r="E150" s="117">
        <v>375</v>
      </c>
      <c r="F150" s="117">
        <v>618</v>
      </c>
      <c r="G150" s="117">
        <v>270</v>
      </c>
      <c r="H150" s="117">
        <v>1134</v>
      </c>
      <c r="I150" s="117">
        <v>1056</v>
      </c>
      <c r="J150" s="117">
        <v>228</v>
      </c>
      <c r="K150" s="117">
        <v>105</v>
      </c>
      <c r="L150" s="117">
        <v>709</v>
      </c>
      <c r="M150" s="117">
        <v>923</v>
      </c>
      <c r="N150" s="117">
        <v>707</v>
      </c>
      <c r="O150" s="117">
        <v>3171</v>
      </c>
      <c r="P150" s="119">
        <v>11271</v>
      </c>
    </row>
    <row r="151" spans="1:16" x14ac:dyDescent="0.3">
      <c r="A151" s="106" t="s">
        <v>219</v>
      </c>
      <c r="B151" s="117">
        <v>1219</v>
      </c>
      <c r="C151" s="117">
        <v>303</v>
      </c>
      <c r="D151" s="117">
        <v>0</v>
      </c>
      <c r="E151" s="117">
        <v>752</v>
      </c>
      <c r="F151" s="117">
        <v>478</v>
      </c>
      <c r="G151" s="117">
        <v>435</v>
      </c>
      <c r="H151" s="117">
        <v>914</v>
      </c>
      <c r="I151" s="117">
        <v>0</v>
      </c>
      <c r="J151" s="117">
        <v>486</v>
      </c>
      <c r="K151" s="117">
        <v>208</v>
      </c>
      <c r="L151" s="117">
        <v>492</v>
      </c>
      <c r="M151" s="117">
        <v>0</v>
      </c>
      <c r="N151" s="117">
        <v>1266</v>
      </c>
      <c r="O151" s="117">
        <v>1689</v>
      </c>
      <c r="P151" s="119">
        <v>8242</v>
      </c>
    </row>
    <row r="152" spans="1:16" x14ac:dyDescent="0.3">
      <c r="A152" s="106" t="s">
        <v>183</v>
      </c>
      <c r="B152" s="117">
        <v>722</v>
      </c>
      <c r="C152" s="117">
        <v>326</v>
      </c>
      <c r="D152" s="117">
        <v>24</v>
      </c>
      <c r="E152" s="117">
        <v>242</v>
      </c>
      <c r="F152" s="117">
        <v>500</v>
      </c>
      <c r="G152" s="117">
        <v>326</v>
      </c>
      <c r="H152" s="117">
        <v>312</v>
      </c>
      <c r="I152" s="117">
        <v>1191</v>
      </c>
      <c r="J152" s="117">
        <v>211</v>
      </c>
      <c r="K152" s="117">
        <v>131</v>
      </c>
      <c r="L152" s="117">
        <v>756</v>
      </c>
      <c r="M152" s="117">
        <v>485</v>
      </c>
      <c r="N152" s="117">
        <v>682</v>
      </c>
      <c r="O152" s="117">
        <v>1210</v>
      </c>
      <c r="P152" s="119">
        <v>7118</v>
      </c>
    </row>
    <row r="153" spans="1:16" x14ac:dyDescent="0.3">
      <c r="A153" s="106" t="s">
        <v>220</v>
      </c>
      <c r="B153" s="117">
        <v>332</v>
      </c>
      <c r="C153" s="117">
        <v>230</v>
      </c>
      <c r="D153" s="117">
        <v>78</v>
      </c>
      <c r="E153" s="117">
        <v>97</v>
      </c>
      <c r="F153" s="117">
        <v>286</v>
      </c>
      <c r="G153" s="117">
        <v>0</v>
      </c>
      <c r="H153" s="117">
        <v>360</v>
      </c>
      <c r="I153" s="117">
        <v>446</v>
      </c>
      <c r="J153" s="117">
        <v>131</v>
      </c>
      <c r="K153" s="117">
        <v>133</v>
      </c>
      <c r="L153" s="117">
        <v>381</v>
      </c>
      <c r="M153" s="117">
        <v>312</v>
      </c>
      <c r="N153" s="117">
        <v>380</v>
      </c>
      <c r="O153" s="117">
        <v>1059</v>
      </c>
      <c r="P153" s="119">
        <v>4225</v>
      </c>
    </row>
    <row r="154" spans="1:16" ht="15" customHeight="1" x14ac:dyDescent="0.3">
      <c r="A154" s="106" t="s">
        <v>221</v>
      </c>
      <c r="B154" s="117">
        <v>140</v>
      </c>
      <c r="C154" s="117">
        <v>210</v>
      </c>
      <c r="D154" s="117">
        <v>18</v>
      </c>
      <c r="E154" s="117">
        <v>24</v>
      </c>
      <c r="F154" s="117">
        <v>113</v>
      </c>
      <c r="G154" s="117">
        <v>487</v>
      </c>
      <c r="H154" s="117">
        <v>505</v>
      </c>
      <c r="I154" s="117">
        <v>617</v>
      </c>
      <c r="J154" s="117">
        <v>13</v>
      </c>
      <c r="K154" s="117">
        <v>153</v>
      </c>
      <c r="L154" s="117">
        <v>495</v>
      </c>
      <c r="M154" s="117">
        <v>60</v>
      </c>
      <c r="N154" s="117">
        <v>322</v>
      </c>
      <c r="O154" s="117">
        <v>551</v>
      </c>
      <c r="P154" s="119">
        <v>3708</v>
      </c>
    </row>
    <row r="155" spans="1:16" x14ac:dyDescent="0.3">
      <c r="A155" s="106" t="s">
        <v>222</v>
      </c>
      <c r="B155" s="117">
        <v>156</v>
      </c>
      <c r="C155" s="117">
        <v>397</v>
      </c>
      <c r="D155" s="117">
        <v>9</v>
      </c>
      <c r="E155" s="117">
        <v>137</v>
      </c>
      <c r="F155" s="117">
        <v>416</v>
      </c>
      <c r="G155" s="117">
        <v>143</v>
      </c>
      <c r="H155" s="117">
        <v>277</v>
      </c>
      <c r="I155" s="117">
        <v>303</v>
      </c>
      <c r="J155" s="117">
        <v>255</v>
      </c>
      <c r="K155" s="117">
        <v>0</v>
      </c>
      <c r="L155" s="117">
        <v>83</v>
      </c>
      <c r="M155" s="117">
        <v>173</v>
      </c>
      <c r="N155" s="117">
        <v>368</v>
      </c>
      <c r="O155" s="117">
        <v>831</v>
      </c>
      <c r="P155" s="119">
        <v>3548</v>
      </c>
    </row>
    <row r="156" spans="1:16" x14ac:dyDescent="0.3">
      <c r="A156" s="106" t="s">
        <v>189</v>
      </c>
      <c r="B156" s="117">
        <v>221</v>
      </c>
      <c r="C156" s="117">
        <v>315</v>
      </c>
      <c r="D156" s="117">
        <v>75</v>
      </c>
      <c r="E156" s="117">
        <v>96</v>
      </c>
      <c r="F156" s="117">
        <v>82</v>
      </c>
      <c r="G156" s="117">
        <v>80</v>
      </c>
      <c r="H156" s="117">
        <v>814</v>
      </c>
      <c r="I156" s="117">
        <v>184</v>
      </c>
      <c r="J156" s="117">
        <v>63</v>
      </c>
      <c r="K156" s="117">
        <v>32</v>
      </c>
      <c r="L156" s="117">
        <v>475</v>
      </c>
      <c r="M156" s="117">
        <v>185</v>
      </c>
      <c r="N156" s="117">
        <v>288</v>
      </c>
      <c r="O156" s="117">
        <v>383</v>
      </c>
      <c r="P156" s="119">
        <v>3293</v>
      </c>
    </row>
    <row r="157" spans="1:16" x14ac:dyDescent="0.3">
      <c r="A157" s="106" t="s">
        <v>223</v>
      </c>
      <c r="B157" s="117">
        <v>314</v>
      </c>
      <c r="C157" s="117">
        <v>357</v>
      </c>
      <c r="D157" s="117">
        <v>0</v>
      </c>
      <c r="E157" s="117">
        <v>103</v>
      </c>
      <c r="F157" s="117">
        <v>265</v>
      </c>
      <c r="G157" s="117">
        <v>89</v>
      </c>
      <c r="H157" s="117">
        <v>0</v>
      </c>
      <c r="I157" s="117">
        <v>342</v>
      </c>
      <c r="J157" s="117">
        <v>171</v>
      </c>
      <c r="K157" s="117">
        <v>94</v>
      </c>
      <c r="L157" s="117">
        <v>25</v>
      </c>
      <c r="M157" s="117">
        <v>259</v>
      </c>
      <c r="N157" s="117">
        <v>129</v>
      </c>
      <c r="O157" s="117">
        <v>614</v>
      </c>
      <c r="P157" s="119">
        <v>2762</v>
      </c>
    </row>
    <row r="158" spans="1:16" x14ac:dyDescent="0.3">
      <c r="A158" s="106" t="s">
        <v>224</v>
      </c>
      <c r="B158" s="117">
        <v>314</v>
      </c>
      <c r="C158" s="117">
        <v>50</v>
      </c>
      <c r="D158" s="117">
        <v>19</v>
      </c>
      <c r="E158" s="117">
        <v>76</v>
      </c>
      <c r="F158" s="117">
        <v>99</v>
      </c>
      <c r="G158" s="117">
        <v>83</v>
      </c>
      <c r="H158" s="117">
        <v>247</v>
      </c>
      <c r="I158" s="117">
        <v>281</v>
      </c>
      <c r="J158" s="117">
        <v>46</v>
      </c>
      <c r="K158" s="117">
        <v>48</v>
      </c>
      <c r="L158" s="117">
        <v>163</v>
      </c>
      <c r="M158" s="117">
        <v>165</v>
      </c>
      <c r="N158" s="117">
        <v>275</v>
      </c>
      <c r="O158" s="117">
        <v>315</v>
      </c>
      <c r="P158" s="119">
        <v>2181</v>
      </c>
    </row>
    <row r="159" spans="1:16" x14ac:dyDescent="0.3">
      <c r="A159" s="106" t="s">
        <v>225</v>
      </c>
      <c r="B159" s="117">
        <v>120</v>
      </c>
      <c r="C159" s="117">
        <v>57</v>
      </c>
      <c r="D159" s="117">
        <v>4</v>
      </c>
      <c r="E159" s="117">
        <v>66</v>
      </c>
      <c r="F159" s="117">
        <v>64</v>
      </c>
      <c r="G159" s="117">
        <v>40</v>
      </c>
      <c r="H159" s="117">
        <v>137</v>
      </c>
      <c r="I159" s="117">
        <v>133</v>
      </c>
      <c r="J159" s="117">
        <v>35</v>
      </c>
      <c r="K159" s="117">
        <v>18</v>
      </c>
      <c r="L159" s="117">
        <v>182</v>
      </c>
      <c r="M159" s="117">
        <v>111</v>
      </c>
      <c r="N159" s="117">
        <v>116</v>
      </c>
      <c r="O159" s="117">
        <v>649</v>
      </c>
      <c r="P159" s="119">
        <v>1732</v>
      </c>
    </row>
    <row r="160" spans="1:16" x14ac:dyDescent="0.3">
      <c r="A160" s="106" t="s">
        <v>226</v>
      </c>
      <c r="B160" s="117">
        <v>169</v>
      </c>
      <c r="C160" s="117">
        <v>80</v>
      </c>
      <c r="D160" s="117">
        <v>0</v>
      </c>
      <c r="E160" s="117">
        <v>0</v>
      </c>
      <c r="F160" s="117">
        <v>131</v>
      </c>
      <c r="G160" s="117">
        <v>95</v>
      </c>
      <c r="H160" s="117">
        <v>0</v>
      </c>
      <c r="I160" s="117">
        <v>194</v>
      </c>
      <c r="J160" s="117">
        <v>79</v>
      </c>
      <c r="K160" s="117">
        <v>46</v>
      </c>
      <c r="L160" s="117">
        <v>280</v>
      </c>
      <c r="M160" s="117">
        <v>167</v>
      </c>
      <c r="N160" s="117">
        <v>95</v>
      </c>
      <c r="O160" s="117">
        <v>211</v>
      </c>
      <c r="P160" s="119">
        <v>1547</v>
      </c>
    </row>
    <row r="161" spans="1:16" x14ac:dyDescent="0.3">
      <c r="A161" s="106" t="s">
        <v>227</v>
      </c>
      <c r="B161" s="117">
        <v>31</v>
      </c>
      <c r="C161" s="117">
        <v>35</v>
      </c>
      <c r="D161" s="117">
        <v>0</v>
      </c>
      <c r="E161" s="117">
        <v>16</v>
      </c>
      <c r="F161" s="117">
        <v>61</v>
      </c>
      <c r="G161" s="117">
        <v>5</v>
      </c>
      <c r="H161" s="117">
        <v>46</v>
      </c>
      <c r="I161" s="117">
        <v>87</v>
      </c>
      <c r="J161" s="117">
        <v>14</v>
      </c>
      <c r="K161" s="117">
        <v>21</v>
      </c>
      <c r="L161" s="117">
        <v>73</v>
      </c>
      <c r="M161" s="117">
        <v>126</v>
      </c>
      <c r="N161" s="117">
        <v>176</v>
      </c>
      <c r="O161" s="117">
        <v>244</v>
      </c>
      <c r="P161" s="119">
        <v>935</v>
      </c>
    </row>
    <row r="162" spans="1:16" x14ac:dyDescent="0.3">
      <c r="A162" s="106" t="s">
        <v>228</v>
      </c>
      <c r="B162" s="117">
        <v>0</v>
      </c>
      <c r="C162" s="117">
        <v>76</v>
      </c>
      <c r="D162" s="117">
        <v>24</v>
      </c>
      <c r="E162" s="117">
        <v>177</v>
      </c>
      <c r="F162" s="117">
        <v>0</v>
      </c>
      <c r="G162" s="117">
        <v>27</v>
      </c>
      <c r="H162" s="117">
        <v>34</v>
      </c>
      <c r="I162" s="117">
        <v>5</v>
      </c>
      <c r="J162" s="117">
        <v>16</v>
      </c>
      <c r="K162" s="117">
        <v>26</v>
      </c>
      <c r="L162" s="117">
        <v>0</v>
      </c>
      <c r="M162" s="117">
        <v>17</v>
      </c>
      <c r="N162" s="117">
        <v>0</v>
      </c>
      <c r="O162" s="117">
        <v>262</v>
      </c>
      <c r="P162" s="119">
        <v>664</v>
      </c>
    </row>
    <row r="163" spans="1:16" x14ac:dyDescent="0.3">
      <c r="A163" s="106" t="s">
        <v>229</v>
      </c>
      <c r="B163" s="117">
        <v>115</v>
      </c>
      <c r="C163" s="117">
        <v>103</v>
      </c>
      <c r="D163" s="117">
        <v>0</v>
      </c>
      <c r="E163" s="117">
        <v>0</v>
      </c>
      <c r="F163" s="117">
        <v>13</v>
      </c>
      <c r="G163" s="117">
        <v>0</v>
      </c>
      <c r="H163" s="117">
        <v>18</v>
      </c>
      <c r="I163" s="117">
        <v>13</v>
      </c>
      <c r="J163" s="117">
        <v>1</v>
      </c>
      <c r="K163" s="117">
        <v>1</v>
      </c>
      <c r="L163" s="117">
        <v>38</v>
      </c>
      <c r="M163" s="117">
        <v>21</v>
      </c>
      <c r="N163" s="117">
        <v>22</v>
      </c>
      <c r="O163" s="117">
        <v>71</v>
      </c>
      <c r="P163" s="119">
        <v>416</v>
      </c>
    </row>
    <row r="164" spans="1:16" x14ac:dyDescent="0.3">
      <c r="A164" s="106" t="s">
        <v>230</v>
      </c>
      <c r="B164" s="117">
        <v>26</v>
      </c>
      <c r="C164" s="117">
        <v>5</v>
      </c>
      <c r="D164" s="117">
        <v>0</v>
      </c>
      <c r="E164" s="117">
        <v>0</v>
      </c>
      <c r="F164" s="117">
        <v>7</v>
      </c>
      <c r="G164" s="117">
        <v>0</v>
      </c>
      <c r="H164" s="117">
        <v>0</v>
      </c>
      <c r="I164" s="117">
        <v>0</v>
      </c>
      <c r="J164" s="117">
        <v>0</v>
      </c>
      <c r="K164" s="117">
        <v>0</v>
      </c>
      <c r="L164" s="117">
        <v>118</v>
      </c>
      <c r="M164" s="117">
        <v>42</v>
      </c>
      <c r="N164" s="117">
        <v>80</v>
      </c>
      <c r="O164" s="117">
        <v>0</v>
      </c>
      <c r="P164" s="119">
        <v>278</v>
      </c>
    </row>
    <row r="165" spans="1:16" x14ac:dyDescent="0.3">
      <c r="A165" s="106" t="s">
        <v>231</v>
      </c>
      <c r="B165" s="117">
        <v>0</v>
      </c>
      <c r="C165" s="117">
        <v>0</v>
      </c>
      <c r="D165" s="117">
        <v>0</v>
      </c>
      <c r="E165" s="117">
        <v>0</v>
      </c>
      <c r="F165" s="117">
        <v>0</v>
      </c>
      <c r="G165" s="117">
        <v>0</v>
      </c>
      <c r="H165" s="117">
        <v>143</v>
      </c>
      <c r="I165" s="117">
        <v>0</v>
      </c>
      <c r="J165" s="117">
        <v>0</v>
      </c>
      <c r="K165" s="117">
        <v>0</v>
      </c>
      <c r="L165" s="117">
        <v>0</v>
      </c>
      <c r="M165" s="117">
        <v>0</v>
      </c>
      <c r="N165" s="117">
        <v>0</v>
      </c>
      <c r="O165" s="117">
        <v>0</v>
      </c>
      <c r="P165" s="119">
        <v>143</v>
      </c>
    </row>
    <row r="166" spans="1:16" s="39" customFormat="1" ht="14.25" customHeight="1" x14ac:dyDescent="0.3">
      <c r="A166" s="106" t="s">
        <v>232</v>
      </c>
      <c r="B166" s="117">
        <v>0</v>
      </c>
      <c r="C166" s="117">
        <v>0</v>
      </c>
      <c r="D166" s="117">
        <v>0</v>
      </c>
      <c r="E166" s="117">
        <v>0</v>
      </c>
      <c r="F166" s="117">
        <v>124</v>
      </c>
      <c r="G166" s="117">
        <v>0</v>
      </c>
      <c r="H166" s="117">
        <v>0</v>
      </c>
      <c r="I166" s="117">
        <v>0</v>
      </c>
      <c r="J166" s="117">
        <v>0</v>
      </c>
      <c r="K166" s="117">
        <v>0</v>
      </c>
      <c r="L166" s="117">
        <v>0</v>
      </c>
      <c r="M166" s="117">
        <v>0</v>
      </c>
      <c r="N166" s="117">
        <v>0</v>
      </c>
      <c r="O166" s="117">
        <v>0</v>
      </c>
      <c r="P166" s="119">
        <v>124</v>
      </c>
    </row>
    <row r="167" spans="1:16" s="39" customFormat="1" x14ac:dyDescent="0.3">
      <c r="A167" s="106" t="s">
        <v>233</v>
      </c>
      <c r="B167" s="117">
        <v>13</v>
      </c>
      <c r="C167" s="117">
        <v>0</v>
      </c>
      <c r="D167" s="117">
        <v>0</v>
      </c>
      <c r="E167" s="117">
        <v>7</v>
      </c>
      <c r="F167" s="117">
        <v>8</v>
      </c>
      <c r="G167" s="117">
        <v>0</v>
      </c>
      <c r="H167" s="117">
        <v>15</v>
      </c>
      <c r="I167" s="117">
        <v>13</v>
      </c>
      <c r="J167" s="117">
        <v>0</v>
      </c>
      <c r="K167" s="117">
        <v>1</v>
      </c>
      <c r="L167" s="117">
        <v>6</v>
      </c>
      <c r="M167" s="117">
        <v>0</v>
      </c>
      <c r="N167" s="117">
        <v>10</v>
      </c>
      <c r="O167" s="117">
        <v>23</v>
      </c>
      <c r="P167" s="119">
        <v>96</v>
      </c>
    </row>
    <row r="168" spans="1:16" s="39" customFormat="1" x14ac:dyDescent="0.3">
      <c r="A168" s="106" t="s">
        <v>234</v>
      </c>
      <c r="B168" s="117">
        <v>0</v>
      </c>
      <c r="C168" s="117">
        <v>0</v>
      </c>
      <c r="D168" s="117">
        <v>0</v>
      </c>
      <c r="E168" s="117">
        <v>0</v>
      </c>
      <c r="F168" s="117">
        <v>0</v>
      </c>
      <c r="G168" s="117">
        <v>0</v>
      </c>
      <c r="H168" s="117">
        <v>20</v>
      </c>
      <c r="I168" s="117">
        <v>0</v>
      </c>
      <c r="J168" s="117">
        <v>0</v>
      </c>
      <c r="K168" s="117">
        <v>0</v>
      </c>
      <c r="L168" s="117">
        <v>0</v>
      </c>
      <c r="M168" s="117">
        <v>0</v>
      </c>
      <c r="N168" s="117">
        <v>0</v>
      </c>
      <c r="O168" s="117">
        <v>41</v>
      </c>
      <c r="P168" s="119">
        <v>61</v>
      </c>
    </row>
    <row r="169" spans="1:16" x14ac:dyDescent="0.3">
      <c r="A169" s="106" t="s">
        <v>235</v>
      </c>
      <c r="B169" s="117">
        <v>0</v>
      </c>
      <c r="C169" s="117">
        <v>0</v>
      </c>
      <c r="D169" s="117">
        <v>0</v>
      </c>
      <c r="E169" s="117">
        <v>0</v>
      </c>
      <c r="F169" s="117">
        <v>0</v>
      </c>
      <c r="G169" s="117">
        <v>0</v>
      </c>
      <c r="H169" s="117">
        <v>15</v>
      </c>
      <c r="I169" s="117">
        <v>7</v>
      </c>
      <c r="J169" s="117">
        <v>0</v>
      </c>
      <c r="K169" s="117">
        <v>0</v>
      </c>
      <c r="L169" s="117">
        <v>18</v>
      </c>
      <c r="M169" s="117">
        <v>0</v>
      </c>
      <c r="N169" s="117">
        <v>0</v>
      </c>
      <c r="O169" s="117">
        <v>21</v>
      </c>
      <c r="P169" s="119">
        <v>61</v>
      </c>
    </row>
    <row r="170" spans="1:16" x14ac:dyDescent="0.3">
      <c r="A170" s="106" t="s">
        <v>236</v>
      </c>
      <c r="B170" s="117">
        <v>0</v>
      </c>
      <c r="C170" s="117">
        <v>50</v>
      </c>
      <c r="D170" s="117">
        <v>0</v>
      </c>
      <c r="E170" s="117">
        <v>0</v>
      </c>
      <c r="F170" s="117">
        <v>0</v>
      </c>
      <c r="G170" s="117">
        <v>0</v>
      </c>
      <c r="H170" s="117">
        <v>0</v>
      </c>
      <c r="I170" s="117">
        <v>0</v>
      </c>
      <c r="J170" s="117">
        <v>0</v>
      </c>
      <c r="K170" s="117">
        <v>0</v>
      </c>
      <c r="L170" s="117">
        <v>0</v>
      </c>
      <c r="M170" s="117">
        <v>0</v>
      </c>
      <c r="N170" s="117">
        <v>0</v>
      </c>
      <c r="O170" s="117">
        <v>0</v>
      </c>
      <c r="P170" s="119">
        <v>50</v>
      </c>
    </row>
    <row r="171" spans="1:16" x14ac:dyDescent="0.3">
      <c r="A171" s="106" t="s">
        <v>237</v>
      </c>
      <c r="B171" s="117">
        <v>0</v>
      </c>
      <c r="C171" s="117">
        <v>34</v>
      </c>
      <c r="D171" s="117">
        <v>0</v>
      </c>
      <c r="E171" s="117">
        <v>15</v>
      </c>
      <c r="F171" s="117">
        <v>0</v>
      </c>
      <c r="G171" s="117">
        <v>0</v>
      </c>
      <c r="H171" s="117">
        <v>0</v>
      </c>
      <c r="I171" s="117">
        <v>0</v>
      </c>
      <c r="J171" s="117">
        <v>0</v>
      </c>
      <c r="K171" s="117">
        <v>0</v>
      </c>
      <c r="L171" s="117">
        <v>0</v>
      </c>
      <c r="M171" s="117">
        <v>0</v>
      </c>
      <c r="N171" s="117">
        <v>0</v>
      </c>
      <c r="O171" s="117">
        <v>0</v>
      </c>
      <c r="P171" s="119">
        <v>49</v>
      </c>
    </row>
    <row r="172" spans="1:16" x14ac:dyDescent="0.3">
      <c r="A172" s="106" t="s">
        <v>238</v>
      </c>
      <c r="B172" s="117">
        <v>0</v>
      </c>
      <c r="C172" s="117">
        <v>0</v>
      </c>
      <c r="D172" s="117">
        <v>0</v>
      </c>
      <c r="E172" s="117">
        <v>0</v>
      </c>
      <c r="F172" s="117">
        <v>0</v>
      </c>
      <c r="G172" s="117">
        <v>0</v>
      </c>
      <c r="H172" s="117">
        <v>0</v>
      </c>
      <c r="I172" s="117">
        <v>28</v>
      </c>
      <c r="J172" s="117">
        <v>0</v>
      </c>
      <c r="K172" s="117">
        <v>0</v>
      </c>
      <c r="L172" s="117">
        <v>0</v>
      </c>
      <c r="M172" s="117">
        <v>0</v>
      </c>
      <c r="N172" s="117">
        <v>0</v>
      </c>
      <c r="O172" s="117">
        <v>0</v>
      </c>
      <c r="P172" s="119">
        <v>28</v>
      </c>
    </row>
    <row r="173" spans="1:16" x14ac:dyDescent="0.3">
      <c r="A173" s="113" t="s">
        <v>215</v>
      </c>
      <c r="B173" s="120">
        <v>524</v>
      </c>
      <c r="C173" s="120">
        <v>52</v>
      </c>
      <c r="D173" s="120">
        <v>84</v>
      </c>
      <c r="E173" s="120">
        <v>96</v>
      </c>
      <c r="F173" s="120">
        <v>264</v>
      </c>
      <c r="G173" s="120">
        <v>68</v>
      </c>
      <c r="H173" s="120">
        <v>479</v>
      </c>
      <c r="I173" s="120">
        <v>339</v>
      </c>
      <c r="J173" s="120">
        <v>95</v>
      </c>
      <c r="K173" s="120">
        <v>144</v>
      </c>
      <c r="L173" s="120">
        <v>177</v>
      </c>
      <c r="M173" s="120">
        <v>762</v>
      </c>
      <c r="N173" s="120">
        <v>277</v>
      </c>
      <c r="O173" s="120">
        <v>968</v>
      </c>
      <c r="P173" s="119">
        <v>4329</v>
      </c>
    </row>
    <row r="174" spans="1:16" x14ac:dyDescent="0.3">
      <c r="A174" s="158" t="s">
        <v>23</v>
      </c>
      <c r="B174" s="158">
        <f>SUBTOTAL(109,'Table 9 additional'!$B$149:$B$173)</f>
        <v>6712</v>
      </c>
      <c r="C174" s="158">
        <f>SUBTOTAL(109,'Table 9 additional'!$C$149:$C$173)</f>
        <v>4034</v>
      </c>
      <c r="D174" s="158">
        <f>SUBTOTAL(109,'Table 9 additional'!$D$149:$D$173)</f>
        <v>629</v>
      </c>
      <c r="E174" s="158">
        <f>SUBTOTAL(109,'Table 9 additional'!$E$149:$E$173)</f>
        <v>2740</v>
      </c>
      <c r="F174" s="158">
        <f>SUBTOTAL(109,'Table 9 additional'!$F$149:$F$173)</f>
        <v>4269</v>
      </c>
      <c r="G174" s="158">
        <f>SUBTOTAL(109,'Table 9 additional'!$G$149:$G$173)</f>
        <v>2643</v>
      </c>
      <c r="H174" s="158">
        <f>SUBTOTAL(109,'Table 9 additional'!$H$149:$H$173)</f>
        <v>6756</v>
      </c>
      <c r="I174" s="158">
        <f>SUBTOTAL(109,'Table 9 additional'!$I$149:$I$173)</f>
        <v>6485</v>
      </c>
      <c r="J174" s="158">
        <f>SUBTOTAL(109,'Table 9 additional'!$J$149:$J$173)</f>
        <v>2136</v>
      </c>
      <c r="K174" s="158">
        <f>SUBTOTAL(109,'Table 9 additional'!$K$149:$K$173)</f>
        <v>1372</v>
      </c>
      <c r="L174" s="158">
        <f>SUBTOTAL(109,'Table 9 additional'!$L$149:$L$173)</f>
        <v>6092</v>
      </c>
      <c r="M174" s="158">
        <f>SUBTOTAL(109,'Table 9 additional'!$M$149:$M$173)</f>
        <v>4676</v>
      </c>
      <c r="N174" s="158">
        <f>SUBTOTAL(109,'Table 9 additional'!$N$149:$N$173)</f>
        <v>6841</v>
      </c>
      <c r="O174" s="158">
        <f>SUBTOTAL(109,'Table 9 additional'!$O$149:$O$173)</f>
        <v>14146</v>
      </c>
      <c r="P174" s="158">
        <f>SUBTOTAL(109,'Table 9 additional'!$P$149:$P$173)</f>
        <v>69531</v>
      </c>
    </row>
    <row r="175" spans="1:16" ht="12.75" customHeight="1" x14ac:dyDescent="0.3">
      <c r="C175" s="146"/>
      <c r="E175" s="146"/>
      <c r="H175" s="146"/>
      <c r="I175" s="146"/>
      <c r="J175" s="146"/>
      <c r="K175" s="146"/>
      <c r="N175" s="146"/>
      <c r="O175" s="146"/>
      <c r="P175" s="146"/>
    </row>
    <row r="176" spans="1:16" x14ac:dyDescent="0.3">
      <c r="A176" s="212" t="s">
        <v>110</v>
      </c>
      <c r="B176" s="212"/>
      <c r="C176" s="212"/>
      <c r="D176" s="212"/>
      <c r="E176" s="212"/>
      <c r="F176" s="212"/>
      <c r="G176" s="212"/>
      <c r="H176" s="212"/>
      <c r="I176" s="212"/>
      <c r="J176" s="212"/>
      <c r="K176" s="212"/>
      <c r="L176" s="212"/>
      <c r="M176" s="212"/>
      <c r="N176" s="212"/>
      <c r="O176" s="212"/>
      <c r="P176" s="212"/>
    </row>
    <row r="177" spans="1:16" ht="14.25" customHeight="1" x14ac:dyDescent="0.3">
      <c r="A177" s="26" t="s">
        <v>6</v>
      </c>
      <c r="B177" s="89"/>
      <c r="C177" s="89"/>
      <c r="D177" s="89"/>
      <c r="E177" s="89"/>
      <c r="F177" s="89"/>
      <c r="G177" s="89"/>
      <c r="H177" s="89"/>
      <c r="I177" s="89"/>
      <c r="J177" s="89"/>
      <c r="K177" s="89"/>
      <c r="L177" s="89"/>
      <c r="M177" s="89"/>
      <c r="N177" s="89"/>
      <c r="O177" s="89"/>
      <c r="P177" s="90"/>
    </row>
    <row r="178" spans="1:16" x14ac:dyDescent="0.3">
      <c r="A178" s="26" t="s">
        <v>7</v>
      </c>
      <c r="B178" s="89"/>
      <c r="C178" s="89"/>
      <c r="D178" s="89"/>
      <c r="E178" s="89"/>
      <c r="F178" s="89"/>
      <c r="G178" s="89"/>
      <c r="H178" s="89"/>
      <c r="I178" s="89"/>
      <c r="J178" s="89"/>
      <c r="K178" s="89"/>
      <c r="L178" s="89"/>
      <c r="M178" s="89"/>
      <c r="N178" s="89"/>
      <c r="O178" s="89"/>
      <c r="P178" s="89"/>
    </row>
    <row r="179" spans="1:16" x14ac:dyDescent="0.3">
      <c r="A179" s="13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</row>
    <row r="182" spans="1:16" x14ac:dyDescent="0.3">
      <c r="C182" s="146">
        <f>C141-C122</f>
        <v>3954</v>
      </c>
      <c r="E182" s="146">
        <f>E141-E122</f>
        <v>2740</v>
      </c>
      <c r="H182" s="146">
        <f>H141-H122</f>
        <v>6756</v>
      </c>
      <c r="I182" s="146">
        <f>I141-I122</f>
        <v>6291</v>
      </c>
      <c r="J182" s="146">
        <f>J141-J122</f>
        <v>2057</v>
      </c>
      <c r="K182" s="146">
        <f>K141-K122</f>
        <v>1326</v>
      </c>
      <c r="N182" s="146">
        <f>N141-N122</f>
        <v>6746</v>
      </c>
      <c r="O182" s="146">
        <f>O141-O122</f>
        <v>13935</v>
      </c>
      <c r="P182" s="146">
        <f>P141-P122</f>
        <v>67984</v>
      </c>
    </row>
  </sheetData>
  <mergeCells count="11">
    <mergeCell ref="A66:P66"/>
    <mergeCell ref="A1:P1"/>
    <mergeCell ref="A2:P2"/>
    <mergeCell ref="A34:P34"/>
    <mergeCell ref="A39:P39"/>
    <mergeCell ref="A147:P147"/>
    <mergeCell ref="A176:P176"/>
    <mergeCell ref="A71:P71"/>
    <mergeCell ref="A103:P103"/>
    <mergeCell ref="A107:P107"/>
    <mergeCell ref="A143:P143"/>
  </mergeCells>
  <printOptions horizontalCentered="1"/>
  <pageMargins left="0.5" right="0.5" top="1" bottom="0.5" header="0.3" footer="0.3"/>
  <pageSetup scale="70" fitToHeight="0" orientation="landscape" r:id="rId1"/>
  <headerFooter>
    <oddHeader>&amp;L&amp;"Arial,Regular"&amp;10Pennsylvania's State System of Higher Education | &amp;D
Advanced Data Analytics | Page &amp;P of &amp;N</oddHeader>
  </headerFooter>
  <rowBreaks count="4" manualBreakCount="4">
    <brk id="38" max="15" man="1"/>
    <brk id="70" max="15" man="1"/>
    <brk id="106" max="15" man="1"/>
    <brk id="146" max="15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pageSetUpPr fitToPage="1"/>
  </sheetPr>
  <dimension ref="A1:F10"/>
  <sheetViews>
    <sheetView showGridLines="0" workbookViewId="0">
      <selection activeCell="J4" sqref="J4"/>
    </sheetView>
  </sheetViews>
  <sheetFormatPr defaultColWidth="9.1796875" defaultRowHeight="14" x14ac:dyDescent="0.3"/>
  <cols>
    <col min="1" max="1" width="24" style="1" customWidth="1"/>
    <col min="2" max="16384" width="9.1796875" style="1"/>
  </cols>
  <sheetData>
    <row r="1" spans="1:6" x14ac:dyDescent="0.3">
      <c r="A1" s="17" t="s">
        <v>1</v>
      </c>
      <c r="B1" s="17">
        <v>20211</v>
      </c>
    </row>
    <row r="2" spans="1:6" x14ac:dyDescent="0.3">
      <c r="A2" s="17" t="s">
        <v>2</v>
      </c>
      <c r="B2" s="17" t="s">
        <v>4</v>
      </c>
    </row>
    <row r="3" spans="1:6" x14ac:dyDescent="0.3">
      <c r="A3" s="17" t="s">
        <v>3</v>
      </c>
      <c r="B3" s="166" t="s">
        <v>286</v>
      </c>
    </row>
    <row r="4" spans="1:6" x14ac:dyDescent="0.3">
      <c r="A4" s="18" t="s">
        <v>96</v>
      </c>
      <c r="B4" s="102" t="s">
        <v>106</v>
      </c>
    </row>
    <row r="5" spans="1:6" x14ac:dyDescent="0.3">
      <c r="A5" s="18" t="s">
        <v>98</v>
      </c>
      <c r="B5" s="103" t="s">
        <v>97</v>
      </c>
    </row>
    <row r="6" spans="1:6" x14ac:dyDescent="0.3">
      <c r="A6" s="18" t="s">
        <v>99</v>
      </c>
      <c r="B6" s="17" t="s">
        <v>97</v>
      </c>
    </row>
    <row r="10" spans="1:6" x14ac:dyDescent="0.3">
      <c r="F10" s="95"/>
    </row>
  </sheetData>
  <printOptions horizontalCentered="1"/>
  <pageMargins left="0.5" right="0.5" top="1" bottom="0.5" header="0.3" footer="0.3"/>
  <pageSetup fitToHeight="0" orientation="portrait" r:id="rId1"/>
  <headerFooter>
    <oddHeader>&amp;L&amp;"Arial,Regular"&amp;10Pennsylvania's State System of Higher Education | &amp;D
Advanced Data Analytics | Page &amp;P of &amp;N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ConvertTablesToRanges">
                <anchor moveWithCells="1" sizeWithCells="1">
                  <from>
                    <xdr:col>4</xdr:col>
                    <xdr:colOff>304800</xdr:colOff>
                    <xdr:row>1</xdr:row>
                    <xdr:rowOff>76200</xdr:rowOff>
                  </from>
                  <to>
                    <xdr:col>7</xdr:col>
                    <xdr:colOff>533400</xdr:colOff>
                    <xdr:row>4</xdr:row>
                    <xdr:rowOff>107950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Button 2">
              <controlPr defaultSize="0" print="0" autoFill="0" autoPict="0" macro="[0]!ConvertTablesToRanges">
                <anchor moveWithCells="1" sizeWithCells="1">
                  <from>
                    <xdr:col>3</xdr:col>
                    <xdr:colOff>488950</xdr:colOff>
                    <xdr:row>1</xdr:row>
                    <xdr:rowOff>88900</xdr:rowOff>
                  </from>
                  <to>
                    <xdr:col>7</xdr:col>
                    <xdr:colOff>107950</xdr:colOff>
                    <xdr:row>4</xdr:row>
                    <xdr:rowOff>146050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B1:N65"/>
  <sheetViews>
    <sheetView topLeftCell="B1" zoomScale="90" zoomScaleNormal="90" workbookViewId="0">
      <selection activeCell="G52" sqref="G52"/>
    </sheetView>
  </sheetViews>
  <sheetFormatPr defaultColWidth="9.1796875" defaultRowHeight="14" x14ac:dyDescent="0.3"/>
  <cols>
    <col min="1" max="1" width="3.26953125" style="1" customWidth="1"/>
    <col min="2" max="2" width="23.54296875" style="1" customWidth="1"/>
    <col min="3" max="7" width="15.7265625" style="1" customWidth="1"/>
    <col min="8" max="8" width="16.54296875" style="1" customWidth="1"/>
    <col min="9" max="14" width="15.7265625" style="1" customWidth="1"/>
    <col min="15" max="16384" width="9.1796875" style="1"/>
  </cols>
  <sheetData>
    <row r="1" spans="2:14" ht="15.5" x14ac:dyDescent="0.35">
      <c r="B1" s="196" t="s">
        <v>100</v>
      </c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</row>
    <row r="2" spans="2:14" ht="15.5" x14ac:dyDescent="0.3">
      <c r="B2" s="200" t="s">
        <v>24</v>
      </c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</row>
    <row r="3" spans="2:14" ht="15.5" x14ac:dyDescent="0.3">
      <c r="B3" s="201" t="str">
        <f>CONCATENATE("Headcount Enrollment of all Students by University by Race, ", IF(RIGHT(Parameters!B1,1)="1","Fall ","Spring "), IF(RIGHT(Parameters!B1,1)="1",LEFT(Parameters!B1,4),LEFT(Parameters!B1,4) + 1 ))</f>
        <v>Headcount Enrollment of all Students by University by Race, Fall 2021</v>
      </c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</row>
    <row r="4" spans="2:14" ht="61.9" customHeight="1" x14ac:dyDescent="0.3">
      <c r="B4" s="20" t="s">
        <v>8</v>
      </c>
      <c r="C4" s="20" t="s">
        <v>113</v>
      </c>
      <c r="D4" s="20" t="s">
        <v>114</v>
      </c>
      <c r="E4" s="20" t="s">
        <v>115</v>
      </c>
      <c r="F4" s="20" t="s">
        <v>116</v>
      </c>
      <c r="G4" s="20" t="s">
        <v>117</v>
      </c>
      <c r="H4" s="20" t="s">
        <v>118</v>
      </c>
      <c r="I4" s="20" t="s">
        <v>119</v>
      </c>
      <c r="J4" s="20" t="s">
        <v>120</v>
      </c>
      <c r="K4" s="20" t="s">
        <v>121</v>
      </c>
      <c r="L4" s="20" t="s">
        <v>23</v>
      </c>
      <c r="M4" s="20" t="s">
        <v>122</v>
      </c>
      <c r="N4" s="20" t="s">
        <v>123</v>
      </c>
    </row>
    <row r="5" spans="2:14" ht="15" customHeight="1" x14ac:dyDescent="0.3">
      <c r="B5" s="28" t="s">
        <v>9</v>
      </c>
      <c r="C5" s="75">
        <v>6082</v>
      </c>
      <c r="D5" s="75">
        <v>549</v>
      </c>
      <c r="E5" s="75">
        <v>28</v>
      </c>
      <c r="F5" s="75">
        <v>113</v>
      </c>
      <c r="G5" s="75">
        <v>420</v>
      </c>
      <c r="H5" s="75">
        <v>7</v>
      </c>
      <c r="I5" s="75">
        <v>24</v>
      </c>
      <c r="J5" s="75">
        <v>349</v>
      </c>
      <c r="K5" s="75">
        <v>173</v>
      </c>
      <c r="L5" s="75">
        <v>7745</v>
      </c>
      <c r="M5" s="75">
        <v>1290</v>
      </c>
      <c r="N5" s="76">
        <v>0.174986</v>
      </c>
    </row>
    <row r="6" spans="2:14" ht="15" customHeight="1" x14ac:dyDescent="0.3">
      <c r="B6" s="113" t="s">
        <v>10</v>
      </c>
      <c r="C6" s="111">
        <v>5054</v>
      </c>
      <c r="D6" s="111">
        <v>294</v>
      </c>
      <c r="E6" s="111">
        <v>9</v>
      </c>
      <c r="F6" s="111">
        <v>79</v>
      </c>
      <c r="G6" s="111">
        <v>642</v>
      </c>
      <c r="H6" s="111">
        <v>12</v>
      </c>
      <c r="I6" s="111">
        <v>67</v>
      </c>
      <c r="J6" s="111">
        <v>139</v>
      </c>
      <c r="K6" s="111">
        <v>216</v>
      </c>
      <c r="L6" s="111">
        <v>6512</v>
      </c>
      <c r="M6" s="111">
        <v>1252</v>
      </c>
      <c r="N6" s="115">
        <v>0.198541</v>
      </c>
    </row>
    <row r="7" spans="2:14" ht="15" customHeight="1" x14ac:dyDescent="0.3">
      <c r="B7" s="129" t="s">
        <v>11</v>
      </c>
      <c r="C7" s="130">
        <v>2</v>
      </c>
      <c r="D7" s="130">
        <v>53</v>
      </c>
      <c r="E7" s="130">
        <v>1</v>
      </c>
      <c r="F7" s="130">
        <v>9</v>
      </c>
      <c r="G7" s="130">
        <v>532</v>
      </c>
      <c r="H7" s="130">
        <v>0</v>
      </c>
      <c r="I7" s="130">
        <v>0</v>
      </c>
      <c r="J7" s="130">
        <v>11</v>
      </c>
      <c r="K7" s="130">
        <v>34</v>
      </c>
      <c r="L7" s="130">
        <v>642</v>
      </c>
      <c r="M7" s="130">
        <v>629</v>
      </c>
      <c r="N7" s="131">
        <v>0.99682999999999999</v>
      </c>
    </row>
    <row r="8" spans="2:14" ht="15" customHeight="1" x14ac:dyDescent="0.3">
      <c r="B8" s="129" t="s">
        <v>12</v>
      </c>
      <c r="C8" s="130">
        <v>3175</v>
      </c>
      <c r="D8" s="130">
        <v>136</v>
      </c>
      <c r="E8" s="130">
        <v>7</v>
      </c>
      <c r="F8" s="130">
        <v>56</v>
      </c>
      <c r="G8" s="130">
        <v>287</v>
      </c>
      <c r="H8" s="130">
        <v>0</v>
      </c>
      <c r="I8" s="130">
        <v>24</v>
      </c>
      <c r="J8" s="130">
        <v>173</v>
      </c>
      <c r="K8" s="130">
        <v>64</v>
      </c>
      <c r="L8" s="130">
        <v>3922</v>
      </c>
      <c r="M8" s="130">
        <v>550</v>
      </c>
      <c r="N8" s="131">
        <v>0.147651</v>
      </c>
    </row>
    <row r="9" spans="2:14" ht="15" customHeight="1" x14ac:dyDescent="0.3">
      <c r="B9" s="129" t="s">
        <v>13</v>
      </c>
      <c r="C9" s="130">
        <v>2929</v>
      </c>
      <c r="D9" s="130">
        <v>767</v>
      </c>
      <c r="E9" s="130">
        <v>8</v>
      </c>
      <c r="F9" s="130">
        <v>93</v>
      </c>
      <c r="G9" s="130">
        <v>896</v>
      </c>
      <c r="H9" s="130">
        <v>11</v>
      </c>
      <c r="I9" s="130">
        <v>53</v>
      </c>
      <c r="J9" s="130">
        <v>198</v>
      </c>
      <c r="K9" s="130">
        <v>181</v>
      </c>
      <c r="L9" s="130">
        <v>5136</v>
      </c>
      <c r="M9" s="130">
        <v>1956</v>
      </c>
      <c r="N9" s="131">
        <v>0.40040900000000001</v>
      </c>
    </row>
    <row r="10" spans="2:14" ht="15" customHeight="1" x14ac:dyDescent="0.3">
      <c r="B10" s="129" t="s">
        <v>14</v>
      </c>
      <c r="C10" s="130">
        <v>3297</v>
      </c>
      <c r="D10" s="130">
        <v>182</v>
      </c>
      <c r="E10" s="130">
        <v>12</v>
      </c>
      <c r="F10" s="130">
        <v>33</v>
      </c>
      <c r="G10" s="130">
        <v>241</v>
      </c>
      <c r="H10" s="130">
        <v>6</v>
      </c>
      <c r="I10" s="130">
        <v>54</v>
      </c>
      <c r="J10" s="130">
        <v>212</v>
      </c>
      <c r="K10" s="130">
        <v>6</v>
      </c>
      <c r="L10" s="130">
        <v>4043</v>
      </c>
      <c r="M10" s="130">
        <v>480</v>
      </c>
      <c r="N10" s="131">
        <v>0.127084</v>
      </c>
    </row>
    <row r="11" spans="2:14" ht="15" customHeight="1" x14ac:dyDescent="0.3">
      <c r="B11" s="129" t="s">
        <v>15</v>
      </c>
      <c r="C11" s="130">
        <v>6893</v>
      </c>
      <c r="D11" s="130">
        <v>412</v>
      </c>
      <c r="E11" s="130">
        <v>37</v>
      </c>
      <c r="F11" s="130">
        <v>126</v>
      </c>
      <c r="G11" s="130">
        <v>877</v>
      </c>
      <c r="H11" s="130">
        <v>1</v>
      </c>
      <c r="I11" s="130">
        <v>395</v>
      </c>
      <c r="J11" s="130">
        <v>222</v>
      </c>
      <c r="K11" s="130">
        <v>345</v>
      </c>
      <c r="L11" s="130">
        <v>9308</v>
      </c>
      <c r="M11" s="130">
        <v>1798</v>
      </c>
      <c r="N11" s="131">
        <v>0.20688000000000001</v>
      </c>
    </row>
    <row r="12" spans="2:14" ht="15" customHeight="1" x14ac:dyDescent="0.3">
      <c r="B12" s="129" t="s">
        <v>16</v>
      </c>
      <c r="C12" s="130">
        <v>5621</v>
      </c>
      <c r="D12" s="130">
        <v>727</v>
      </c>
      <c r="E12" s="130">
        <v>17</v>
      </c>
      <c r="F12" s="130">
        <v>156</v>
      </c>
      <c r="G12" s="130">
        <v>574</v>
      </c>
      <c r="H12" s="130">
        <v>2</v>
      </c>
      <c r="I12" s="130">
        <v>59</v>
      </c>
      <c r="J12" s="130">
        <v>278</v>
      </c>
      <c r="K12" s="130">
        <v>241</v>
      </c>
      <c r="L12" s="130">
        <v>7675</v>
      </c>
      <c r="M12" s="130">
        <v>1717</v>
      </c>
      <c r="N12" s="131">
        <v>0.233987</v>
      </c>
    </row>
    <row r="13" spans="2:14" ht="15" customHeight="1" x14ac:dyDescent="0.3">
      <c r="B13" s="129" t="s">
        <v>17</v>
      </c>
      <c r="C13" s="130">
        <v>2496</v>
      </c>
      <c r="D13" s="130">
        <v>109</v>
      </c>
      <c r="E13" s="130">
        <v>11</v>
      </c>
      <c r="F13" s="130">
        <v>38</v>
      </c>
      <c r="G13" s="130">
        <v>184</v>
      </c>
      <c r="H13" s="130">
        <v>3</v>
      </c>
      <c r="I13" s="130">
        <v>16</v>
      </c>
      <c r="J13" s="130">
        <v>49</v>
      </c>
      <c r="K13" s="130">
        <v>14</v>
      </c>
      <c r="L13" s="130">
        <v>2920</v>
      </c>
      <c r="M13" s="130">
        <v>359</v>
      </c>
      <c r="N13" s="131">
        <v>0.12574399999999999</v>
      </c>
    </row>
    <row r="14" spans="2:14" ht="15" customHeight="1" x14ac:dyDescent="0.3">
      <c r="B14" s="129" t="s">
        <v>18</v>
      </c>
      <c r="C14" s="130">
        <v>1417</v>
      </c>
      <c r="D14" s="130">
        <v>84</v>
      </c>
      <c r="E14" s="130">
        <v>1</v>
      </c>
      <c r="F14" s="130">
        <v>14</v>
      </c>
      <c r="G14" s="130">
        <v>143</v>
      </c>
      <c r="H14" s="130">
        <v>1</v>
      </c>
      <c r="I14" s="130">
        <v>15</v>
      </c>
      <c r="J14" s="130">
        <v>65</v>
      </c>
      <c r="K14" s="130">
        <v>63</v>
      </c>
      <c r="L14" s="130">
        <v>1803</v>
      </c>
      <c r="M14" s="130">
        <v>306</v>
      </c>
      <c r="N14" s="131">
        <v>0.177597</v>
      </c>
    </row>
    <row r="15" spans="2:14" ht="15" customHeight="1" x14ac:dyDescent="0.3">
      <c r="B15" s="129" t="s">
        <v>19</v>
      </c>
      <c r="C15" s="130">
        <v>5518</v>
      </c>
      <c r="D15" s="130">
        <v>701</v>
      </c>
      <c r="E15" s="130">
        <v>22</v>
      </c>
      <c r="F15" s="130">
        <v>209</v>
      </c>
      <c r="G15" s="130">
        <v>546</v>
      </c>
      <c r="H15" s="130">
        <v>8</v>
      </c>
      <c r="I15" s="130">
        <v>59</v>
      </c>
      <c r="J15" s="130">
        <v>70</v>
      </c>
      <c r="K15" s="130">
        <v>80</v>
      </c>
      <c r="L15" s="130">
        <v>7213</v>
      </c>
      <c r="M15" s="130">
        <v>1566</v>
      </c>
      <c r="N15" s="131">
        <v>0.22106100000000001</v>
      </c>
    </row>
    <row r="16" spans="2:14" x14ac:dyDescent="0.3">
      <c r="B16" s="129" t="s">
        <v>20</v>
      </c>
      <c r="C16" s="130">
        <v>4110</v>
      </c>
      <c r="D16" s="130">
        <v>359</v>
      </c>
      <c r="E16" s="130">
        <v>7</v>
      </c>
      <c r="F16" s="130">
        <v>92</v>
      </c>
      <c r="G16" s="130">
        <v>734</v>
      </c>
      <c r="H16" s="130">
        <v>0</v>
      </c>
      <c r="I16" s="130">
        <v>77</v>
      </c>
      <c r="J16" s="130">
        <v>44</v>
      </c>
      <c r="K16" s="130">
        <v>245</v>
      </c>
      <c r="L16" s="130">
        <v>5668</v>
      </c>
      <c r="M16" s="130">
        <v>1437</v>
      </c>
      <c r="N16" s="131">
        <v>0.25905800000000001</v>
      </c>
    </row>
    <row r="17" spans="2:14" x14ac:dyDescent="0.3">
      <c r="B17" s="127" t="s">
        <v>21</v>
      </c>
      <c r="C17" s="128">
        <v>7124</v>
      </c>
      <c r="D17" s="128">
        <v>213</v>
      </c>
      <c r="E17" s="128">
        <v>15</v>
      </c>
      <c r="F17" s="128">
        <v>91</v>
      </c>
      <c r="G17" s="128">
        <v>344</v>
      </c>
      <c r="H17" s="128">
        <v>5</v>
      </c>
      <c r="I17" s="128">
        <v>150</v>
      </c>
      <c r="J17" s="128">
        <v>193</v>
      </c>
      <c r="K17" s="128">
        <v>289</v>
      </c>
      <c r="L17" s="128">
        <v>8424</v>
      </c>
      <c r="M17" s="128">
        <v>957</v>
      </c>
      <c r="N17" s="147">
        <v>0.118425</v>
      </c>
    </row>
    <row r="18" spans="2:14" x14ac:dyDescent="0.3">
      <c r="B18" s="127" t="s">
        <v>22</v>
      </c>
      <c r="C18" s="128">
        <v>12892</v>
      </c>
      <c r="D18" s="128">
        <v>1112</v>
      </c>
      <c r="E18" s="128">
        <v>32</v>
      </c>
      <c r="F18" s="128">
        <v>535</v>
      </c>
      <c r="G18" s="128">
        <v>2058</v>
      </c>
      <c r="H18" s="128">
        <v>0</v>
      </c>
      <c r="I18" s="128">
        <v>74</v>
      </c>
      <c r="J18" s="128">
        <v>379</v>
      </c>
      <c r="K18" s="128">
        <v>558</v>
      </c>
      <c r="L18" s="128">
        <v>17640</v>
      </c>
      <c r="M18" s="128">
        <v>4295</v>
      </c>
      <c r="N18" s="147">
        <v>0.24989800000000001</v>
      </c>
    </row>
    <row r="19" spans="2:14" x14ac:dyDescent="0.3">
      <c r="B19" s="151" t="s">
        <v>0</v>
      </c>
      <c r="C19" s="152">
        <f>SUBTOTAL(109,'Table 2'!$C$5:$C$18)</f>
        <v>66610</v>
      </c>
      <c r="D19" s="152">
        <f>SUBTOTAL(109,'Table 2'!$D$5:$D$18)</f>
        <v>5698</v>
      </c>
      <c r="E19" s="152">
        <f>SUBTOTAL(109,'Table 2'!$E$5:$E$18)</f>
        <v>207</v>
      </c>
      <c r="F19" s="152">
        <f>SUBTOTAL(109,'Table 2'!$F$5:$F$18)</f>
        <v>1644</v>
      </c>
      <c r="G19" s="152">
        <f>SUBTOTAL(109,'Table 2'!$G$5:$G$18)</f>
        <v>8478</v>
      </c>
      <c r="H19" s="152">
        <f>SUBTOTAL(109,'Table 2'!$H$5:$H$18)</f>
        <v>56</v>
      </c>
      <c r="I19" s="152">
        <f>SUBTOTAL(109,'Table 2'!$I$5:$I$18)</f>
        <v>1067</v>
      </c>
      <c r="J19" s="152">
        <f>SUBTOTAL(109,'Table 2'!$J$5:$J$18)</f>
        <v>2382</v>
      </c>
      <c r="K19" s="152">
        <f>SUBTOTAL(109,'Table 2'!$K$5:$K$18)</f>
        <v>2509</v>
      </c>
      <c r="L19" s="152">
        <f>SUBTOTAL(109,'Table 2'!$L$5:$L$18)</f>
        <v>88651</v>
      </c>
      <c r="M19" s="152">
        <f>SUBTOTAL(109,'Table 2'!$M$5:$M$18)</f>
        <v>18592</v>
      </c>
      <c r="N19" s="156">
        <f>('Table 2'!$D$19 +'Table 2'!$E$19 + 'Table 2'!$F$19 + 'Table 2'!$G$19 + 'Table 2'!$H$19 + 'Table 2'!$K$19) / ('Table 2'!$C$19 + 'Table 2'!$D$19 + 'Table 2'!$E$19 + 'Table 2'!$F$19 +'Table 2'!$G$19 + 'Table 2'!$H$19 +'Table 2'!$K$19)</f>
        <v>0.21821084012112391</v>
      </c>
    </row>
    <row r="20" spans="2:14" x14ac:dyDescent="0.3">
      <c r="B20" s="27" t="s">
        <v>25</v>
      </c>
      <c r="C20" s="77">
        <f>'Table 2'!$C$19 / 'Table 2'!$L$19</f>
        <v>0.75137336296262869</v>
      </c>
      <c r="D20" s="77">
        <f>'Table 2'!$D$19 / 'Table 2'!$L$19</f>
        <v>6.4274514669885277E-2</v>
      </c>
      <c r="E20" s="77">
        <f>'Table 2'!$E$19 /'Table 2'!$L$19</f>
        <v>2.3349990411839685E-3</v>
      </c>
      <c r="F20" s="77">
        <f>'Table 2'!$F$19 / 'Table 2'!$L$19</f>
        <v>1.8544630066214707E-2</v>
      </c>
      <c r="G20" s="77">
        <f>'Table 2'!$G$19 /'Table 2'!$L$19</f>
        <v>9.5633438991099926E-2</v>
      </c>
      <c r="H20" s="77">
        <f>'Table 2'!$H$19 /'Table 2'!$L$19</f>
        <v>6.3169056186619438E-4</v>
      </c>
      <c r="I20" s="77">
        <f>'Table 2'!$I$19 / 'Table 2'!$L$19</f>
        <v>1.2035961241271953E-2</v>
      </c>
      <c r="J20" s="77">
        <f>'Table 2'!$J$19 /'Table 2'!$L$19</f>
        <v>2.6869409256522769E-2</v>
      </c>
      <c r="K20" s="77">
        <f>'Table 2'!$K$19 /'Table 2'!$L$19</f>
        <v>2.830199320932646E-2</v>
      </c>
      <c r="L20" s="77"/>
      <c r="M20" s="77"/>
      <c r="N20" s="78"/>
    </row>
    <row r="21" spans="2:14" x14ac:dyDescent="0.3">
      <c r="B21" s="7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 spans="2:14" x14ac:dyDescent="0.3">
      <c r="B22" s="7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 spans="2:14" ht="15.5" x14ac:dyDescent="0.3">
      <c r="B23" s="201" t="str">
        <f>CONCATENATE("Headcount Enrollment of Undergraduate Students by University by Race, ",  IF(RIGHT(Parameters!B1,1)="1","Fall ","Spring "), IF(RIGHT(Parameters!B1,1)="1",LEFT(Parameters!B1,4),LEFT(Parameters!B1,4) + 1 ))</f>
        <v>Headcount Enrollment of Undergraduate Students by University by Race, Fall 2021</v>
      </c>
      <c r="C23" s="201"/>
      <c r="D23" s="201"/>
      <c r="E23" s="201"/>
      <c r="F23" s="201"/>
      <c r="G23" s="201"/>
      <c r="H23" s="201"/>
      <c r="I23" s="201"/>
      <c r="J23" s="201"/>
      <c r="K23" s="201"/>
      <c r="L23" s="201"/>
      <c r="M23" s="201"/>
      <c r="N23" s="201"/>
    </row>
    <row r="24" spans="2:14" ht="42" x14ac:dyDescent="0.3">
      <c r="B24" s="20" t="s">
        <v>8</v>
      </c>
      <c r="C24" s="20" t="s">
        <v>113</v>
      </c>
      <c r="D24" s="20" t="s">
        <v>114</v>
      </c>
      <c r="E24" s="20" t="s">
        <v>115</v>
      </c>
      <c r="F24" s="20" t="s">
        <v>116</v>
      </c>
      <c r="G24" s="20" t="s">
        <v>117</v>
      </c>
      <c r="H24" s="20" t="s">
        <v>118</v>
      </c>
      <c r="I24" s="20" t="s">
        <v>119</v>
      </c>
      <c r="J24" s="20" t="s">
        <v>120</v>
      </c>
      <c r="K24" s="20" t="s">
        <v>121</v>
      </c>
      <c r="L24" s="20" t="s">
        <v>23</v>
      </c>
      <c r="M24" s="20" t="s">
        <v>122</v>
      </c>
      <c r="N24" s="20" t="s">
        <v>123</v>
      </c>
    </row>
    <row r="25" spans="2:14" x14ac:dyDescent="0.3">
      <c r="B25" s="28" t="s">
        <v>9</v>
      </c>
      <c r="C25" s="79">
        <v>5494</v>
      </c>
      <c r="D25" s="79">
        <v>525</v>
      </c>
      <c r="E25" s="79">
        <v>28</v>
      </c>
      <c r="F25" s="79">
        <v>101</v>
      </c>
      <c r="G25" s="79">
        <v>405</v>
      </c>
      <c r="H25" s="79">
        <v>7</v>
      </c>
      <c r="I25" s="79">
        <v>20</v>
      </c>
      <c r="J25" s="79">
        <v>331</v>
      </c>
      <c r="K25" s="79">
        <v>158</v>
      </c>
      <c r="L25" s="79">
        <v>7069</v>
      </c>
      <c r="M25" s="79">
        <v>1224</v>
      </c>
      <c r="N25" s="80">
        <v>0.182197</v>
      </c>
    </row>
    <row r="26" spans="2:14" x14ac:dyDescent="0.3">
      <c r="B26" s="113" t="s">
        <v>10</v>
      </c>
      <c r="C26" s="114">
        <v>3421</v>
      </c>
      <c r="D26" s="114">
        <v>198</v>
      </c>
      <c r="E26" s="114">
        <v>5</v>
      </c>
      <c r="F26" s="114">
        <v>53</v>
      </c>
      <c r="G26" s="114">
        <v>484</v>
      </c>
      <c r="H26" s="114">
        <v>6</v>
      </c>
      <c r="I26" s="114">
        <v>41</v>
      </c>
      <c r="J26" s="114">
        <v>91</v>
      </c>
      <c r="K26" s="114">
        <v>167</v>
      </c>
      <c r="L26" s="114">
        <v>4466</v>
      </c>
      <c r="M26" s="114">
        <v>913</v>
      </c>
      <c r="N26" s="112">
        <v>0.21065900000000001</v>
      </c>
    </row>
    <row r="27" spans="2:14" x14ac:dyDescent="0.3">
      <c r="B27" s="129" t="s">
        <v>11</v>
      </c>
      <c r="C27" s="132">
        <v>2</v>
      </c>
      <c r="D27" s="132">
        <v>53</v>
      </c>
      <c r="E27" s="132">
        <v>1</v>
      </c>
      <c r="F27" s="132">
        <v>9</v>
      </c>
      <c r="G27" s="132">
        <v>532</v>
      </c>
      <c r="H27" s="132">
        <v>0</v>
      </c>
      <c r="I27" s="132">
        <v>0</v>
      </c>
      <c r="J27" s="132">
        <v>11</v>
      </c>
      <c r="K27" s="132">
        <v>34</v>
      </c>
      <c r="L27" s="132">
        <v>642</v>
      </c>
      <c r="M27" s="132">
        <v>629</v>
      </c>
      <c r="N27" s="133">
        <v>0.99682999999999999</v>
      </c>
    </row>
    <row r="28" spans="2:14" x14ac:dyDescent="0.3">
      <c r="B28" s="129" t="s">
        <v>12</v>
      </c>
      <c r="C28" s="132">
        <v>2559</v>
      </c>
      <c r="D28" s="132">
        <v>100</v>
      </c>
      <c r="E28" s="132">
        <v>5</v>
      </c>
      <c r="F28" s="132">
        <v>35</v>
      </c>
      <c r="G28" s="132">
        <v>249</v>
      </c>
      <c r="H28" s="132">
        <v>0</v>
      </c>
      <c r="I28" s="132">
        <v>16</v>
      </c>
      <c r="J28" s="132">
        <v>138</v>
      </c>
      <c r="K28" s="132">
        <v>54</v>
      </c>
      <c r="L28" s="132">
        <v>3156</v>
      </c>
      <c r="M28" s="132">
        <v>443</v>
      </c>
      <c r="N28" s="133">
        <v>0.147568</v>
      </c>
    </row>
    <row r="29" spans="2:14" x14ac:dyDescent="0.3">
      <c r="B29" s="129" t="s">
        <v>13</v>
      </c>
      <c r="C29" s="132">
        <v>2336</v>
      </c>
      <c r="D29" s="132">
        <v>701</v>
      </c>
      <c r="E29" s="132">
        <v>6</v>
      </c>
      <c r="F29" s="132">
        <v>82</v>
      </c>
      <c r="G29" s="132">
        <v>833</v>
      </c>
      <c r="H29" s="132">
        <v>11</v>
      </c>
      <c r="I29" s="132">
        <v>30</v>
      </c>
      <c r="J29" s="132">
        <v>166</v>
      </c>
      <c r="K29" s="132">
        <v>162</v>
      </c>
      <c r="L29" s="132">
        <v>4327</v>
      </c>
      <c r="M29" s="132">
        <v>1795</v>
      </c>
      <c r="N29" s="133">
        <v>0.43451899999999999</v>
      </c>
    </row>
    <row r="30" spans="2:14" x14ac:dyDescent="0.3">
      <c r="B30" s="129" t="s">
        <v>14</v>
      </c>
      <c r="C30" s="132">
        <v>2383</v>
      </c>
      <c r="D30" s="132">
        <v>122</v>
      </c>
      <c r="E30" s="132">
        <v>9</v>
      </c>
      <c r="F30" s="132">
        <v>22</v>
      </c>
      <c r="G30" s="132">
        <v>170</v>
      </c>
      <c r="H30" s="132">
        <v>3</v>
      </c>
      <c r="I30" s="132">
        <v>40</v>
      </c>
      <c r="J30" s="132">
        <v>185</v>
      </c>
      <c r="K30" s="132">
        <v>5</v>
      </c>
      <c r="L30" s="132">
        <v>2939</v>
      </c>
      <c r="M30" s="132">
        <v>331</v>
      </c>
      <c r="N30" s="133">
        <v>0.12196</v>
      </c>
    </row>
    <row r="31" spans="2:14" x14ac:dyDescent="0.3">
      <c r="B31" s="129" t="s">
        <v>15</v>
      </c>
      <c r="C31" s="132">
        <v>5506</v>
      </c>
      <c r="D31" s="132">
        <v>356</v>
      </c>
      <c r="E31" s="132">
        <v>33</v>
      </c>
      <c r="F31" s="132">
        <v>94</v>
      </c>
      <c r="G31" s="132">
        <v>757</v>
      </c>
      <c r="H31" s="132">
        <v>1</v>
      </c>
      <c r="I31" s="132">
        <v>109</v>
      </c>
      <c r="J31" s="132">
        <v>175</v>
      </c>
      <c r="K31" s="132">
        <v>312</v>
      </c>
      <c r="L31" s="132">
        <v>7343</v>
      </c>
      <c r="M31" s="132">
        <v>1553</v>
      </c>
      <c r="N31" s="133">
        <v>0.220002</v>
      </c>
    </row>
    <row r="32" spans="2:14" x14ac:dyDescent="0.3">
      <c r="B32" s="129" t="s">
        <v>16</v>
      </c>
      <c r="C32" s="132">
        <v>4844</v>
      </c>
      <c r="D32" s="132">
        <v>655</v>
      </c>
      <c r="E32" s="132">
        <v>16</v>
      </c>
      <c r="F32" s="132">
        <v>139</v>
      </c>
      <c r="G32" s="132">
        <v>520</v>
      </c>
      <c r="H32" s="132">
        <v>1</v>
      </c>
      <c r="I32" s="132">
        <v>50</v>
      </c>
      <c r="J32" s="132">
        <v>255</v>
      </c>
      <c r="K32" s="132">
        <v>217</v>
      </c>
      <c r="L32" s="132">
        <v>6697</v>
      </c>
      <c r="M32" s="132">
        <v>1548</v>
      </c>
      <c r="N32" s="133">
        <v>0.242177</v>
      </c>
    </row>
    <row r="33" spans="2:14" x14ac:dyDescent="0.3">
      <c r="B33" s="129" t="s">
        <v>17</v>
      </c>
      <c r="C33" s="132">
        <v>2109</v>
      </c>
      <c r="D33" s="132">
        <v>89</v>
      </c>
      <c r="E33" s="132">
        <v>9</v>
      </c>
      <c r="F33" s="132">
        <v>26</v>
      </c>
      <c r="G33" s="132">
        <v>160</v>
      </c>
      <c r="H33" s="132">
        <v>1</v>
      </c>
      <c r="I33" s="132">
        <v>16</v>
      </c>
      <c r="J33" s="132">
        <v>46</v>
      </c>
      <c r="K33" s="132">
        <v>10</v>
      </c>
      <c r="L33" s="132">
        <v>2466</v>
      </c>
      <c r="M33" s="132">
        <v>295</v>
      </c>
      <c r="N33" s="133">
        <v>0.122712</v>
      </c>
    </row>
    <row r="34" spans="2:14" x14ac:dyDescent="0.3">
      <c r="B34" s="129" t="s">
        <v>18</v>
      </c>
      <c r="C34" s="132">
        <v>1405</v>
      </c>
      <c r="D34" s="132">
        <v>84</v>
      </c>
      <c r="E34" s="132">
        <v>1</v>
      </c>
      <c r="F34" s="132">
        <v>14</v>
      </c>
      <c r="G34" s="132">
        <v>142</v>
      </c>
      <c r="H34" s="132">
        <v>1</v>
      </c>
      <c r="I34" s="132">
        <v>15</v>
      </c>
      <c r="J34" s="132">
        <v>65</v>
      </c>
      <c r="K34" s="132">
        <v>63</v>
      </c>
      <c r="L34" s="132">
        <v>1790</v>
      </c>
      <c r="M34" s="132">
        <v>305</v>
      </c>
      <c r="N34" s="133">
        <v>0.17836199999999999</v>
      </c>
    </row>
    <row r="35" spans="2:14" x14ac:dyDescent="0.3">
      <c r="B35" s="129" t="s">
        <v>19</v>
      </c>
      <c r="C35" s="132">
        <v>4703</v>
      </c>
      <c r="D35" s="132">
        <v>643</v>
      </c>
      <c r="E35" s="132">
        <v>22</v>
      </c>
      <c r="F35" s="132">
        <v>199</v>
      </c>
      <c r="G35" s="132">
        <v>505</v>
      </c>
      <c r="H35" s="132">
        <v>7</v>
      </c>
      <c r="I35" s="132">
        <v>49</v>
      </c>
      <c r="J35" s="132">
        <v>63</v>
      </c>
      <c r="K35" s="132">
        <v>66</v>
      </c>
      <c r="L35" s="132">
        <v>6257</v>
      </c>
      <c r="M35" s="132">
        <v>1442</v>
      </c>
      <c r="N35" s="133">
        <v>0.23466200000000001</v>
      </c>
    </row>
    <row r="36" spans="2:14" x14ac:dyDescent="0.3">
      <c r="B36" s="129" t="s">
        <v>20</v>
      </c>
      <c r="C36" s="132">
        <v>3494</v>
      </c>
      <c r="D36" s="132">
        <v>322</v>
      </c>
      <c r="E36" s="132">
        <v>5</v>
      </c>
      <c r="F36" s="132">
        <v>74</v>
      </c>
      <c r="G36" s="132">
        <v>688</v>
      </c>
      <c r="H36" s="132">
        <v>0</v>
      </c>
      <c r="I36" s="132">
        <v>56</v>
      </c>
      <c r="J36" s="132">
        <v>37</v>
      </c>
      <c r="K36" s="132">
        <v>225</v>
      </c>
      <c r="L36" s="132">
        <v>4901</v>
      </c>
      <c r="M36" s="132">
        <v>1314</v>
      </c>
      <c r="N36" s="133">
        <v>0.27329399999999998</v>
      </c>
    </row>
    <row r="37" spans="2:14" x14ac:dyDescent="0.3">
      <c r="B37" s="127" t="s">
        <v>21</v>
      </c>
      <c r="C37" s="148">
        <v>5819</v>
      </c>
      <c r="D37" s="148">
        <v>178</v>
      </c>
      <c r="E37" s="148">
        <v>14</v>
      </c>
      <c r="F37" s="148">
        <v>72</v>
      </c>
      <c r="G37" s="148">
        <v>294</v>
      </c>
      <c r="H37" s="148">
        <v>5</v>
      </c>
      <c r="I37" s="148">
        <v>146</v>
      </c>
      <c r="J37" s="148">
        <v>144</v>
      </c>
      <c r="K37" s="148">
        <v>248</v>
      </c>
      <c r="L37" s="148">
        <v>6920</v>
      </c>
      <c r="M37" s="148">
        <v>811</v>
      </c>
      <c r="N37" s="149">
        <v>0.122322</v>
      </c>
    </row>
    <row r="38" spans="2:14" x14ac:dyDescent="0.3">
      <c r="B38" s="127" t="s">
        <v>22</v>
      </c>
      <c r="C38" s="148">
        <v>10628</v>
      </c>
      <c r="D38" s="148">
        <v>958</v>
      </c>
      <c r="E38" s="148">
        <v>25</v>
      </c>
      <c r="F38" s="148">
        <v>429</v>
      </c>
      <c r="G38" s="148">
        <v>1621</v>
      </c>
      <c r="H38" s="148">
        <v>0</v>
      </c>
      <c r="I38" s="148">
        <v>33</v>
      </c>
      <c r="J38" s="148">
        <v>293</v>
      </c>
      <c r="K38" s="148">
        <v>488</v>
      </c>
      <c r="L38" s="148">
        <v>14475</v>
      </c>
      <c r="M38" s="148">
        <v>3521</v>
      </c>
      <c r="N38" s="149">
        <v>0.24885099999999999</v>
      </c>
    </row>
    <row r="39" spans="2:14" x14ac:dyDescent="0.3">
      <c r="B39" s="151" t="s">
        <v>0</v>
      </c>
      <c r="C39" s="157">
        <f>SUBTOTAL(109,'Table 2'!$C$25:$C$38)</f>
        <v>54703</v>
      </c>
      <c r="D39" s="157">
        <f>SUBTOTAL(109,'Table 2'!$D$25:$D$38)</f>
        <v>4984</v>
      </c>
      <c r="E39" s="157">
        <f>SUBTOTAL(109,'Table 2'!$E$25:$E$38)</f>
        <v>179</v>
      </c>
      <c r="F39" s="157">
        <f>SUBTOTAL(109,'Table 2'!$F$25:$F$38)</f>
        <v>1349</v>
      </c>
      <c r="G39" s="157">
        <f>SUBTOTAL(109,'Table 2'!$G$25:$G$38)</f>
        <v>7360</v>
      </c>
      <c r="H39" s="157">
        <f>SUBTOTAL(109,'Table 2'!$H$25:$H$38)</f>
        <v>43</v>
      </c>
      <c r="I39" s="157">
        <f>SUBTOTAL(109,'Table 2'!$I$25:$I$38)</f>
        <v>621</v>
      </c>
      <c r="J39" s="157">
        <f>SUBTOTAL(109,'Table 2'!$J$25:$J$38)</f>
        <v>2000</v>
      </c>
      <c r="K39" s="157">
        <f>SUBTOTAL(109,'Table 2'!$K$25:$K$38)</f>
        <v>2209</v>
      </c>
      <c r="L39" s="157">
        <f>SUBTOTAL(109,'Table 2'!$L$25:$L$38)</f>
        <v>73448</v>
      </c>
      <c r="M39" s="157">
        <f>SUBTOTAL(109,'Table 2'!$M$25:$M$38)</f>
        <v>16124</v>
      </c>
      <c r="N39" s="156">
        <f>('Table 2'!$D$39 +'Table 2'!$E$39 + 'Table 2'!$F$39 + 'Table 2'!$G$39 + 'Table 2'!$H$39 + 'Table 2'!$K$39) / ('Table 2'!$C$39 + 'Table 2'!$D$39 + 'Table 2'!$E$39 + 'Table 2'!$F$39 +'Table 2'!$G$39 + 'Table 2'!$H$39 +'Table 2'!$K$39)</f>
        <v>0.22765329605941237</v>
      </c>
    </row>
    <row r="40" spans="2:14" x14ac:dyDescent="0.3">
      <c r="B40" s="27" t="s">
        <v>25</v>
      </c>
      <c r="C40" s="81">
        <f>'Table 2'!$C$39 / 'Table 2'!$L$39</f>
        <v>0.74478542642413681</v>
      </c>
      <c r="D40" s="81">
        <f>'Table 2'!$D$39 / 'Table 2'!$L$39</f>
        <v>6.7857531859274595E-2</v>
      </c>
      <c r="E40" s="81">
        <f>'Table 2'!$E$39 /'Table 2'!$L$39</f>
        <v>2.4370983552989872E-3</v>
      </c>
      <c r="F40" s="81">
        <f>'Table 2'!$F$39 / 'Table 2'!$L$39</f>
        <v>1.836673564971136E-2</v>
      </c>
      <c r="G40" s="81">
        <f>'Table 2'!$G$39 /'Table 2'!$L$39</f>
        <v>0.10020694913408125</v>
      </c>
      <c r="H40" s="81">
        <f>'Table 2'!$H$39 /'Table 2'!$L$39</f>
        <v>5.854482082561812E-4</v>
      </c>
      <c r="I40" s="81">
        <f>'Table 2'!$I$39 / 'Table 2'!$L$39</f>
        <v>8.454961333188106E-3</v>
      </c>
      <c r="J40" s="81">
        <f>'Table 2'!$J$39 /'Table 2'!$L$39</f>
        <v>2.7230149221217734E-2</v>
      </c>
      <c r="K40" s="81">
        <f>'Table 2'!$K$39 /'Table 2'!$L$39</f>
        <v>3.0075699814834985E-2</v>
      </c>
      <c r="L40" s="81"/>
      <c r="M40" s="81"/>
      <c r="N40" s="82"/>
    </row>
    <row r="41" spans="2:14" x14ac:dyDescent="0.3">
      <c r="B41" s="7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2:14" x14ac:dyDescent="0.3">
      <c r="B42" s="7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2:14" ht="15.5" x14ac:dyDescent="0.3">
      <c r="B43" s="201" t="str">
        <f>CONCATENATE("Headcount Enrollment of Graduate Students by University by Race, ", IF(RIGHT(Parameters!B1,1)="1","Fall ","Spring "), IF(RIGHT(Parameters!B1,1)="1",LEFT(Parameters!B1,4),LEFT(Parameters!B1,4) + 1 ))</f>
        <v>Headcount Enrollment of Graduate Students by University by Race, Fall 2021</v>
      </c>
      <c r="C43" s="201"/>
      <c r="D43" s="201"/>
      <c r="E43" s="201"/>
      <c r="F43" s="201"/>
      <c r="G43" s="201"/>
      <c r="H43" s="201"/>
      <c r="I43" s="201"/>
      <c r="J43" s="201"/>
      <c r="K43" s="201"/>
      <c r="L43" s="201"/>
      <c r="M43" s="201"/>
      <c r="N43" s="201"/>
    </row>
    <row r="44" spans="2:14" ht="42" x14ac:dyDescent="0.3">
      <c r="B44" s="20" t="s">
        <v>8</v>
      </c>
      <c r="C44" s="20" t="s">
        <v>113</v>
      </c>
      <c r="D44" s="20" t="s">
        <v>114</v>
      </c>
      <c r="E44" s="20" t="s">
        <v>115</v>
      </c>
      <c r="F44" s="20" t="s">
        <v>116</v>
      </c>
      <c r="G44" s="20" t="s">
        <v>117</v>
      </c>
      <c r="H44" s="20" t="s">
        <v>118</v>
      </c>
      <c r="I44" s="20" t="s">
        <v>119</v>
      </c>
      <c r="J44" s="20" t="s">
        <v>120</v>
      </c>
      <c r="K44" s="20" t="s">
        <v>121</v>
      </c>
      <c r="L44" s="20" t="s">
        <v>23</v>
      </c>
      <c r="M44" s="20" t="s">
        <v>122</v>
      </c>
      <c r="N44" s="20" t="s">
        <v>123</v>
      </c>
    </row>
    <row r="45" spans="2:14" x14ac:dyDescent="0.3">
      <c r="B45" s="28" t="s">
        <v>9</v>
      </c>
      <c r="C45" s="75">
        <v>588</v>
      </c>
      <c r="D45" s="75">
        <v>24</v>
      </c>
      <c r="E45" s="75">
        <v>0</v>
      </c>
      <c r="F45" s="75">
        <v>12</v>
      </c>
      <c r="G45" s="75">
        <v>15</v>
      </c>
      <c r="H45" s="75">
        <v>0</v>
      </c>
      <c r="I45" s="75">
        <v>4</v>
      </c>
      <c r="J45" s="75">
        <v>18</v>
      </c>
      <c r="K45" s="75">
        <v>15</v>
      </c>
      <c r="L45" s="75">
        <v>676</v>
      </c>
      <c r="M45" s="75">
        <v>66</v>
      </c>
      <c r="N45" s="76">
        <v>0.10091700000000001</v>
      </c>
    </row>
    <row r="46" spans="2:14" x14ac:dyDescent="0.3">
      <c r="B46" s="113" t="s">
        <v>10</v>
      </c>
      <c r="C46" s="111">
        <v>1633</v>
      </c>
      <c r="D46" s="111">
        <v>96</v>
      </c>
      <c r="E46" s="111">
        <v>4</v>
      </c>
      <c r="F46" s="111">
        <v>26</v>
      </c>
      <c r="G46" s="111">
        <v>158</v>
      </c>
      <c r="H46" s="111">
        <v>6</v>
      </c>
      <c r="I46" s="111">
        <v>26</v>
      </c>
      <c r="J46" s="111">
        <v>48</v>
      </c>
      <c r="K46" s="111">
        <v>49</v>
      </c>
      <c r="L46" s="111">
        <v>2046</v>
      </c>
      <c r="M46" s="111">
        <v>339</v>
      </c>
      <c r="N46" s="115">
        <v>0.171906</v>
      </c>
    </row>
    <row r="47" spans="2:14" x14ac:dyDescent="0.3">
      <c r="B47" s="129" t="s">
        <v>12</v>
      </c>
      <c r="C47" s="130">
        <v>616</v>
      </c>
      <c r="D47" s="130">
        <v>36</v>
      </c>
      <c r="E47" s="130">
        <v>2</v>
      </c>
      <c r="F47" s="130">
        <v>21</v>
      </c>
      <c r="G47" s="130">
        <v>38</v>
      </c>
      <c r="H47" s="130">
        <v>0</v>
      </c>
      <c r="I47" s="130">
        <v>8</v>
      </c>
      <c r="J47" s="130">
        <v>35</v>
      </c>
      <c r="K47" s="130">
        <v>10</v>
      </c>
      <c r="L47" s="130">
        <v>766</v>
      </c>
      <c r="M47" s="130">
        <v>107</v>
      </c>
      <c r="N47" s="131">
        <v>0.14799399999999999</v>
      </c>
    </row>
    <row r="48" spans="2:14" x14ac:dyDescent="0.3">
      <c r="B48" s="129" t="s">
        <v>13</v>
      </c>
      <c r="C48" s="130">
        <v>593</v>
      </c>
      <c r="D48" s="130">
        <v>66</v>
      </c>
      <c r="E48" s="130">
        <v>2</v>
      </c>
      <c r="F48" s="130">
        <v>11</v>
      </c>
      <c r="G48" s="130">
        <v>63</v>
      </c>
      <c r="H48" s="130">
        <v>0</v>
      </c>
      <c r="I48" s="130">
        <v>23</v>
      </c>
      <c r="J48" s="130">
        <v>32</v>
      </c>
      <c r="K48" s="130">
        <v>19</v>
      </c>
      <c r="L48" s="130">
        <v>809</v>
      </c>
      <c r="M48" s="130">
        <v>161</v>
      </c>
      <c r="N48" s="131">
        <v>0.21352699999999999</v>
      </c>
    </row>
    <row r="49" spans="2:14" x14ac:dyDescent="0.3">
      <c r="B49" s="129" t="s">
        <v>14</v>
      </c>
      <c r="C49" s="130">
        <v>914</v>
      </c>
      <c r="D49" s="130">
        <v>60</v>
      </c>
      <c r="E49" s="130">
        <v>3</v>
      </c>
      <c r="F49" s="130">
        <v>11</v>
      </c>
      <c r="G49" s="130">
        <v>71</v>
      </c>
      <c r="H49" s="130">
        <v>3</v>
      </c>
      <c r="I49" s="130">
        <v>14</v>
      </c>
      <c r="J49" s="130">
        <v>27</v>
      </c>
      <c r="K49" s="130">
        <v>1</v>
      </c>
      <c r="L49" s="130">
        <v>1104</v>
      </c>
      <c r="M49" s="130">
        <v>149</v>
      </c>
      <c r="N49" s="131">
        <v>0.14016899999999999</v>
      </c>
    </row>
    <row r="50" spans="2:14" x14ac:dyDescent="0.3">
      <c r="B50" s="129" t="s">
        <v>15</v>
      </c>
      <c r="C50" s="130">
        <v>1387</v>
      </c>
      <c r="D50" s="130">
        <v>56</v>
      </c>
      <c r="E50" s="130">
        <v>4</v>
      </c>
      <c r="F50" s="130">
        <v>32</v>
      </c>
      <c r="G50" s="130">
        <v>120</v>
      </c>
      <c r="H50" s="130">
        <v>0</v>
      </c>
      <c r="I50" s="130">
        <v>286</v>
      </c>
      <c r="J50" s="130">
        <v>47</v>
      </c>
      <c r="K50" s="130">
        <v>33</v>
      </c>
      <c r="L50" s="130">
        <v>1965</v>
      </c>
      <c r="M50" s="130">
        <v>245</v>
      </c>
      <c r="N50" s="131">
        <v>0.15012200000000001</v>
      </c>
    </row>
    <row r="51" spans="2:14" x14ac:dyDescent="0.3">
      <c r="B51" s="129" t="s">
        <v>16</v>
      </c>
      <c r="C51" s="130">
        <v>777</v>
      </c>
      <c r="D51" s="130">
        <v>72</v>
      </c>
      <c r="E51" s="130">
        <v>1</v>
      </c>
      <c r="F51" s="130">
        <v>17</v>
      </c>
      <c r="G51" s="130">
        <v>54</v>
      </c>
      <c r="H51" s="130">
        <v>1</v>
      </c>
      <c r="I51" s="130">
        <v>9</v>
      </c>
      <c r="J51" s="130">
        <v>23</v>
      </c>
      <c r="K51" s="130">
        <v>24</v>
      </c>
      <c r="L51" s="130">
        <v>978</v>
      </c>
      <c r="M51" s="130">
        <v>169</v>
      </c>
      <c r="N51" s="131">
        <v>0.178646</v>
      </c>
    </row>
    <row r="52" spans="2:14" x14ac:dyDescent="0.3">
      <c r="B52" s="129" t="s">
        <v>17</v>
      </c>
      <c r="C52" s="130">
        <v>387</v>
      </c>
      <c r="D52" s="130">
        <v>20</v>
      </c>
      <c r="E52" s="130">
        <v>2</v>
      </c>
      <c r="F52" s="130">
        <v>12</v>
      </c>
      <c r="G52" s="130">
        <v>24</v>
      </c>
      <c r="H52" s="130">
        <v>2</v>
      </c>
      <c r="I52" s="130">
        <v>0</v>
      </c>
      <c r="J52" s="130">
        <v>3</v>
      </c>
      <c r="K52" s="130">
        <v>4</v>
      </c>
      <c r="L52" s="130">
        <v>454</v>
      </c>
      <c r="M52" s="130">
        <v>64</v>
      </c>
      <c r="N52" s="131">
        <v>0.141906</v>
      </c>
    </row>
    <row r="53" spans="2:14" x14ac:dyDescent="0.3">
      <c r="B53" s="129" t="s">
        <v>18</v>
      </c>
      <c r="C53" s="130">
        <v>12</v>
      </c>
      <c r="D53" s="130">
        <v>0</v>
      </c>
      <c r="E53" s="130">
        <v>0</v>
      </c>
      <c r="F53" s="130">
        <v>0</v>
      </c>
      <c r="G53" s="130">
        <v>1</v>
      </c>
      <c r="H53" s="130">
        <v>0</v>
      </c>
      <c r="I53" s="130">
        <v>0</v>
      </c>
      <c r="J53" s="130">
        <v>0</v>
      </c>
      <c r="K53" s="130">
        <v>0</v>
      </c>
      <c r="L53" s="130">
        <v>13</v>
      </c>
      <c r="M53" s="130">
        <v>1</v>
      </c>
      <c r="N53" s="131">
        <v>7.6923000000000005E-2</v>
      </c>
    </row>
    <row r="54" spans="2:14" x14ac:dyDescent="0.3">
      <c r="B54" s="129" t="s">
        <v>19</v>
      </c>
      <c r="C54" s="130">
        <v>815</v>
      </c>
      <c r="D54" s="130">
        <v>58</v>
      </c>
      <c r="E54" s="130">
        <v>0</v>
      </c>
      <c r="F54" s="130">
        <v>10</v>
      </c>
      <c r="G54" s="130">
        <v>41</v>
      </c>
      <c r="H54" s="130">
        <v>1</v>
      </c>
      <c r="I54" s="130">
        <v>10</v>
      </c>
      <c r="J54" s="130">
        <v>7</v>
      </c>
      <c r="K54" s="130">
        <v>14</v>
      </c>
      <c r="L54" s="130">
        <v>956</v>
      </c>
      <c r="M54" s="130">
        <v>124</v>
      </c>
      <c r="N54" s="131">
        <v>0.13205500000000001</v>
      </c>
    </row>
    <row r="55" spans="2:14" x14ac:dyDescent="0.3">
      <c r="B55" s="129" t="s">
        <v>20</v>
      </c>
      <c r="C55" s="130">
        <v>616</v>
      </c>
      <c r="D55" s="130">
        <v>37</v>
      </c>
      <c r="E55" s="130">
        <v>2</v>
      </c>
      <c r="F55" s="130">
        <v>18</v>
      </c>
      <c r="G55" s="130">
        <v>46</v>
      </c>
      <c r="H55" s="130">
        <v>0</v>
      </c>
      <c r="I55" s="130">
        <v>21</v>
      </c>
      <c r="J55" s="130">
        <v>7</v>
      </c>
      <c r="K55" s="130">
        <v>20</v>
      </c>
      <c r="L55" s="130">
        <v>767</v>
      </c>
      <c r="M55" s="130">
        <v>123</v>
      </c>
      <c r="N55" s="131">
        <v>0.16644100000000001</v>
      </c>
    </row>
    <row r="56" spans="2:14" x14ac:dyDescent="0.3">
      <c r="B56" s="127" t="s">
        <v>21</v>
      </c>
      <c r="C56" s="128">
        <v>1305</v>
      </c>
      <c r="D56" s="128">
        <v>35</v>
      </c>
      <c r="E56" s="128">
        <v>1</v>
      </c>
      <c r="F56" s="128">
        <v>19</v>
      </c>
      <c r="G56" s="128">
        <v>50</v>
      </c>
      <c r="H56" s="128">
        <v>0</v>
      </c>
      <c r="I56" s="128">
        <v>4</v>
      </c>
      <c r="J56" s="128">
        <v>49</v>
      </c>
      <c r="K56" s="128">
        <v>41</v>
      </c>
      <c r="L56" s="128">
        <v>1504</v>
      </c>
      <c r="M56" s="128">
        <v>146</v>
      </c>
      <c r="N56" s="147">
        <v>0.10062</v>
      </c>
    </row>
    <row r="57" spans="2:14" x14ac:dyDescent="0.3">
      <c r="B57" s="127" t="s">
        <v>22</v>
      </c>
      <c r="C57" s="128">
        <v>2264</v>
      </c>
      <c r="D57" s="128">
        <v>154</v>
      </c>
      <c r="E57" s="128">
        <v>7</v>
      </c>
      <c r="F57" s="128">
        <v>106</v>
      </c>
      <c r="G57" s="128">
        <v>437</v>
      </c>
      <c r="H57" s="128">
        <v>0</v>
      </c>
      <c r="I57" s="128">
        <v>41</v>
      </c>
      <c r="J57" s="128">
        <v>86</v>
      </c>
      <c r="K57" s="128">
        <v>70</v>
      </c>
      <c r="L57" s="128">
        <v>3165</v>
      </c>
      <c r="M57" s="128">
        <v>774</v>
      </c>
      <c r="N57" s="147">
        <v>0.254772</v>
      </c>
    </row>
    <row r="58" spans="2:14" x14ac:dyDescent="0.3">
      <c r="B58" s="154" t="s">
        <v>0</v>
      </c>
      <c r="C58" s="155">
        <f>SUBTOTAL(109,'Table 2'!$C$45:$C$57)</f>
        <v>11907</v>
      </c>
      <c r="D58" s="155">
        <f>SUBTOTAL(109,'Table 2'!$D$45:$D$57)</f>
        <v>714</v>
      </c>
      <c r="E58" s="155">
        <f>SUBTOTAL(109,'Table 2'!$E$45:$E$57)</f>
        <v>28</v>
      </c>
      <c r="F58" s="155">
        <f>SUBTOTAL(109,'Table 2'!$F$45:$F$57)</f>
        <v>295</v>
      </c>
      <c r="G58" s="155">
        <f>SUBTOTAL(109,'Table 2'!$G$45:$G$57)</f>
        <v>1118</v>
      </c>
      <c r="H58" s="155">
        <f>SUBTOTAL(109,'Table 2'!$H$45:$H$57)</f>
        <v>13</v>
      </c>
      <c r="I58" s="155">
        <f>SUBTOTAL(109,'Table 2'!$I$45:$I$57)</f>
        <v>446</v>
      </c>
      <c r="J58" s="155">
        <f>SUBTOTAL(109,'Table 2'!$J$45:$J$57)</f>
        <v>382</v>
      </c>
      <c r="K58" s="155">
        <f>SUBTOTAL(109,'Table 2'!$K$45:$K$57)</f>
        <v>300</v>
      </c>
      <c r="L58" s="155">
        <f>SUBTOTAL(109,'Table 2'!$L$45:$L$57)</f>
        <v>15203</v>
      </c>
      <c r="M58" s="155">
        <f>SUBTOTAL(109,'Table 2'!$M$45:$M$57)</f>
        <v>2468</v>
      </c>
      <c r="N58" s="156">
        <f>('Table 2'!$D$58 +'Table 2'!$E$58 + 'Table 2'!$F$58 + 'Table 2'!$G$58 + 'Table 2'!$H$58 + 'Table 2'!$K$58) / ('Table 2'!$C$58 + 'Table 2'!$D$58 + 'Table 2'!$E$58 + 'Table 2'!$F$58 +'Table 2'!$G$58 + 'Table 2'!$H$58 +'Table 2'!$K$58)</f>
        <v>0.17168695652173913</v>
      </c>
    </row>
    <row r="59" spans="2:14" x14ac:dyDescent="0.3">
      <c r="B59" s="100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97"/>
    </row>
    <row r="60" spans="2:14" x14ac:dyDescent="0.3">
      <c r="B60" s="27" t="s">
        <v>25</v>
      </c>
      <c r="C60" s="77">
        <f>'Table 2'!$C$58 / 'Table 2'!$L$58</f>
        <v>0.78320068407551147</v>
      </c>
      <c r="D60" s="77">
        <f>'Table 2'!$D$58 / 'Table 2'!$L$58</f>
        <v>4.6964414918108266E-2</v>
      </c>
      <c r="E60" s="77">
        <f>'Table 2'!$E$58 /'Table 2'!$L$58</f>
        <v>1.841741761494442E-3</v>
      </c>
      <c r="F60" s="77">
        <f>'Table 2'!$F$58 / 'Table 2'!$L$58</f>
        <v>1.9404064987173585E-2</v>
      </c>
      <c r="G60" s="77">
        <f>'Table 2'!$G$58 /'Table 2'!$L$58</f>
        <v>7.3538117476813783E-2</v>
      </c>
      <c r="H60" s="77">
        <f>'Table 2'!$H$58 /'Table 2'!$L$58</f>
        <v>8.5509438926527662E-4</v>
      </c>
      <c r="I60" s="77">
        <f>'Table 2'!$I$58 / 'Table 2'!$L$58</f>
        <v>2.9336315200947181E-2</v>
      </c>
      <c r="J60" s="77">
        <f>'Table 2'!$J$58 /'Table 2'!$L$58</f>
        <v>2.5126619746102741E-2</v>
      </c>
      <c r="K60" s="77">
        <f>'Table 2'!$K$58 /'Table 2'!$L$58</f>
        <v>1.9732947444583305E-2</v>
      </c>
      <c r="L60" s="77"/>
      <c r="M60" s="77"/>
      <c r="N60" s="78"/>
    </row>
    <row r="61" spans="2:14" x14ac:dyDescent="0.3">
      <c r="B61" s="7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</row>
    <row r="62" spans="2:14" x14ac:dyDescent="0.3">
      <c r="B62" s="29" t="s">
        <v>26</v>
      </c>
      <c r="C62" s="9"/>
      <c r="D62" s="9"/>
      <c r="E62" s="9"/>
      <c r="F62" s="9"/>
      <c r="G62" s="9"/>
      <c r="H62" s="9"/>
    </row>
    <row r="63" spans="2:14" x14ac:dyDescent="0.3">
      <c r="B63" s="26" t="s">
        <v>6</v>
      </c>
      <c r="C63" s="6"/>
      <c r="D63" s="6"/>
      <c r="E63" s="6"/>
      <c r="F63" s="6"/>
      <c r="G63" s="6"/>
      <c r="H63" s="6"/>
    </row>
    <row r="64" spans="2:14" x14ac:dyDescent="0.3">
      <c r="B64" s="26" t="s">
        <v>7</v>
      </c>
    </row>
    <row r="65" spans="2:2" x14ac:dyDescent="0.3">
      <c r="B65" s="26" t="s">
        <v>107</v>
      </c>
    </row>
  </sheetData>
  <mergeCells count="5">
    <mergeCell ref="B2:N2"/>
    <mergeCell ref="B3:N3"/>
    <mergeCell ref="B23:N23"/>
    <mergeCell ref="B43:N43"/>
    <mergeCell ref="B1:N1"/>
  </mergeCells>
  <printOptions horizontalCentered="1"/>
  <pageMargins left="0.5" right="0.5" top="1" bottom="0.5" header="0.3" footer="0.3"/>
  <pageSetup scale="60" fitToHeight="0" orientation="landscape" r:id="rId1"/>
  <headerFooter>
    <oddHeader>&amp;L&amp;"Arial,Regular"&amp;10Pennsylvania's State System of Higher Education | &amp;D
Advanced Data Analytics | Page &amp;P of &amp;N</oddHeader>
  </headerFooter>
  <rowBreaks count="1" manualBreakCount="1">
    <brk id="42" min="1" max="1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B1:I23"/>
  <sheetViews>
    <sheetView showGridLines="0" topLeftCell="B1" zoomScaleNormal="100" workbookViewId="0">
      <selection activeCell="C28" sqref="C28"/>
    </sheetView>
  </sheetViews>
  <sheetFormatPr defaultColWidth="9.1796875" defaultRowHeight="14" x14ac:dyDescent="0.3"/>
  <cols>
    <col min="1" max="1" width="3.7265625" style="1" customWidth="1"/>
    <col min="2" max="2" width="23.54296875" style="1" customWidth="1"/>
    <col min="3" max="9" width="15.7265625" style="1" customWidth="1"/>
    <col min="10" max="16384" width="9.1796875" style="1"/>
  </cols>
  <sheetData>
    <row r="1" spans="2:9" ht="15.5" x14ac:dyDescent="0.35">
      <c r="B1" s="196" t="s">
        <v>100</v>
      </c>
      <c r="C1" s="196"/>
      <c r="D1" s="196"/>
      <c r="E1" s="196"/>
      <c r="F1" s="196"/>
      <c r="G1" s="196"/>
      <c r="H1" s="196"/>
      <c r="I1" s="196"/>
    </row>
    <row r="2" spans="2:9" ht="15.5" x14ac:dyDescent="0.35">
      <c r="B2" s="199" t="s">
        <v>29</v>
      </c>
      <c r="C2" s="199"/>
      <c r="D2" s="199"/>
      <c r="E2" s="199"/>
      <c r="F2" s="199"/>
      <c r="G2" s="199"/>
      <c r="H2" s="199"/>
      <c r="I2" s="199"/>
    </row>
    <row r="3" spans="2:9" ht="15.5" x14ac:dyDescent="0.35">
      <c r="B3" s="202" t="str">
        <f>CONCATENATE("Headcount Enrollment by University, Level and Status, ", IF(RIGHT(Parameters!B1,1)="1","Fall ","Spring "), IF(RIGHT(Parameters!B1,1)="1",LEFT(Parameters!B1,4),LEFT(Parameters!B1,4) + 1 ))</f>
        <v>Headcount Enrollment by University, Level and Status, Fall 2021</v>
      </c>
      <c r="C3" s="202"/>
      <c r="D3" s="202"/>
      <c r="E3" s="202"/>
      <c r="F3" s="202"/>
      <c r="G3" s="202"/>
      <c r="H3" s="202"/>
      <c r="I3" s="202"/>
    </row>
    <row r="4" spans="2:9" ht="33.65" customHeight="1" x14ac:dyDescent="0.3">
      <c r="B4" s="20" t="s">
        <v>8</v>
      </c>
      <c r="C4" s="20" t="s">
        <v>27</v>
      </c>
      <c r="D4" s="20" t="s">
        <v>28</v>
      </c>
      <c r="E4" s="20" t="s">
        <v>148</v>
      </c>
      <c r="F4" s="20" t="s">
        <v>149</v>
      </c>
      <c r="G4" s="20" t="s">
        <v>150</v>
      </c>
      <c r="H4" s="20" t="s">
        <v>151</v>
      </c>
      <c r="I4" s="20" t="s">
        <v>23</v>
      </c>
    </row>
    <row r="5" spans="2:9" x14ac:dyDescent="0.3">
      <c r="B5" s="30" t="s">
        <v>9</v>
      </c>
      <c r="C5" s="75">
        <v>7069</v>
      </c>
      <c r="D5" s="75">
        <v>676</v>
      </c>
      <c r="E5" s="61">
        <v>0.912717</v>
      </c>
      <c r="F5" s="75">
        <v>6684</v>
      </c>
      <c r="G5" s="75">
        <v>1061</v>
      </c>
      <c r="H5" s="61">
        <v>0.863008</v>
      </c>
      <c r="I5" s="75">
        <v>7745</v>
      </c>
    </row>
    <row r="6" spans="2:9" x14ac:dyDescent="0.3">
      <c r="B6" s="110" t="s">
        <v>10</v>
      </c>
      <c r="C6" s="111">
        <v>4466</v>
      </c>
      <c r="D6" s="111">
        <v>2046</v>
      </c>
      <c r="E6" s="109">
        <v>0.68581000000000003</v>
      </c>
      <c r="F6" s="111">
        <v>4341</v>
      </c>
      <c r="G6" s="111">
        <v>2171</v>
      </c>
      <c r="H6" s="109">
        <v>0.66661499999999996</v>
      </c>
      <c r="I6" s="111">
        <v>6512</v>
      </c>
    </row>
    <row r="7" spans="2:9" x14ac:dyDescent="0.3">
      <c r="B7" s="145" t="s">
        <v>11</v>
      </c>
      <c r="C7" s="130">
        <v>642</v>
      </c>
      <c r="D7" s="130">
        <v>0</v>
      </c>
      <c r="E7" s="137">
        <v>1</v>
      </c>
      <c r="F7" s="130">
        <v>593</v>
      </c>
      <c r="G7" s="130">
        <v>49</v>
      </c>
      <c r="H7" s="137">
        <v>0.92367600000000005</v>
      </c>
      <c r="I7" s="130">
        <v>642</v>
      </c>
    </row>
    <row r="8" spans="2:9" x14ac:dyDescent="0.3">
      <c r="B8" s="145" t="s">
        <v>12</v>
      </c>
      <c r="C8" s="130">
        <v>3156</v>
      </c>
      <c r="D8" s="130">
        <v>766</v>
      </c>
      <c r="E8" s="137">
        <v>0.80469100000000005</v>
      </c>
      <c r="F8" s="130">
        <v>2631</v>
      </c>
      <c r="G8" s="130">
        <v>1291</v>
      </c>
      <c r="H8" s="137">
        <v>0.67083099999999996</v>
      </c>
      <c r="I8" s="130">
        <v>3922</v>
      </c>
    </row>
    <row r="9" spans="2:9" x14ac:dyDescent="0.3">
      <c r="B9" s="145" t="s">
        <v>13</v>
      </c>
      <c r="C9" s="130">
        <v>4327</v>
      </c>
      <c r="D9" s="130">
        <v>809</v>
      </c>
      <c r="E9" s="137">
        <v>0.84248400000000001</v>
      </c>
      <c r="F9" s="130">
        <v>4097</v>
      </c>
      <c r="G9" s="130">
        <v>1039</v>
      </c>
      <c r="H9" s="137">
        <v>0.79770200000000002</v>
      </c>
      <c r="I9" s="130">
        <v>5136</v>
      </c>
    </row>
    <row r="10" spans="2:9" x14ac:dyDescent="0.3">
      <c r="B10" s="145" t="s">
        <v>14</v>
      </c>
      <c r="C10" s="130">
        <v>2939</v>
      </c>
      <c r="D10" s="130">
        <v>1104</v>
      </c>
      <c r="E10" s="137">
        <v>0.726935</v>
      </c>
      <c r="F10" s="130">
        <v>3113</v>
      </c>
      <c r="G10" s="130">
        <v>930</v>
      </c>
      <c r="H10" s="137">
        <v>0.76997199999999999</v>
      </c>
      <c r="I10" s="130">
        <v>4043</v>
      </c>
    </row>
    <row r="11" spans="2:9" x14ac:dyDescent="0.3">
      <c r="B11" s="145" t="s">
        <v>15</v>
      </c>
      <c r="C11" s="130">
        <v>7343</v>
      </c>
      <c r="D11" s="130">
        <v>1965</v>
      </c>
      <c r="E11" s="137">
        <v>0.78889100000000001</v>
      </c>
      <c r="F11" s="130">
        <v>7171</v>
      </c>
      <c r="G11" s="130">
        <v>2137</v>
      </c>
      <c r="H11" s="137">
        <v>0.77041199999999999</v>
      </c>
      <c r="I11" s="130">
        <v>9308</v>
      </c>
    </row>
    <row r="12" spans="2:9" x14ac:dyDescent="0.3">
      <c r="B12" s="145" t="s">
        <v>16</v>
      </c>
      <c r="C12" s="130">
        <v>6697</v>
      </c>
      <c r="D12" s="130">
        <v>978</v>
      </c>
      <c r="E12" s="137">
        <v>0.87257300000000004</v>
      </c>
      <c r="F12" s="130">
        <v>6349</v>
      </c>
      <c r="G12" s="130">
        <v>1326</v>
      </c>
      <c r="H12" s="137">
        <v>0.82723100000000005</v>
      </c>
      <c r="I12" s="130">
        <v>7675</v>
      </c>
    </row>
    <row r="13" spans="2:9" x14ac:dyDescent="0.3">
      <c r="B13" s="145" t="s">
        <v>17</v>
      </c>
      <c r="C13" s="130">
        <v>2466</v>
      </c>
      <c r="D13" s="130">
        <v>454</v>
      </c>
      <c r="E13" s="137">
        <v>0.84452000000000005</v>
      </c>
      <c r="F13" s="130">
        <v>2427</v>
      </c>
      <c r="G13" s="130">
        <v>493</v>
      </c>
      <c r="H13" s="137">
        <v>0.83116400000000001</v>
      </c>
      <c r="I13" s="130">
        <v>2920</v>
      </c>
    </row>
    <row r="14" spans="2:9" x14ac:dyDescent="0.3">
      <c r="B14" s="145" t="s">
        <v>18</v>
      </c>
      <c r="C14" s="130">
        <v>1790</v>
      </c>
      <c r="D14" s="130">
        <v>13</v>
      </c>
      <c r="E14" s="137">
        <v>0.99278900000000003</v>
      </c>
      <c r="F14" s="130">
        <v>1386</v>
      </c>
      <c r="G14" s="130">
        <v>417</v>
      </c>
      <c r="H14" s="137">
        <v>0.76871800000000001</v>
      </c>
      <c r="I14" s="130">
        <v>1803</v>
      </c>
    </row>
    <row r="15" spans="2:9" x14ac:dyDescent="0.3">
      <c r="B15" s="145" t="s">
        <v>19</v>
      </c>
      <c r="C15" s="130">
        <v>6257</v>
      </c>
      <c r="D15" s="130">
        <v>956</v>
      </c>
      <c r="E15" s="137">
        <v>0.86746100000000004</v>
      </c>
      <c r="F15" s="130">
        <v>5120</v>
      </c>
      <c r="G15" s="130">
        <v>2093</v>
      </c>
      <c r="H15" s="137">
        <v>0.70982900000000004</v>
      </c>
      <c r="I15" s="130">
        <v>7213</v>
      </c>
    </row>
    <row r="16" spans="2:9" x14ac:dyDescent="0.3">
      <c r="B16" s="110" t="s">
        <v>20</v>
      </c>
      <c r="C16" s="111">
        <v>4901</v>
      </c>
      <c r="D16" s="111">
        <v>767</v>
      </c>
      <c r="E16" s="109">
        <v>0.86467799999999995</v>
      </c>
      <c r="F16" s="111">
        <v>4605</v>
      </c>
      <c r="G16" s="111">
        <v>1063</v>
      </c>
      <c r="H16" s="109">
        <v>0.81245500000000004</v>
      </c>
      <c r="I16" s="111">
        <v>5668</v>
      </c>
    </row>
    <row r="17" spans="2:9" x14ac:dyDescent="0.3">
      <c r="B17" s="145" t="s">
        <v>21</v>
      </c>
      <c r="C17" s="130">
        <v>6920</v>
      </c>
      <c r="D17" s="130">
        <v>1504</v>
      </c>
      <c r="E17" s="137">
        <v>0.82146200000000003</v>
      </c>
      <c r="F17" s="130">
        <v>7064</v>
      </c>
      <c r="G17" s="130">
        <v>1360</v>
      </c>
      <c r="H17" s="137">
        <v>0.83855599999999997</v>
      </c>
      <c r="I17" s="130">
        <v>8424</v>
      </c>
    </row>
    <row r="18" spans="2:9" x14ac:dyDescent="0.3">
      <c r="B18" s="110" t="s">
        <v>22</v>
      </c>
      <c r="C18" s="111">
        <v>14475</v>
      </c>
      <c r="D18" s="111">
        <v>3165</v>
      </c>
      <c r="E18" s="109">
        <v>0.82057800000000003</v>
      </c>
      <c r="F18" s="111">
        <v>13760</v>
      </c>
      <c r="G18" s="111">
        <v>3880</v>
      </c>
      <c r="H18" s="109">
        <v>0.78004499999999999</v>
      </c>
      <c r="I18" s="111">
        <v>17640</v>
      </c>
    </row>
    <row r="19" spans="2:9" x14ac:dyDescent="0.3">
      <c r="B19" s="175" t="s">
        <v>0</v>
      </c>
      <c r="C19" s="152">
        <f>SUBTOTAL(109,'Table 3'!$C$5:$C$18)</f>
        <v>73448</v>
      </c>
      <c r="D19" s="152">
        <f>SUBTOTAL(109,'Table 3'!$D$5:$D$18)</f>
        <v>15203</v>
      </c>
      <c r="E19" s="176">
        <f>'Table 3'!$C$19/'Table 3'!$I$19</f>
        <v>0.82850729264193301</v>
      </c>
      <c r="F19" s="152">
        <f>SUBTOTAL(109,'Table 3'!$F$5:$F$18)</f>
        <v>69341</v>
      </c>
      <c r="G19" s="152">
        <f>SUBTOTAL(109,'Table 3'!$G$5:$G$18)</f>
        <v>19310</v>
      </c>
      <c r="H19" s="176">
        <f>'Table 3'!$F$19 /'Table 3'!$I$19</f>
        <v>0.78217955804221051</v>
      </c>
      <c r="I19" s="152">
        <f>SUBTOTAL(109,'Table 3'!$I$5:$I$18)</f>
        <v>88651</v>
      </c>
    </row>
    <row r="20" spans="2:9" x14ac:dyDescent="0.3">
      <c r="B20" s="10"/>
      <c r="C20" s="11"/>
      <c r="D20" s="11"/>
      <c r="E20" s="12"/>
      <c r="F20" s="11"/>
      <c r="G20" s="11"/>
      <c r="H20" s="12"/>
      <c r="I20" s="11"/>
    </row>
    <row r="21" spans="2:9" x14ac:dyDescent="0.3">
      <c r="B21" s="26" t="s">
        <v>6</v>
      </c>
      <c r="C21" s="6"/>
      <c r="D21" s="6"/>
    </row>
    <row r="22" spans="2:9" x14ac:dyDescent="0.3">
      <c r="B22" s="26" t="s">
        <v>7</v>
      </c>
    </row>
    <row r="23" spans="2:9" x14ac:dyDescent="0.3">
      <c r="B23" s="26" t="s">
        <v>107</v>
      </c>
    </row>
  </sheetData>
  <mergeCells count="3">
    <mergeCell ref="B2:I2"/>
    <mergeCell ref="B3:I3"/>
    <mergeCell ref="B1:I1"/>
  </mergeCells>
  <printOptions horizontalCentered="1"/>
  <pageMargins left="0.5" right="0.5" top="1" bottom="0.5" header="0.3" footer="0.3"/>
  <pageSetup scale="95" fitToHeight="0" orientation="landscape" r:id="rId1"/>
  <headerFooter>
    <oddHeader>&amp;L&amp;"Arial,Regular"&amp;10Pennsylvania's State System of Higher Education | &amp;D
Advanced Data Analytics | Page &amp;P of 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B1:I23"/>
  <sheetViews>
    <sheetView showGridLines="0" topLeftCell="B1" zoomScaleNormal="100" workbookViewId="0">
      <selection activeCell="E25" sqref="E25"/>
    </sheetView>
  </sheetViews>
  <sheetFormatPr defaultColWidth="9.1796875" defaultRowHeight="14" x14ac:dyDescent="0.3"/>
  <cols>
    <col min="1" max="1" width="9.1796875" style="1"/>
    <col min="2" max="2" width="23.54296875" style="1" customWidth="1"/>
    <col min="3" max="9" width="15.7265625" style="1" customWidth="1"/>
    <col min="10" max="16384" width="9.1796875" style="1"/>
  </cols>
  <sheetData>
    <row r="1" spans="2:9" ht="15.5" x14ac:dyDescent="0.35">
      <c r="B1" s="196" t="s">
        <v>100</v>
      </c>
      <c r="C1" s="196"/>
      <c r="D1" s="196"/>
      <c r="E1" s="196"/>
      <c r="F1" s="196"/>
      <c r="G1" s="196"/>
      <c r="H1" s="196"/>
      <c r="I1" s="196"/>
    </row>
    <row r="2" spans="2:9" ht="15.5" x14ac:dyDescent="0.3">
      <c r="B2" s="200" t="s">
        <v>33</v>
      </c>
      <c r="C2" s="200"/>
      <c r="D2" s="200"/>
      <c r="E2" s="200"/>
      <c r="F2" s="200"/>
      <c r="G2" s="200"/>
      <c r="H2" s="200"/>
      <c r="I2" s="200"/>
    </row>
    <row r="3" spans="2:9" ht="15.5" x14ac:dyDescent="0.3">
      <c r="B3" s="201" t="str">
        <f>CONCATENATE("Headcount Enrollment by University, Gender and Residency, ", IF(RIGHT(Parameters!B1,1)="1","Fall ","Spring "), IF(RIGHT(Parameters!B1,1)="1",LEFT(Parameters!B1,4),LEFT(Parameters!B1,4) + 1 ))</f>
        <v>Headcount Enrollment by University, Gender and Residency, Fall 2021</v>
      </c>
      <c r="C3" s="201"/>
      <c r="D3" s="201"/>
      <c r="E3" s="201"/>
      <c r="F3" s="201"/>
      <c r="G3" s="201"/>
      <c r="H3" s="201"/>
      <c r="I3" s="201"/>
    </row>
    <row r="4" spans="2:9" ht="34.9" customHeight="1" x14ac:dyDescent="0.3">
      <c r="B4" s="20" t="s">
        <v>8</v>
      </c>
      <c r="C4" s="20" t="s">
        <v>142</v>
      </c>
      <c r="D4" s="20" t="s">
        <v>143</v>
      </c>
      <c r="E4" s="20" t="s">
        <v>144</v>
      </c>
      <c r="F4" s="20" t="s">
        <v>145</v>
      </c>
      <c r="G4" s="20" t="s">
        <v>146</v>
      </c>
      <c r="H4" s="20" t="s">
        <v>147</v>
      </c>
      <c r="I4" s="20" t="s">
        <v>23</v>
      </c>
    </row>
    <row r="5" spans="2:9" x14ac:dyDescent="0.3">
      <c r="B5" s="31" t="s">
        <v>9</v>
      </c>
      <c r="C5" s="75">
        <v>4808</v>
      </c>
      <c r="D5" s="75">
        <v>2937</v>
      </c>
      <c r="E5" s="61">
        <v>0.62078699999999998</v>
      </c>
      <c r="F5" s="75">
        <v>7118</v>
      </c>
      <c r="G5" s="75">
        <v>627</v>
      </c>
      <c r="H5" s="61">
        <v>0.91904399999999997</v>
      </c>
      <c r="I5" s="75">
        <v>7745</v>
      </c>
    </row>
    <row r="6" spans="2:9" x14ac:dyDescent="0.3">
      <c r="B6" s="116" t="s">
        <v>10</v>
      </c>
      <c r="C6" s="111">
        <v>3957</v>
      </c>
      <c r="D6" s="111">
        <v>2555</v>
      </c>
      <c r="E6" s="109">
        <v>0.60764700000000005</v>
      </c>
      <c r="F6" s="111">
        <v>5478</v>
      </c>
      <c r="G6" s="111">
        <v>1034</v>
      </c>
      <c r="H6" s="109">
        <v>0.84121599999999996</v>
      </c>
      <c r="I6" s="111">
        <v>6512</v>
      </c>
    </row>
    <row r="7" spans="2:9" x14ac:dyDescent="0.3">
      <c r="B7" s="136" t="s">
        <v>11</v>
      </c>
      <c r="C7" s="130">
        <v>411</v>
      </c>
      <c r="D7" s="130">
        <v>231</v>
      </c>
      <c r="E7" s="137">
        <v>0.64018600000000003</v>
      </c>
      <c r="F7" s="130">
        <v>564</v>
      </c>
      <c r="G7" s="130">
        <v>78</v>
      </c>
      <c r="H7" s="137">
        <v>0.87850399999999995</v>
      </c>
      <c r="I7" s="130">
        <v>642</v>
      </c>
    </row>
    <row r="8" spans="2:9" x14ac:dyDescent="0.3">
      <c r="B8" s="136" t="s">
        <v>12</v>
      </c>
      <c r="C8" s="130">
        <v>2807</v>
      </c>
      <c r="D8" s="130">
        <v>1115</v>
      </c>
      <c r="E8" s="137">
        <v>0.71570599999999995</v>
      </c>
      <c r="F8" s="130">
        <v>3444</v>
      </c>
      <c r="G8" s="130">
        <v>478</v>
      </c>
      <c r="H8" s="137">
        <v>0.87812299999999999</v>
      </c>
      <c r="I8" s="130">
        <v>3922</v>
      </c>
    </row>
    <row r="9" spans="2:9" x14ac:dyDescent="0.3">
      <c r="B9" s="136" t="s">
        <v>13</v>
      </c>
      <c r="C9" s="130">
        <v>3020</v>
      </c>
      <c r="D9" s="130">
        <v>2116</v>
      </c>
      <c r="E9" s="137">
        <v>0.58800600000000003</v>
      </c>
      <c r="F9" s="130">
        <v>4180</v>
      </c>
      <c r="G9" s="130">
        <v>956</v>
      </c>
      <c r="H9" s="137">
        <v>0.81386199999999997</v>
      </c>
      <c r="I9" s="130">
        <v>5136</v>
      </c>
    </row>
    <row r="10" spans="2:9" x14ac:dyDescent="0.3">
      <c r="B10" s="136" t="s">
        <v>14</v>
      </c>
      <c r="C10" s="130">
        <v>2682</v>
      </c>
      <c r="D10" s="130">
        <v>1361</v>
      </c>
      <c r="E10" s="137">
        <v>0.66336799999999996</v>
      </c>
      <c r="F10" s="130">
        <v>3350</v>
      </c>
      <c r="G10" s="130">
        <v>693</v>
      </c>
      <c r="H10" s="137">
        <v>0.828592</v>
      </c>
      <c r="I10" s="130">
        <v>4043</v>
      </c>
    </row>
    <row r="11" spans="2:9" x14ac:dyDescent="0.3">
      <c r="B11" s="136" t="s">
        <v>15</v>
      </c>
      <c r="C11" s="130">
        <v>5703</v>
      </c>
      <c r="D11" s="130">
        <v>3605</v>
      </c>
      <c r="E11" s="137">
        <v>0.61269799999999996</v>
      </c>
      <c r="F11" s="130">
        <v>8301</v>
      </c>
      <c r="G11" s="130">
        <v>1007</v>
      </c>
      <c r="H11" s="137">
        <v>0.89181299999999997</v>
      </c>
      <c r="I11" s="130">
        <v>9308</v>
      </c>
    </row>
    <row r="12" spans="2:9" x14ac:dyDescent="0.3">
      <c r="B12" s="136" t="s">
        <v>16</v>
      </c>
      <c r="C12" s="130">
        <v>4512</v>
      </c>
      <c r="D12" s="130">
        <v>3163</v>
      </c>
      <c r="E12" s="137">
        <v>0.58788200000000002</v>
      </c>
      <c r="F12" s="130">
        <v>6676</v>
      </c>
      <c r="G12" s="130">
        <v>999</v>
      </c>
      <c r="H12" s="137">
        <v>0.86983699999999997</v>
      </c>
      <c r="I12" s="130">
        <v>7675</v>
      </c>
    </row>
    <row r="13" spans="2:9" x14ac:dyDescent="0.3">
      <c r="B13" s="136" t="s">
        <v>17</v>
      </c>
      <c r="C13" s="130">
        <v>1828</v>
      </c>
      <c r="D13" s="130">
        <v>1092</v>
      </c>
      <c r="E13" s="137">
        <v>0.626027</v>
      </c>
      <c r="F13" s="130">
        <v>2676</v>
      </c>
      <c r="G13" s="130">
        <v>244</v>
      </c>
      <c r="H13" s="137">
        <v>0.91643799999999997</v>
      </c>
      <c r="I13" s="130">
        <v>2920</v>
      </c>
    </row>
    <row r="14" spans="2:9" x14ac:dyDescent="0.3">
      <c r="B14" s="136" t="s">
        <v>18</v>
      </c>
      <c r="C14" s="130">
        <v>1158</v>
      </c>
      <c r="D14" s="130">
        <v>645</v>
      </c>
      <c r="E14" s="137">
        <v>0.642262</v>
      </c>
      <c r="F14" s="130">
        <v>1493</v>
      </c>
      <c r="G14" s="130">
        <v>310</v>
      </c>
      <c r="H14" s="137">
        <v>0.82806400000000002</v>
      </c>
      <c r="I14" s="130">
        <v>1803</v>
      </c>
    </row>
    <row r="15" spans="2:9" x14ac:dyDescent="0.3">
      <c r="B15" s="136" t="s">
        <v>19</v>
      </c>
      <c r="C15" s="130">
        <v>4419</v>
      </c>
      <c r="D15" s="130">
        <v>2794</v>
      </c>
      <c r="E15" s="137">
        <v>0.61264300000000005</v>
      </c>
      <c r="F15" s="130">
        <v>6602</v>
      </c>
      <c r="G15" s="130">
        <v>611</v>
      </c>
      <c r="H15" s="137">
        <v>0.91529099999999997</v>
      </c>
      <c r="I15" s="130">
        <v>7213</v>
      </c>
    </row>
    <row r="16" spans="2:9" x14ac:dyDescent="0.3">
      <c r="B16" s="116" t="s">
        <v>20</v>
      </c>
      <c r="C16" s="111">
        <v>3066</v>
      </c>
      <c r="D16" s="111">
        <v>2602</v>
      </c>
      <c r="E16" s="109">
        <v>0.54093100000000005</v>
      </c>
      <c r="F16" s="111">
        <v>5113</v>
      </c>
      <c r="G16" s="111">
        <v>555</v>
      </c>
      <c r="H16" s="109">
        <v>0.90208100000000002</v>
      </c>
      <c r="I16" s="111">
        <v>5668</v>
      </c>
    </row>
    <row r="17" spans="2:9" x14ac:dyDescent="0.3">
      <c r="B17" s="136" t="s">
        <v>21</v>
      </c>
      <c r="C17" s="130">
        <v>4993</v>
      </c>
      <c r="D17" s="130">
        <v>3431</v>
      </c>
      <c r="E17" s="137">
        <v>0.59271099999999999</v>
      </c>
      <c r="F17" s="130">
        <v>7434</v>
      </c>
      <c r="G17" s="130">
        <v>990</v>
      </c>
      <c r="H17" s="137">
        <v>0.88247799999999998</v>
      </c>
      <c r="I17" s="130">
        <v>8424</v>
      </c>
    </row>
    <row r="18" spans="2:9" x14ac:dyDescent="0.3">
      <c r="B18" s="116" t="s">
        <v>22</v>
      </c>
      <c r="C18" s="111">
        <v>10843</v>
      </c>
      <c r="D18" s="111">
        <v>6797</v>
      </c>
      <c r="E18" s="109">
        <v>0.61468199999999995</v>
      </c>
      <c r="F18" s="111">
        <v>15831</v>
      </c>
      <c r="G18" s="111">
        <v>1809</v>
      </c>
      <c r="H18" s="109">
        <v>0.89744800000000002</v>
      </c>
      <c r="I18" s="111">
        <v>17640</v>
      </c>
    </row>
    <row r="19" spans="2:9" x14ac:dyDescent="0.3">
      <c r="B19" s="175" t="s">
        <v>0</v>
      </c>
      <c r="C19" s="152">
        <f>SUBTOTAL(109,'Table 4'!$C$5:$C$18)</f>
        <v>54207</v>
      </c>
      <c r="D19" s="152">
        <f>SUBTOTAL(109,'Table 4'!$D$5:$D$18)</f>
        <v>34444</v>
      </c>
      <c r="E19" s="176">
        <f>'Table 4'!$C$19 / 'Table 4'!$I$19</f>
        <v>0.6114651836978714</v>
      </c>
      <c r="F19" s="152">
        <f>SUBTOTAL(109,'Table 4'!$F$5:$F$18)</f>
        <v>78260</v>
      </c>
      <c r="G19" s="152">
        <f>SUBTOTAL(109,'Table 4'!$G$5:$G$18)</f>
        <v>10391</v>
      </c>
      <c r="H19" s="176">
        <f>'Table 4'!$F$19 / 'Table 4'!$I$19</f>
        <v>0.88278756020800664</v>
      </c>
      <c r="I19" s="152">
        <f>SUBTOTAL(109,'Table 4'!$I$5:$I$18)</f>
        <v>88651</v>
      </c>
    </row>
    <row r="21" spans="2:9" x14ac:dyDescent="0.3">
      <c r="B21" s="26" t="s">
        <v>6</v>
      </c>
      <c r="C21" s="6"/>
      <c r="D21" s="6"/>
    </row>
    <row r="22" spans="2:9" x14ac:dyDescent="0.3">
      <c r="B22" s="26" t="s">
        <v>7</v>
      </c>
    </row>
    <row r="23" spans="2:9" x14ac:dyDescent="0.3">
      <c r="B23" s="26" t="s">
        <v>107</v>
      </c>
    </row>
  </sheetData>
  <mergeCells count="3">
    <mergeCell ref="B2:I2"/>
    <mergeCell ref="B3:I3"/>
    <mergeCell ref="B1:I1"/>
  </mergeCells>
  <printOptions horizontalCentered="1"/>
  <pageMargins left="0.5" right="0.5" top="1" bottom="0.5" header="0.3" footer="0.3"/>
  <pageSetup scale="95" fitToHeight="0" orientation="landscape" r:id="rId1"/>
  <headerFooter>
    <oddHeader>&amp;L&amp;"Arial,Regular"&amp;10Pennsylvania's State System of Higher Education | &amp;D
Advanced Data Analytics | Page &amp;P of &amp;N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B1:J25"/>
  <sheetViews>
    <sheetView showGridLines="0" tabSelected="1" zoomScaleNormal="100" workbookViewId="0">
      <selection activeCell="C12" sqref="C12"/>
    </sheetView>
  </sheetViews>
  <sheetFormatPr defaultColWidth="9.1796875" defaultRowHeight="14" x14ac:dyDescent="0.3"/>
  <cols>
    <col min="1" max="1" width="4.54296875" style="1" customWidth="1"/>
    <col min="2" max="2" width="23.54296875" style="1" customWidth="1"/>
    <col min="3" max="10" width="15.7265625" style="1" customWidth="1"/>
    <col min="11" max="16384" width="9.1796875" style="1"/>
  </cols>
  <sheetData>
    <row r="1" spans="2:10" ht="15.5" x14ac:dyDescent="0.35">
      <c r="B1" s="196" t="s">
        <v>100</v>
      </c>
      <c r="C1" s="196"/>
      <c r="D1" s="196"/>
      <c r="E1" s="196"/>
      <c r="F1" s="196"/>
      <c r="G1" s="196"/>
      <c r="H1" s="196"/>
      <c r="I1" s="196"/>
      <c r="J1" s="196"/>
    </row>
    <row r="2" spans="2:10" ht="15.5" x14ac:dyDescent="0.3">
      <c r="B2" s="200" t="s">
        <v>30</v>
      </c>
      <c r="C2" s="200"/>
      <c r="D2" s="200"/>
      <c r="E2" s="200"/>
      <c r="F2" s="200"/>
      <c r="G2" s="200"/>
      <c r="H2" s="200"/>
      <c r="I2" s="200"/>
      <c r="J2" s="200"/>
    </row>
    <row r="3" spans="2:10" ht="15.5" x14ac:dyDescent="0.3">
      <c r="B3" s="201" t="str">
        <f>CONCATENATE("Headcount Enrollment by University, Level and Residency,  ", IF(RIGHT(Parameters!B1,1)="1","Fall ","Spring "), IF(RIGHT(Parameters!B1,1)="1",LEFT(Parameters!B1,4),LEFT(Parameters!B1,4) + 1 ))</f>
        <v>Headcount Enrollment by University, Level and Residency,  Fall 2021</v>
      </c>
      <c r="C3" s="201"/>
      <c r="D3" s="201"/>
      <c r="E3" s="201"/>
      <c r="F3" s="201"/>
      <c r="G3" s="201"/>
      <c r="H3" s="201"/>
      <c r="I3" s="201"/>
      <c r="J3" s="201"/>
    </row>
    <row r="4" spans="2:10" x14ac:dyDescent="0.3">
      <c r="B4" s="203" t="s">
        <v>8</v>
      </c>
      <c r="C4" s="203" t="s">
        <v>27</v>
      </c>
      <c r="D4" s="203"/>
      <c r="E4" s="203"/>
      <c r="F4" s="203"/>
      <c r="G4" s="203" t="s">
        <v>28</v>
      </c>
      <c r="H4" s="203"/>
      <c r="I4" s="203"/>
      <c r="J4" s="203"/>
    </row>
    <row r="5" spans="2:10" ht="51" customHeight="1" x14ac:dyDescent="0.3">
      <c r="B5" s="203"/>
      <c r="C5" s="20" t="s">
        <v>31</v>
      </c>
      <c r="D5" s="20" t="s">
        <v>32</v>
      </c>
      <c r="E5" s="20" t="s">
        <v>101</v>
      </c>
      <c r="F5" s="32" t="s">
        <v>23</v>
      </c>
      <c r="G5" s="20" t="s">
        <v>31</v>
      </c>
      <c r="H5" s="20" t="s">
        <v>32</v>
      </c>
      <c r="I5" s="20" t="s">
        <v>101</v>
      </c>
      <c r="J5" s="32" t="s">
        <v>23</v>
      </c>
    </row>
    <row r="6" spans="2:10" ht="14.5" hidden="1" customHeight="1" x14ac:dyDescent="0.3">
      <c r="B6" s="177" t="s">
        <v>8</v>
      </c>
      <c r="C6" s="177" t="s">
        <v>159</v>
      </c>
      <c r="D6" s="177" t="s">
        <v>160</v>
      </c>
      <c r="E6" s="177" t="s">
        <v>161</v>
      </c>
      <c r="F6" s="177" t="s">
        <v>162</v>
      </c>
      <c r="G6" s="177" t="s">
        <v>163</v>
      </c>
      <c r="H6" s="177" t="s">
        <v>164</v>
      </c>
      <c r="I6" s="177" t="s">
        <v>165</v>
      </c>
      <c r="J6" s="177" t="s">
        <v>166</v>
      </c>
    </row>
    <row r="7" spans="2:10" x14ac:dyDescent="0.3">
      <c r="B7" s="28" t="s">
        <v>9</v>
      </c>
      <c r="C7" s="33">
        <v>6496</v>
      </c>
      <c r="D7" s="33">
        <v>573</v>
      </c>
      <c r="E7" s="34">
        <v>8.1058000000000005E-2</v>
      </c>
      <c r="F7" s="35">
        <v>7069</v>
      </c>
      <c r="G7" s="33">
        <v>622</v>
      </c>
      <c r="H7" s="33">
        <v>54</v>
      </c>
      <c r="I7" s="34">
        <v>7.9880999999999994E-2</v>
      </c>
      <c r="J7" s="35">
        <v>676</v>
      </c>
    </row>
    <row r="8" spans="2:10" x14ac:dyDescent="0.3">
      <c r="B8" s="113" t="s">
        <v>10</v>
      </c>
      <c r="C8" s="120">
        <v>3968</v>
      </c>
      <c r="D8" s="120">
        <v>498</v>
      </c>
      <c r="E8" s="118">
        <v>0.111509</v>
      </c>
      <c r="F8" s="119">
        <v>4466</v>
      </c>
      <c r="G8" s="120">
        <v>1510</v>
      </c>
      <c r="H8" s="120">
        <v>536</v>
      </c>
      <c r="I8" s="118">
        <v>0.26197399999999998</v>
      </c>
      <c r="J8" s="119">
        <v>2046</v>
      </c>
    </row>
    <row r="9" spans="2:10" x14ac:dyDescent="0.3">
      <c r="B9" s="129" t="s">
        <v>11</v>
      </c>
      <c r="C9" s="134">
        <v>564</v>
      </c>
      <c r="D9" s="134">
        <v>78</v>
      </c>
      <c r="E9" s="138">
        <v>0.12149500000000001</v>
      </c>
      <c r="F9" s="135">
        <v>642</v>
      </c>
      <c r="G9" s="134">
        <v>0</v>
      </c>
      <c r="H9" s="134">
        <v>0</v>
      </c>
      <c r="I9" s="138">
        <v>0</v>
      </c>
      <c r="J9" s="135">
        <v>0</v>
      </c>
    </row>
    <row r="10" spans="2:10" x14ac:dyDescent="0.3">
      <c r="B10" s="129" t="s">
        <v>12</v>
      </c>
      <c r="C10" s="134">
        <v>2899</v>
      </c>
      <c r="D10" s="134">
        <v>257</v>
      </c>
      <c r="E10" s="138">
        <v>8.1432000000000004E-2</v>
      </c>
      <c r="F10" s="135">
        <v>3156</v>
      </c>
      <c r="G10" s="134">
        <v>545</v>
      </c>
      <c r="H10" s="134">
        <v>221</v>
      </c>
      <c r="I10" s="138">
        <v>0.28851100000000002</v>
      </c>
      <c r="J10" s="135">
        <v>766</v>
      </c>
    </row>
    <row r="11" spans="2:10" x14ac:dyDescent="0.3">
      <c r="B11" s="129" t="s">
        <v>13</v>
      </c>
      <c r="C11" s="134">
        <v>3500</v>
      </c>
      <c r="D11" s="134">
        <v>827</v>
      </c>
      <c r="E11" s="138">
        <v>0.19112499999999999</v>
      </c>
      <c r="F11" s="135">
        <v>4327</v>
      </c>
      <c r="G11" s="134">
        <v>680</v>
      </c>
      <c r="H11" s="134">
        <v>129</v>
      </c>
      <c r="I11" s="138">
        <v>0.15945599999999999</v>
      </c>
      <c r="J11" s="135">
        <v>809</v>
      </c>
    </row>
    <row r="12" spans="2:10" x14ac:dyDescent="0.3">
      <c r="B12" s="129" t="s">
        <v>14</v>
      </c>
      <c r="C12" s="134">
        <v>2530</v>
      </c>
      <c r="D12" s="134">
        <v>409</v>
      </c>
      <c r="E12" s="138">
        <v>0.13916200000000001</v>
      </c>
      <c r="F12" s="135">
        <v>2939</v>
      </c>
      <c r="G12" s="134">
        <v>820</v>
      </c>
      <c r="H12" s="134">
        <v>284</v>
      </c>
      <c r="I12" s="138">
        <v>0.25724599999999997</v>
      </c>
      <c r="J12" s="135">
        <v>1104</v>
      </c>
    </row>
    <row r="13" spans="2:10" x14ac:dyDescent="0.3">
      <c r="B13" s="129" t="s">
        <v>15</v>
      </c>
      <c r="C13" s="134">
        <v>6921</v>
      </c>
      <c r="D13" s="134">
        <v>422</v>
      </c>
      <c r="E13" s="138">
        <v>5.7468999999999999E-2</v>
      </c>
      <c r="F13" s="135">
        <v>7343</v>
      </c>
      <c r="G13" s="134">
        <v>1380</v>
      </c>
      <c r="H13" s="134">
        <v>585</v>
      </c>
      <c r="I13" s="138">
        <v>0.297709</v>
      </c>
      <c r="J13" s="135">
        <v>1965</v>
      </c>
    </row>
    <row r="14" spans="2:10" x14ac:dyDescent="0.3">
      <c r="B14" s="129" t="s">
        <v>16</v>
      </c>
      <c r="C14" s="134">
        <v>5783</v>
      </c>
      <c r="D14" s="134">
        <v>914</v>
      </c>
      <c r="E14" s="138">
        <v>0.13647899999999999</v>
      </c>
      <c r="F14" s="135">
        <v>6697</v>
      </c>
      <c r="G14" s="134">
        <v>893</v>
      </c>
      <c r="H14" s="134">
        <v>85</v>
      </c>
      <c r="I14" s="138">
        <v>8.6912000000000003E-2</v>
      </c>
      <c r="J14" s="135">
        <v>978</v>
      </c>
    </row>
    <row r="15" spans="2:10" x14ac:dyDescent="0.3">
      <c r="B15" s="129" t="s">
        <v>17</v>
      </c>
      <c r="C15" s="134">
        <v>2322</v>
      </c>
      <c r="D15" s="134">
        <v>144</v>
      </c>
      <c r="E15" s="138">
        <v>5.8394000000000001E-2</v>
      </c>
      <c r="F15" s="135">
        <v>2466</v>
      </c>
      <c r="G15" s="134">
        <v>354</v>
      </c>
      <c r="H15" s="134">
        <v>100</v>
      </c>
      <c r="I15" s="138">
        <v>0.22026399999999999</v>
      </c>
      <c r="J15" s="135">
        <v>454</v>
      </c>
    </row>
    <row r="16" spans="2:10" x14ac:dyDescent="0.3">
      <c r="B16" s="129" t="s">
        <v>18</v>
      </c>
      <c r="C16" s="134">
        <v>1485</v>
      </c>
      <c r="D16" s="134">
        <v>305</v>
      </c>
      <c r="E16" s="138">
        <v>0.17039099999999999</v>
      </c>
      <c r="F16" s="135">
        <v>1790</v>
      </c>
      <c r="G16" s="134">
        <v>8</v>
      </c>
      <c r="H16" s="134">
        <v>5</v>
      </c>
      <c r="I16" s="138">
        <v>0.38461499999999998</v>
      </c>
      <c r="J16" s="135">
        <v>13</v>
      </c>
    </row>
    <row r="17" spans="2:10" x14ac:dyDescent="0.3">
      <c r="B17" s="129" t="s">
        <v>19</v>
      </c>
      <c r="C17" s="134">
        <v>5727</v>
      </c>
      <c r="D17" s="134">
        <v>530</v>
      </c>
      <c r="E17" s="138">
        <v>8.4705000000000003E-2</v>
      </c>
      <c r="F17" s="135">
        <v>6257</v>
      </c>
      <c r="G17" s="134">
        <v>875</v>
      </c>
      <c r="H17" s="134">
        <v>81</v>
      </c>
      <c r="I17" s="138">
        <v>8.4727999999999998E-2</v>
      </c>
      <c r="J17" s="135">
        <v>956</v>
      </c>
    </row>
    <row r="18" spans="2:10" x14ac:dyDescent="0.3">
      <c r="B18" s="113" t="s">
        <v>20</v>
      </c>
      <c r="C18" s="120">
        <v>4415</v>
      </c>
      <c r="D18" s="120">
        <v>486</v>
      </c>
      <c r="E18" s="118">
        <v>9.9163000000000001E-2</v>
      </c>
      <c r="F18" s="119">
        <v>4901</v>
      </c>
      <c r="G18" s="120">
        <v>698</v>
      </c>
      <c r="H18" s="120">
        <v>69</v>
      </c>
      <c r="I18" s="118">
        <v>8.9959999999999998E-2</v>
      </c>
      <c r="J18" s="119">
        <v>767</v>
      </c>
    </row>
    <row r="19" spans="2:10" x14ac:dyDescent="0.3">
      <c r="B19" s="129" t="s">
        <v>21</v>
      </c>
      <c r="C19" s="134">
        <v>6192</v>
      </c>
      <c r="D19" s="134">
        <v>728</v>
      </c>
      <c r="E19" s="138">
        <v>0.105202</v>
      </c>
      <c r="F19" s="135">
        <v>6920</v>
      </c>
      <c r="G19" s="134">
        <v>1242</v>
      </c>
      <c r="H19" s="134">
        <v>262</v>
      </c>
      <c r="I19" s="138">
        <v>0.174202</v>
      </c>
      <c r="J19" s="135">
        <v>1504</v>
      </c>
    </row>
    <row r="20" spans="2:10" x14ac:dyDescent="0.3">
      <c r="B20" s="113" t="s">
        <v>22</v>
      </c>
      <c r="C20" s="120">
        <v>13142</v>
      </c>
      <c r="D20" s="120">
        <v>1333</v>
      </c>
      <c r="E20" s="118">
        <v>9.2089000000000004E-2</v>
      </c>
      <c r="F20" s="119">
        <v>14475</v>
      </c>
      <c r="G20" s="120">
        <v>2689</v>
      </c>
      <c r="H20" s="120">
        <v>476</v>
      </c>
      <c r="I20" s="118">
        <v>0.150394</v>
      </c>
      <c r="J20" s="119">
        <v>3165</v>
      </c>
    </row>
    <row r="21" spans="2:10" x14ac:dyDescent="0.3">
      <c r="B21" s="151" t="s">
        <v>0</v>
      </c>
      <c r="C21" s="158">
        <f>SUBTOTAL(109,'Table 5'!$C$7:$C$20)</f>
        <v>65944</v>
      </c>
      <c r="D21" s="158">
        <f>SUBTOTAL(109,'Table 5'!$D$7:$D$20)</f>
        <v>7504</v>
      </c>
      <c r="E21" s="159">
        <f>'Table 5'!$D$21 / 'Table 5'!$F$21</f>
        <v>0.10216751987800893</v>
      </c>
      <c r="F21" s="158">
        <f>SUBTOTAL(109,'Table 5'!$F$7:$F$20)</f>
        <v>73448</v>
      </c>
      <c r="G21" s="158">
        <f>SUBTOTAL(109,'Table 5'!$G$7:$G$20)</f>
        <v>12316</v>
      </c>
      <c r="H21" s="158">
        <f>SUBTOTAL(109,'Table 5'!$H$7:$H$20)</f>
        <v>2887</v>
      </c>
      <c r="I21" s="159">
        <f>'Table 5'!$H$21 / 'Table 5'!$J$21</f>
        <v>0.18989673090837333</v>
      </c>
      <c r="J21" s="158">
        <f>SUBTOTAL(109,'Table 5'!$J$7:$J$20)</f>
        <v>15203</v>
      </c>
    </row>
    <row r="23" spans="2:10" x14ac:dyDescent="0.3">
      <c r="B23" s="26" t="s">
        <v>6</v>
      </c>
    </row>
    <row r="24" spans="2:10" x14ac:dyDescent="0.3">
      <c r="B24" s="26" t="s">
        <v>7</v>
      </c>
    </row>
    <row r="25" spans="2:10" x14ac:dyDescent="0.3">
      <c r="B25" s="26" t="s">
        <v>107</v>
      </c>
    </row>
  </sheetData>
  <mergeCells count="6">
    <mergeCell ref="B1:J1"/>
    <mergeCell ref="B2:J2"/>
    <mergeCell ref="B3:J3"/>
    <mergeCell ref="B4:B5"/>
    <mergeCell ref="C4:F4"/>
    <mergeCell ref="G4:J4"/>
  </mergeCells>
  <printOptions horizontalCentered="1"/>
  <pageMargins left="0.5" right="0.5" top="1" bottom="0.5" header="0.3" footer="0.3"/>
  <pageSetup scale="85" fitToHeight="0" orientation="landscape" r:id="rId1"/>
  <headerFooter>
    <oddHeader>&amp;L&amp;"Arial,Regular"&amp;10Pennsylvania's State System of Higher Education | &amp;D
Advanced Data Analytics | Page &amp;P of &amp;N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B1:I54"/>
  <sheetViews>
    <sheetView showGridLines="0" topLeftCell="B1" zoomScaleNormal="100" workbookViewId="0">
      <selection activeCell="F61" sqref="F61"/>
    </sheetView>
  </sheetViews>
  <sheetFormatPr defaultColWidth="9.1796875" defaultRowHeight="14" x14ac:dyDescent="0.3"/>
  <cols>
    <col min="1" max="1" width="9.1796875" style="1"/>
    <col min="2" max="2" width="23.54296875" style="1" customWidth="1"/>
    <col min="3" max="9" width="15.7265625" style="1" customWidth="1"/>
    <col min="10" max="16384" width="9.1796875" style="1"/>
  </cols>
  <sheetData>
    <row r="1" spans="2:9" ht="15.5" x14ac:dyDescent="0.35">
      <c r="B1" s="196" t="s">
        <v>100</v>
      </c>
      <c r="C1" s="196"/>
      <c r="D1" s="196"/>
      <c r="E1" s="196"/>
      <c r="F1" s="196"/>
      <c r="G1" s="196"/>
      <c r="H1" s="196"/>
      <c r="I1" s="196"/>
    </row>
    <row r="2" spans="2:9" ht="15.5" x14ac:dyDescent="0.35">
      <c r="B2" s="198" t="s">
        <v>34</v>
      </c>
      <c r="C2" s="198"/>
      <c r="D2" s="198"/>
      <c r="E2" s="198"/>
      <c r="F2" s="198"/>
      <c r="G2" s="198"/>
      <c r="H2" s="198"/>
      <c r="I2" s="198"/>
    </row>
    <row r="3" spans="2:9" ht="15.5" x14ac:dyDescent="0.35">
      <c r="B3" s="198" t="str">
        <f>CONCATENATE("Traditional and Non-Traditional Undergraduate Students, by University, Fall ",LEFT(Parameters!B1,4))</f>
        <v>Traditional and Non-Traditional Undergraduate Students, by University, Fall 2021</v>
      </c>
      <c r="C3" s="198"/>
      <c r="D3" s="198"/>
      <c r="E3" s="198"/>
      <c r="F3" s="198"/>
      <c r="G3" s="198"/>
      <c r="H3" s="198"/>
      <c r="I3" s="198"/>
    </row>
    <row r="4" spans="2:9" x14ac:dyDescent="0.3">
      <c r="B4" s="204" t="s">
        <v>8</v>
      </c>
      <c r="C4" s="204" t="s">
        <v>35</v>
      </c>
      <c r="D4" s="204"/>
      <c r="E4" s="204" t="s">
        <v>36</v>
      </c>
      <c r="F4" s="204"/>
      <c r="G4" s="204" t="s">
        <v>37</v>
      </c>
      <c r="H4" s="204"/>
      <c r="I4" s="36" t="s">
        <v>27</v>
      </c>
    </row>
    <row r="5" spans="2:9" x14ac:dyDescent="0.3">
      <c r="B5" s="204"/>
      <c r="C5" s="36" t="s">
        <v>38</v>
      </c>
      <c r="D5" s="36" t="s">
        <v>39</v>
      </c>
      <c r="E5" s="36" t="s">
        <v>38</v>
      </c>
      <c r="F5" s="36" t="s">
        <v>39</v>
      </c>
      <c r="G5" s="36" t="s">
        <v>38</v>
      </c>
      <c r="H5" s="36" t="s">
        <v>39</v>
      </c>
      <c r="I5" s="36" t="s">
        <v>23</v>
      </c>
    </row>
    <row r="6" spans="2:9" ht="14.5" hidden="1" customHeight="1" x14ac:dyDescent="0.3">
      <c r="B6" s="178" t="s">
        <v>152</v>
      </c>
      <c r="C6" s="178" t="s">
        <v>153</v>
      </c>
      <c r="D6" s="178" t="s">
        <v>154</v>
      </c>
      <c r="E6" s="178" t="s">
        <v>155</v>
      </c>
      <c r="F6" s="178" t="s">
        <v>156</v>
      </c>
      <c r="G6" s="178" t="s">
        <v>157</v>
      </c>
      <c r="H6" s="178" t="s">
        <v>158</v>
      </c>
      <c r="I6" s="178" t="s">
        <v>23</v>
      </c>
    </row>
    <row r="7" spans="2:9" x14ac:dyDescent="0.3">
      <c r="B7" s="37" t="s">
        <v>9</v>
      </c>
      <c r="C7" s="83">
        <v>381</v>
      </c>
      <c r="D7" s="84">
        <v>5.3897E-2</v>
      </c>
      <c r="E7" s="83">
        <v>6688</v>
      </c>
      <c r="F7" s="84">
        <v>0.946102</v>
      </c>
      <c r="G7" s="83">
        <v>0</v>
      </c>
      <c r="H7" s="84">
        <v>0</v>
      </c>
      <c r="I7" s="85">
        <v>7069</v>
      </c>
    </row>
    <row r="8" spans="2:9" x14ac:dyDescent="0.3">
      <c r="B8" s="123" t="s">
        <v>10</v>
      </c>
      <c r="C8" s="124">
        <v>944</v>
      </c>
      <c r="D8" s="121">
        <v>0.21137400000000001</v>
      </c>
      <c r="E8" s="124">
        <v>3522</v>
      </c>
      <c r="F8" s="121">
        <v>0.78862500000000002</v>
      </c>
      <c r="G8" s="124">
        <v>0</v>
      </c>
      <c r="H8" s="121">
        <v>0</v>
      </c>
      <c r="I8" s="122">
        <v>4466</v>
      </c>
    </row>
    <row r="9" spans="2:9" x14ac:dyDescent="0.3">
      <c r="B9" s="139" t="s">
        <v>11</v>
      </c>
      <c r="C9" s="140">
        <v>54</v>
      </c>
      <c r="D9" s="141">
        <v>8.4112000000000006E-2</v>
      </c>
      <c r="E9" s="140">
        <v>588</v>
      </c>
      <c r="F9" s="141">
        <v>0.91588700000000001</v>
      </c>
      <c r="G9" s="140">
        <v>0</v>
      </c>
      <c r="H9" s="141">
        <v>0</v>
      </c>
      <c r="I9" s="142">
        <v>642</v>
      </c>
    </row>
    <row r="10" spans="2:9" x14ac:dyDescent="0.3">
      <c r="B10" s="139" t="s">
        <v>12</v>
      </c>
      <c r="C10" s="140">
        <v>579</v>
      </c>
      <c r="D10" s="141">
        <v>0.18346000000000001</v>
      </c>
      <c r="E10" s="140">
        <v>2577</v>
      </c>
      <c r="F10" s="141">
        <v>0.81653900000000001</v>
      </c>
      <c r="G10" s="140">
        <v>0</v>
      </c>
      <c r="H10" s="141">
        <v>0</v>
      </c>
      <c r="I10" s="142">
        <v>3156</v>
      </c>
    </row>
    <row r="11" spans="2:9" x14ac:dyDescent="0.3">
      <c r="B11" s="139" t="s">
        <v>13</v>
      </c>
      <c r="C11" s="140">
        <v>488</v>
      </c>
      <c r="D11" s="141">
        <v>0.11278000000000001</v>
      </c>
      <c r="E11" s="140">
        <v>3839</v>
      </c>
      <c r="F11" s="141">
        <v>0.88721899999999998</v>
      </c>
      <c r="G11" s="140">
        <v>0</v>
      </c>
      <c r="H11" s="141">
        <v>0</v>
      </c>
      <c r="I11" s="142">
        <v>4327</v>
      </c>
    </row>
    <row r="12" spans="2:9" x14ac:dyDescent="0.3">
      <c r="B12" s="139" t="s">
        <v>14</v>
      </c>
      <c r="C12" s="140">
        <v>338</v>
      </c>
      <c r="D12" s="141">
        <v>0.115005</v>
      </c>
      <c r="E12" s="140">
        <v>2601</v>
      </c>
      <c r="F12" s="141">
        <v>0.88499399999999995</v>
      </c>
      <c r="G12" s="140">
        <v>0</v>
      </c>
      <c r="H12" s="141">
        <v>0</v>
      </c>
      <c r="I12" s="142">
        <v>2939</v>
      </c>
    </row>
    <row r="13" spans="2:9" x14ac:dyDescent="0.3">
      <c r="B13" s="139" t="s">
        <v>15</v>
      </c>
      <c r="C13" s="140">
        <v>631</v>
      </c>
      <c r="D13" s="141">
        <v>8.5931999999999994E-2</v>
      </c>
      <c r="E13" s="140">
        <v>6712</v>
      </c>
      <c r="F13" s="141">
        <v>0.91406699999999996</v>
      </c>
      <c r="G13" s="140">
        <v>0</v>
      </c>
      <c r="H13" s="141">
        <v>0</v>
      </c>
      <c r="I13" s="142">
        <v>7343</v>
      </c>
    </row>
    <row r="14" spans="2:9" x14ac:dyDescent="0.3">
      <c r="B14" s="139" t="s">
        <v>16</v>
      </c>
      <c r="C14" s="140">
        <v>508</v>
      </c>
      <c r="D14" s="141">
        <v>7.5854000000000005E-2</v>
      </c>
      <c r="E14" s="140">
        <v>6189</v>
      </c>
      <c r="F14" s="141">
        <v>0.92414499999999999</v>
      </c>
      <c r="G14" s="140">
        <v>0</v>
      </c>
      <c r="H14" s="141">
        <v>0</v>
      </c>
      <c r="I14" s="142">
        <v>6697</v>
      </c>
    </row>
    <row r="15" spans="2:9" x14ac:dyDescent="0.3">
      <c r="B15" s="139" t="s">
        <v>17</v>
      </c>
      <c r="C15" s="140">
        <v>268</v>
      </c>
      <c r="D15" s="141">
        <v>0.108678</v>
      </c>
      <c r="E15" s="140">
        <v>2197</v>
      </c>
      <c r="F15" s="141">
        <v>0.89091600000000004</v>
      </c>
      <c r="G15" s="140">
        <v>1</v>
      </c>
      <c r="H15" s="141">
        <v>4.0499999999999998E-4</v>
      </c>
      <c r="I15" s="142">
        <v>2466</v>
      </c>
    </row>
    <row r="16" spans="2:9" x14ac:dyDescent="0.3">
      <c r="B16" s="139" t="s">
        <v>18</v>
      </c>
      <c r="C16" s="140">
        <v>159</v>
      </c>
      <c r="D16" s="141">
        <v>8.8826000000000002E-2</v>
      </c>
      <c r="E16" s="140">
        <v>1631</v>
      </c>
      <c r="F16" s="141">
        <v>0.91117300000000001</v>
      </c>
      <c r="G16" s="140">
        <v>0</v>
      </c>
      <c r="H16" s="141">
        <v>0</v>
      </c>
      <c r="I16" s="142">
        <v>1790</v>
      </c>
    </row>
    <row r="17" spans="2:9" x14ac:dyDescent="0.3">
      <c r="B17" s="139" t="s">
        <v>19</v>
      </c>
      <c r="C17" s="140">
        <v>805</v>
      </c>
      <c r="D17" s="141">
        <v>0.12865499999999999</v>
      </c>
      <c r="E17" s="140">
        <v>5452</v>
      </c>
      <c r="F17" s="141">
        <v>0.87134400000000001</v>
      </c>
      <c r="G17" s="140">
        <v>0</v>
      </c>
      <c r="H17" s="141">
        <v>0</v>
      </c>
      <c r="I17" s="142">
        <v>6257</v>
      </c>
    </row>
    <row r="18" spans="2:9" x14ac:dyDescent="0.3">
      <c r="B18" s="123" t="s">
        <v>20</v>
      </c>
      <c r="C18" s="124">
        <v>284</v>
      </c>
      <c r="D18" s="121">
        <v>5.7946999999999999E-2</v>
      </c>
      <c r="E18" s="124">
        <v>4617</v>
      </c>
      <c r="F18" s="121">
        <v>0.942052</v>
      </c>
      <c r="G18" s="124">
        <v>0</v>
      </c>
      <c r="H18" s="121">
        <v>0</v>
      </c>
      <c r="I18" s="122">
        <v>4901</v>
      </c>
    </row>
    <row r="19" spans="2:9" x14ac:dyDescent="0.3">
      <c r="B19" s="139" t="s">
        <v>21</v>
      </c>
      <c r="C19" s="140">
        <v>380</v>
      </c>
      <c r="D19" s="141">
        <v>5.4912999999999997E-2</v>
      </c>
      <c r="E19" s="140">
        <v>6540</v>
      </c>
      <c r="F19" s="141">
        <v>0.94508599999999998</v>
      </c>
      <c r="G19" s="140">
        <v>0</v>
      </c>
      <c r="H19" s="141">
        <v>0</v>
      </c>
      <c r="I19" s="142">
        <v>6920</v>
      </c>
    </row>
    <row r="20" spans="2:9" x14ac:dyDescent="0.3">
      <c r="B20" s="123" t="s">
        <v>22</v>
      </c>
      <c r="C20" s="124">
        <v>1282</v>
      </c>
      <c r="D20" s="121">
        <v>8.8566000000000006E-2</v>
      </c>
      <c r="E20" s="124">
        <v>13193</v>
      </c>
      <c r="F20" s="121">
        <v>0.91143300000000005</v>
      </c>
      <c r="G20" s="124">
        <v>0</v>
      </c>
      <c r="H20" s="121">
        <v>0</v>
      </c>
      <c r="I20" s="122">
        <v>14475</v>
      </c>
    </row>
    <row r="21" spans="2:9" x14ac:dyDescent="0.3">
      <c r="B21" s="160" t="s">
        <v>0</v>
      </c>
      <c r="C21" s="161">
        <f>SUBTOTAL(109,'Table 6'!$C$7:$C$20)</f>
        <v>7101</v>
      </c>
      <c r="D21" s="162">
        <f>'Table 6'!$C$21 / 'Table 6'!$I$21</f>
        <v>9.6680644809933561E-2</v>
      </c>
      <c r="E21" s="161">
        <f>SUBTOTAL(109,'Table 6'!$E$7:$E$20)</f>
        <v>66346</v>
      </c>
      <c r="F21" s="162">
        <f>'Table 6'!$E$21 / 'Table 6'!$I$21</f>
        <v>0.90330574011545584</v>
      </c>
      <c r="G21" s="161">
        <f>SUBTOTAL(109,'Table 6'!$G$7:$G$20)</f>
        <v>1</v>
      </c>
      <c r="H21" s="162">
        <f>'Table 6'!$G$21 / 'Table 6'!$I$21</f>
        <v>1.3615074610608865E-5</v>
      </c>
      <c r="I21" s="161">
        <f>SUBTOTAL(109,'Table 6'!$I$7:$I$20)</f>
        <v>73448</v>
      </c>
    </row>
    <row r="23" spans="2:9" x14ac:dyDescent="0.3">
      <c r="B23" s="38" t="s">
        <v>105</v>
      </c>
    </row>
    <row r="24" spans="2:9" x14ac:dyDescent="0.3">
      <c r="B24" s="38" t="s">
        <v>40</v>
      </c>
    </row>
    <row r="25" spans="2:9" x14ac:dyDescent="0.3">
      <c r="B25" s="26" t="s">
        <v>6</v>
      </c>
    </row>
    <row r="26" spans="2:9" x14ac:dyDescent="0.3">
      <c r="B26" s="26" t="s">
        <v>7</v>
      </c>
    </row>
    <row r="27" spans="2:9" x14ac:dyDescent="0.3">
      <c r="B27" s="26" t="s">
        <v>107</v>
      </c>
    </row>
    <row r="29" spans="2:9" ht="15.5" x14ac:dyDescent="0.35">
      <c r="B29" s="198" t="str">
        <f>CONCATENATE("Traditional and Non-Traditional Undergraduate Degree Seeking Students ***, by University, ", IF(RIGHT(Parameters!B1,1)="1","Fall ","Spring "), IF(RIGHT(Parameters!B1,1)="1",LEFT(Parameters!B1,4),LEFT(Parameters!B1,4) + 1 ))</f>
        <v>Traditional and Non-Traditional Undergraduate Degree Seeking Students ***, by University, Fall 2021</v>
      </c>
      <c r="C29" s="198"/>
      <c r="D29" s="198"/>
      <c r="E29" s="198"/>
      <c r="F29" s="198"/>
      <c r="G29" s="198"/>
      <c r="H29" s="198"/>
      <c r="I29" s="198"/>
    </row>
    <row r="30" spans="2:9" x14ac:dyDescent="0.3">
      <c r="B30" s="203" t="s">
        <v>8</v>
      </c>
      <c r="C30" s="203" t="s">
        <v>35</v>
      </c>
      <c r="D30" s="203"/>
      <c r="E30" s="203" t="s">
        <v>36</v>
      </c>
      <c r="F30" s="203"/>
      <c r="G30" s="203" t="s">
        <v>37</v>
      </c>
      <c r="H30" s="203"/>
      <c r="I30" s="32" t="s">
        <v>27</v>
      </c>
    </row>
    <row r="31" spans="2:9" x14ac:dyDescent="0.3">
      <c r="B31" s="203"/>
      <c r="C31" s="32" t="s">
        <v>38</v>
      </c>
      <c r="D31" s="32" t="s">
        <v>39</v>
      </c>
      <c r="E31" s="32" t="s">
        <v>38</v>
      </c>
      <c r="F31" s="32" t="s">
        <v>39</v>
      </c>
      <c r="G31" s="32" t="s">
        <v>38</v>
      </c>
      <c r="H31" s="32" t="s">
        <v>39</v>
      </c>
      <c r="I31" s="32" t="s">
        <v>23</v>
      </c>
    </row>
    <row r="32" spans="2:9" ht="15" hidden="1" customHeight="1" x14ac:dyDescent="0.35">
      <c r="B32" s="179" t="s">
        <v>152</v>
      </c>
      <c r="C32" s="179" t="s">
        <v>153</v>
      </c>
      <c r="D32" s="179" t="s">
        <v>154</v>
      </c>
      <c r="E32" s="179" t="s">
        <v>155</v>
      </c>
      <c r="F32" s="179" t="s">
        <v>156</v>
      </c>
      <c r="G32" s="179" t="s">
        <v>157</v>
      </c>
      <c r="H32" s="179" t="s">
        <v>158</v>
      </c>
      <c r="I32" s="179" t="s">
        <v>23</v>
      </c>
    </row>
    <row r="33" spans="2:9" x14ac:dyDescent="0.3">
      <c r="B33" s="28" t="s">
        <v>9</v>
      </c>
      <c r="C33" s="75">
        <v>365</v>
      </c>
      <c r="D33" s="86">
        <v>5.4274999999999997E-2</v>
      </c>
      <c r="E33" s="75">
        <v>6360</v>
      </c>
      <c r="F33" s="86">
        <v>0.94572400000000001</v>
      </c>
      <c r="G33" s="75">
        <v>0</v>
      </c>
      <c r="H33" s="86">
        <v>0</v>
      </c>
      <c r="I33" s="87">
        <v>6725</v>
      </c>
    </row>
    <row r="34" spans="2:9" x14ac:dyDescent="0.3">
      <c r="B34" s="113" t="s">
        <v>10</v>
      </c>
      <c r="C34" s="111">
        <v>904</v>
      </c>
      <c r="D34" s="125">
        <v>0.20940400000000001</v>
      </c>
      <c r="E34" s="111">
        <v>3413</v>
      </c>
      <c r="F34" s="125">
        <v>0.79059500000000005</v>
      </c>
      <c r="G34" s="111">
        <v>0</v>
      </c>
      <c r="H34" s="125">
        <v>0</v>
      </c>
      <c r="I34" s="126">
        <v>4317</v>
      </c>
    </row>
    <row r="35" spans="2:9" x14ac:dyDescent="0.3">
      <c r="B35" s="129" t="s">
        <v>11</v>
      </c>
      <c r="C35" s="130">
        <v>54</v>
      </c>
      <c r="D35" s="143">
        <v>8.5849999999999996E-2</v>
      </c>
      <c r="E35" s="130">
        <v>575</v>
      </c>
      <c r="F35" s="143">
        <v>0.91414899999999999</v>
      </c>
      <c r="G35" s="130">
        <v>0</v>
      </c>
      <c r="H35" s="143">
        <v>0</v>
      </c>
      <c r="I35" s="144">
        <v>629</v>
      </c>
    </row>
    <row r="36" spans="2:9" x14ac:dyDescent="0.3">
      <c r="B36" s="129" t="s">
        <v>12</v>
      </c>
      <c r="C36" s="130">
        <v>569</v>
      </c>
      <c r="D36" s="143">
        <v>0.185281</v>
      </c>
      <c r="E36" s="130">
        <v>2502</v>
      </c>
      <c r="F36" s="143">
        <v>0.81471800000000005</v>
      </c>
      <c r="G36" s="130">
        <v>0</v>
      </c>
      <c r="H36" s="143">
        <v>0</v>
      </c>
      <c r="I36" s="144">
        <v>3071</v>
      </c>
    </row>
    <row r="37" spans="2:9" x14ac:dyDescent="0.3">
      <c r="B37" s="129" t="s">
        <v>13</v>
      </c>
      <c r="C37" s="130">
        <v>472</v>
      </c>
      <c r="D37" s="143">
        <v>0.11022800000000001</v>
      </c>
      <c r="E37" s="130">
        <v>3810</v>
      </c>
      <c r="F37" s="143">
        <v>0.88977099999999998</v>
      </c>
      <c r="G37" s="130">
        <v>0</v>
      </c>
      <c r="H37" s="143">
        <v>0</v>
      </c>
      <c r="I37" s="144">
        <v>4282</v>
      </c>
    </row>
    <row r="38" spans="2:9" x14ac:dyDescent="0.3">
      <c r="B38" s="129" t="s">
        <v>14</v>
      </c>
      <c r="C38" s="130">
        <v>320</v>
      </c>
      <c r="D38" s="143">
        <v>0.115149</v>
      </c>
      <c r="E38" s="130">
        <v>2459</v>
      </c>
      <c r="F38" s="143">
        <v>0.88485000000000003</v>
      </c>
      <c r="G38" s="130">
        <v>0</v>
      </c>
      <c r="H38" s="143">
        <v>0</v>
      </c>
      <c r="I38" s="144">
        <v>2779</v>
      </c>
    </row>
    <row r="39" spans="2:9" x14ac:dyDescent="0.3">
      <c r="B39" s="129" t="s">
        <v>15</v>
      </c>
      <c r="C39" s="130">
        <v>388</v>
      </c>
      <c r="D39" s="143">
        <v>5.5435999999999999E-2</v>
      </c>
      <c r="E39" s="130">
        <v>6611</v>
      </c>
      <c r="F39" s="143">
        <v>0.94456300000000004</v>
      </c>
      <c r="G39" s="130">
        <v>0</v>
      </c>
      <c r="H39" s="143">
        <v>0</v>
      </c>
      <c r="I39" s="144">
        <v>6999</v>
      </c>
    </row>
    <row r="40" spans="2:9" x14ac:dyDescent="0.3">
      <c r="B40" s="129" t="s">
        <v>16</v>
      </c>
      <c r="C40" s="130">
        <v>344</v>
      </c>
      <c r="D40" s="143">
        <v>5.3037000000000001E-2</v>
      </c>
      <c r="E40" s="130">
        <v>6142</v>
      </c>
      <c r="F40" s="143">
        <v>0.94696199999999997</v>
      </c>
      <c r="G40" s="130">
        <v>0</v>
      </c>
      <c r="H40" s="143">
        <v>0</v>
      </c>
      <c r="I40" s="144">
        <v>6486</v>
      </c>
    </row>
    <row r="41" spans="2:9" x14ac:dyDescent="0.3">
      <c r="B41" s="129" t="s">
        <v>17</v>
      </c>
      <c r="C41" s="130">
        <v>231</v>
      </c>
      <c r="D41" s="143">
        <v>9.7838999999999995E-2</v>
      </c>
      <c r="E41" s="130">
        <v>2130</v>
      </c>
      <c r="F41" s="143">
        <v>0.90215999999999996</v>
      </c>
      <c r="G41" s="130">
        <v>0</v>
      </c>
      <c r="H41" s="143">
        <v>0</v>
      </c>
      <c r="I41" s="144">
        <v>2361</v>
      </c>
    </row>
    <row r="42" spans="2:9" x14ac:dyDescent="0.3">
      <c r="B42" s="129" t="s">
        <v>18</v>
      </c>
      <c r="C42" s="130">
        <v>149</v>
      </c>
      <c r="D42" s="143">
        <v>0.100067</v>
      </c>
      <c r="E42" s="130">
        <v>1340</v>
      </c>
      <c r="F42" s="143">
        <v>0.89993199999999995</v>
      </c>
      <c r="G42" s="130">
        <v>0</v>
      </c>
      <c r="H42" s="143">
        <v>0</v>
      </c>
      <c r="I42" s="144">
        <v>1489</v>
      </c>
    </row>
    <row r="43" spans="2:9" x14ac:dyDescent="0.3">
      <c r="B43" s="129" t="s">
        <v>19</v>
      </c>
      <c r="C43" s="130">
        <v>796</v>
      </c>
      <c r="D43" s="143">
        <v>0.130278</v>
      </c>
      <c r="E43" s="130">
        <v>5314</v>
      </c>
      <c r="F43" s="143">
        <v>0.86972099999999997</v>
      </c>
      <c r="G43" s="130">
        <v>0</v>
      </c>
      <c r="H43" s="143">
        <v>0</v>
      </c>
      <c r="I43" s="144">
        <v>6110</v>
      </c>
    </row>
    <row r="44" spans="2:9" x14ac:dyDescent="0.3">
      <c r="B44" s="113" t="s">
        <v>20</v>
      </c>
      <c r="C44" s="111">
        <v>247</v>
      </c>
      <c r="D44" s="125">
        <v>5.2810999999999997E-2</v>
      </c>
      <c r="E44" s="111">
        <v>4430</v>
      </c>
      <c r="F44" s="125">
        <v>0.94718800000000003</v>
      </c>
      <c r="G44" s="111">
        <v>0</v>
      </c>
      <c r="H44" s="125">
        <v>0</v>
      </c>
      <c r="I44" s="126">
        <v>4677</v>
      </c>
    </row>
    <row r="45" spans="2:9" x14ac:dyDescent="0.3">
      <c r="B45" s="129" t="s">
        <v>21</v>
      </c>
      <c r="C45" s="130">
        <v>361</v>
      </c>
      <c r="D45" s="143">
        <v>5.2762000000000003E-2</v>
      </c>
      <c r="E45" s="130">
        <v>6481</v>
      </c>
      <c r="F45" s="143">
        <v>0.947237</v>
      </c>
      <c r="G45" s="130">
        <v>0</v>
      </c>
      <c r="H45" s="143">
        <v>0</v>
      </c>
      <c r="I45" s="144">
        <v>6842</v>
      </c>
    </row>
    <row r="46" spans="2:9" x14ac:dyDescent="0.3">
      <c r="B46" s="113" t="s">
        <v>22</v>
      </c>
      <c r="C46" s="111">
        <v>1200</v>
      </c>
      <c r="D46" s="125">
        <v>8.4768999999999997E-2</v>
      </c>
      <c r="E46" s="111">
        <v>12956</v>
      </c>
      <c r="F46" s="125">
        <v>0.91522999999999999</v>
      </c>
      <c r="G46" s="111">
        <v>0</v>
      </c>
      <c r="H46" s="125">
        <v>0</v>
      </c>
      <c r="I46" s="126">
        <v>14156</v>
      </c>
    </row>
    <row r="47" spans="2:9" x14ac:dyDescent="0.3">
      <c r="B47" s="151" t="s">
        <v>0</v>
      </c>
      <c r="C47" s="152">
        <f>SUBTOTAL(109,'Table 6'!$C$33:$C$46)</f>
        <v>6400</v>
      </c>
      <c r="D47" s="153">
        <f>'Table 6'!$C$47 / 'Table 6'!$I$47</f>
        <v>9.0238709586452914E-2</v>
      </c>
      <c r="E47" s="152">
        <f>SUBTOTAL(109,'Table 6'!$E$33:$E$46)</f>
        <v>64523</v>
      </c>
      <c r="F47" s="153">
        <f>'Table 6'!$E$47 / 'Table 6'!$I$47</f>
        <v>0.90976129041354714</v>
      </c>
      <c r="G47" s="152">
        <f>SUBTOTAL(109,'Table 6'!$G$33:$G$46)</f>
        <v>0</v>
      </c>
      <c r="H47" s="153">
        <f>'Table 6'!$G$47 / 'Table 6'!$I$47</f>
        <v>0</v>
      </c>
      <c r="I47" s="152">
        <f>SUBTOTAL(109,'Table 6'!$I$33:$I$46)</f>
        <v>70923</v>
      </c>
    </row>
    <row r="49" spans="2:2" x14ac:dyDescent="0.3">
      <c r="B49" s="38" t="s">
        <v>105</v>
      </c>
    </row>
    <row r="50" spans="2:2" x14ac:dyDescent="0.3">
      <c r="B50" s="38" t="s">
        <v>40</v>
      </c>
    </row>
    <row r="51" spans="2:2" x14ac:dyDescent="0.3">
      <c r="B51" s="38" t="s">
        <v>109</v>
      </c>
    </row>
    <row r="52" spans="2:2" x14ac:dyDescent="0.3">
      <c r="B52" s="26" t="s">
        <v>6</v>
      </c>
    </row>
    <row r="53" spans="2:2" x14ac:dyDescent="0.3">
      <c r="B53" s="26" t="s">
        <v>7</v>
      </c>
    </row>
    <row r="54" spans="2:2" x14ac:dyDescent="0.3">
      <c r="B54" s="26" t="s">
        <v>108</v>
      </c>
    </row>
  </sheetData>
  <mergeCells count="12">
    <mergeCell ref="B29:I29"/>
    <mergeCell ref="B30:B31"/>
    <mergeCell ref="C30:D30"/>
    <mergeCell ref="E30:F30"/>
    <mergeCell ref="G30:H30"/>
    <mergeCell ref="B1:I1"/>
    <mergeCell ref="B2:I2"/>
    <mergeCell ref="B3:I3"/>
    <mergeCell ref="B4:B5"/>
    <mergeCell ref="C4:D4"/>
    <mergeCell ref="E4:F4"/>
    <mergeCell ref="G4:H4"/>
  </mergeCells>
  <printOptions horizontalCentered="1"/>
  <pageMargins left="0.5" right="0.5" top="1" bottom="0.5" header="0.3" footer="0.3"/>
  <pageSetup scale="95" fitToHeight="0" orientation="landscape" r:id="rId1"/>
  <headerFooter>
    <oddHeader>&amp;L&amp;"Arial,Regular"&amp;10Pennsylvania's State System of Higher Education | &amp;D
Advanced Data Analytics | Page &amp;P of &amp;N</oddHeader>
  </headerFooter>
  <rowBreaks count="1" manualBreakCount="1">
    <brk id="28" min="1" max="8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O44"/>
  <sheetViews>
    <sheetView showGridLines="0" topLeftCell="A40" zoomScaleNormal="100" workbookViewId="0">
      <selection activeCell="C19" sqref="C19"/>
    </sheetView>
  </sheetViews>
  <sheetFormatPr defaultColWidth="9.1796875" defaultRowHeight="14" x14ac:dyDescent="0.3"/>
  <cols>
    <col min="1" max="1" width="9.1796875" style="1"/>
    <col min="2" max="2" width="48.7265625" style="1" customWidth="1"/>
    <col min="3" max="8" width="9.7265625" style="1" customWidth="1"/>
    <col min="9" max="10" width="12.7265625" style="1" customWidth="1"/>
    <col min="11" max="26" width="9.1796875" style="1"/>
    <col min="27" max="27" width="36.81640625" style="1" customWidth="1"/>
    <col min="28" max="34" width="7.26953125" style="1" customWidth="1"/>
    <col min="35" max="35" width="6.26953125" style="1" bestFit="1" customWidth="1"/>
    <col min="36" max="40" width="5.54296875" style="1" bestFit="1" customWidth="1"/>
    <col min="41" max="41" width="7.26953125" style="1" customWidth="1"/>
    <col min="42" max="16384" width="9.1796875" style="1"/>
  </cols>
  <sheetData>
    <row r="1" spans="2:41" ht="15.5" x14ac:dyDescent="0.35">
      <c r="B1" s="198" t="s">
        <v>100</v>
      </c>
      <c r="C1" s="198"/>
      <c r="D1" s="198"/>
      <c r="E1" s="198"/>
      <c r="F1" s="198"/>
      <c r="G1" s="198"/>
      <c r="H1" s="198"/>
      <c r="I1" s="198"/>
      <c r="J1" s="198"/>
      <c r="AA1" s="1" t="s">
        <v>86</v>
      </c>
      <c r="AI1" s="1" t="s">
        <v>87</v>
      </c>
    </row>
    <row r="2" spans="2:41" ht="15.5" x14ac:dyDescent="0.35">
      <c r="B2" s="198" t="str">
        <f>CONCATENATE("New Undergraduate Transfers, ",IF(RIGHT(Parameters!B1,1)="1","Fall ","Spring "), IF(RIGHT(Parameters!B1,1)="1",LEFT(Parameters!B1,4) - 5,LEFT(Parameters!B1,4) -4)," to ", IF(RIGHT(Parameters!B1,1)="1",LEFT(Parameters!B1,4),LEFT(Parameters!B1,4)  + 1) )</f>
        <v>New Undergraduate Transfers, Fall 2016 to 2021</v>
      </c>
      <c r="C2" s="198"/>
      <c r="D2" s="198"/>
      <c r="E2" s="198"/>
      <c r="F2" s="198"/>
      <c r="G2" s="198"/>
      <c r="H2" s="198"/>
      <c r="I2" s="198"/>
      <c r="J2" s="198"/>
      <c r="AA2" s="180" t="s">
        <v>251</v>
      </c>
      <c r="AB2" s="181" t="s">
        <v>240</v>
      </c>
      <c r="AC2" s="181" t="s">
        <v>241</v>
      </c>
      <c r="AD2" s="181" t="s">
        <v>242</v>
      </c>
      <c r="AE2" s="181" t="s">
        <v>243</v>
      </c>
      <c r="AF2" s="181" t="s">
        <v>244</v>
      </c>
      <c r="AG2" s="182" t="s">
        <v>245</v>
      </c>
      <c r="AI2" s="180" t="s">
        <v>251</v>
      </c>
      <c r="AJ2" s="181" t="s">
        <v>240</v>
      </c>
      <c r="AK2" s="181" t="s">
        <v>241</v>
      </c>
      <c r="AL2" s="181" t="s">
        <v>242</v>
      </c>
      <c r="AM2" s="181" t="s">
        <v>243</v>
      </c>
      <c r="AN2" s="181" t="s">
        <v>244</v>
      </c>
      <c r="AO2" s="182" t="s">
        <v>245</v>
      </c>
    </row>
    <row r="3" spans="2:41" ht="15" customHeight="1" x14ac:dyDescent="0.3">
      <c r="B3" s="206"/>
      <c r="C3" s="208">
        <f xml:space="preserve"> IF(RIGHT(Parameters!B1,1)="1",LEFT(Parameters!B1,4) - 5,LEFT(Parameters!B1,4) - 4)</f>
        <v>2016</v>
      </c>
      <c r="D3" s="208">
        <f xml:space="preserve"> IF(RIGHT(Parameters!B1,1)="1",LEFT(Parameters!B1,4) - 4,LEFT(Parameters!B1,4) - 3)</f>
        <v>2017</v>
      </c>
      <c r="E3" s="208">
        <f xml:space="preserve"> IF(RIGHT(Parameters!B1,1)="1",LEFT(Parameters!B1,4) - 3,LEFT(Parameters!B1,4) - 2)</f>
        <v>2018</v>
      </c>
      <c r="F3" s="208">
        <f xml:space="preserve"> IF(RIGHT(Parameters!B1,1)="1",LEFT(Parameters!B1,4) - 2,LEFT(Parameters!B1,4) - 1)</f>
        <v>2019</v>
      </c>
      <c r="G3" s="208">
        <f xml:space="preserve"> IF(RIGHT(Parameters!B1,1)="1",LEFT(Parameters!B1,4) - 1,LEFT(Parameters!B1,4) )</f>
        <v>2020</v>
      </c>
      <c r="H3" s="208" t="str">
        <f xml:space="preserve"> IF(RIGHT(Parameters!B1,1)="1",LEFT(Parameters!B1,4),LEFT(Parameters!B1,4) + 1)</f>
        <v>2021</v>
      </c>
      <c r="I3" s="205" t="s">
        <v>42</v>
      </c>
      <c r="J3" s="205" t="str">
        <f>CONCATENATE("% of ", IF(RIGHT(Parameters!B1,1)="1",LEFT(Parameters!B1,4),LEFT(Parameters!B1,4) + 1)," Total Transfers")</f>
        <v>% of 2021 Total Transfers</v>
      </c>
      <c r="AA3" s="183" t="s">
        <v>252</v>
      </c>
      <c r="AB3" s="184">
        <v>139</v>
      </c>
      <c r="AC3" s="184">
        <v>166</v>
      </c>
      <c r="AD3" s="184">
        <v>163</v>
      </c>
      <c r="AE3" s="184">
        <v>128</v>
      </c>
      <c r="AF3" s="184">
        <v>126</v>
      </c>
      <c r="AG3" s="185">
        <v>115</v>
      </c>
      <c r="AI3" s="183" t="s">
        <v>269</v>
      </c>
      <c r="AJ3" s="184">
        <v>3</v>
      </c>
      <c r="AK3" s="184">
        <v>4</v>
      </c>
      <c r="AL3" s="184">
        <v>4</v>
      </c>
      <c r="AM3" s="184">
        <v>12</v>
      </c>
      <c r="AN3" s="184">
        <v>8</v>
      </c>
      <c r="AO3" s="185">
        <v>3</v>
      </c>
    </row>
    <row r="4" spans="2:41" x14ac:dyDescent="0.3">
      <c r="B4" s="207"/>
      <c r="C4" s="209"/>
      <c r="D4" s="209"/>
      <c r="E4" s="209"/>
      <c r="F4" s="209"/>
      <c r="G4" s="209"/>
      <c r="H4" s="209"/>
      <c r="I4" s="205"/>
      <c r="J4" s="205"/>
      <c r="AA4" s="186" t="s">
        <v>253</v>
      </c>
      <c r="AB4" s="187">
        <v>210</v>
      </c>
      <c r="AC4" s="187">
        <v>188</v>
      </c>
      <c r="AD4" s="187">
        <v>196</v>
      </c>
      <c r="AE4" s="187">
        <v>184</v>
      </c>
      <c r="AF4" s="187">
        <v>160</v>
      </c>
      <c r="AG4" s="188">
        <v>152</v>
      </c>
      <c r="AI4" s="186" t="s">
        <v>270</v>
      </c>
      <c r="AJ4" s="187">
        <v>0</v>
      </c>
      <c r="AK4" s="187">
        <v>0</v>
      </c>
      <c r="AL4" s="187">
        <v>2</v>
      </c>
      <c r="AM4" s="187">
        <v>0</v>
      </c>
      <c r="AN4" s="187">
        <v>0</v>
      </c>
      <c r="AO4" s="188">
        <v>0</v>
      </c>
    </row>
    <row r="5" spans="2:41" ht="14.5" x14ac:dyDescent="0.35">
      <c r="B5" s="49" t="s">
        <v>43</v>
      </c>
      <c r="C5" s="50"/>
      <c r="D5" s="50"/>
      <c r="E5" s="50"/>
      <c r="F5" s="50"/>
      <c r="G5" s="50"/>
      <c r="H5" s="50"/>
      <c r="I5" s="55"/>
      <c r="J5" s="56"/>
      <c r="AA5" s="183" t="s">
        <v>254</v>
      </c>
      <c r="AB5" s="184">
        <v>495</v>
      </c>
      <c r="AC5" s="184">
        <v>400</v>
      </c>
      <c r="AD5" s="184">
        <v>466</v>
      </c>
      <c r="AE5" s="184">
        <v>408</v>
      </c>
      <c r="AF5" s="184">
        <v>400</v>
      </c>
      <c r="AG5" s="185">
        <v>324</v>
      </c>
      <c r="AI5" s="183" t="s">
        <v>271</v>
      </c>
      <c r="AJ5" s="184">
        <v>326</v>
      </c>
      <c r="AK5" s="184">
        <v>238</v>
      </c>
      <c r="AL5" s="184">
        <v>221</v>
      </c>
      <c r="AM5" s="184">
        <v>198</v>
      </c>
      <c r="AN5" s="184">
        <v>167</v>
      </c>
      <c r="AO5" s="185">
        <v>143</v>
      </c>
    </row>
    <row r="6" spans="2:41" x14ac:dyDescent="0.3">
      <c r="B6" s="51" t="s">
        <v>44</v>
      </c>
      <c r="C6" s="52">
        <f t="shared" ref="C6:H6" si="0">SUM(AB7+AB8+AB9+AB10)</f>
        <v>359</v>
      </c>
      <c r="D6" s="52">
        <f t="shared" si="0"/>
        <v>398</v>
      </c>
      <c r="E6" s="52">
        <f t="shared" si="0"/>
        <v>330</v>
      </c>
      <c r="F6" s="52">
        <f t="shared" si="0"/>
        <v>289</v>
      </c>
      <c r="G6" s="52">
        <f t="shared" si="0"/>
        <v>271</v>
      </c>
      <c r="H6" s="52">
        <f t="shared" si="0"/>
        <v>264</v>
      </c>
      <c r="I6" s="57">
        <f t="shared" ref="I6:I7" si="1">H6 / C6 -1</f>
        <v>-0.26462395543175488</v>
      </c>
      <c r="J6" s="40">
        <f>H6 / H35</f>
        <v>5.628997867803838E-2</v>
      </c>
      <c r="AA6" s="186" t="s">
        <v>255</v>
      </c>
      <c r="AB6" s="187">
        <v>75</v>
      </c>
      <c r="AC6" s="187">
        <v>60</v>
      </c>
      <c r="AD6" s="187">
        <v>51</v>
      </c>
      <c r="AE6" s="187">
        <v>51</v>
      </c>
      <c r="AF6" s="187">
        <v>59</v>
      </c>
      <c r="AG6" s="188">
        <v>32</v>
      </c>
      <c r="AI6" s="186" t="s">
        <v>272</v>
      </c>
      <c r="AJ6" s="187">
        <v>40</v>
      </c>
      <c r="AK6" s="187">
        <v>60</v>
      </c>
      <c r="AL6" s="187">
        <v>45</v>
      </c>
      <c r="AM6" s="187">
        <v>48</v>
      </c>
      <c r="AN6" s="187">
        <v>55</v>
      </c>
      <c r="AO6" s="188">
        <v>78</v>
      </c>
    </row>
    <row r="7" spans="2:41" x14ac:dyDescent="0.3">
      <c r="B7" s="51" t="s">
        <v>45</v>
      </c>
      <c r="C7" s="52">
        <f t="shared" ref="C7:H7" si="2">AB6</f>
        <v>75</v>
      </c>
      <c r="D7" s="52">
        <f t="shared" si="2"/>
        <v>60</v>
      </c>
      <c r="E7" s="52">
        <f t="shared" si="2"/>
        <v>51</v>
      </c>
      <c r="F7" s="52">
        <f t="shared" si="2"/>
        <v>51</v>
      </c>
      <c r="G7" s="52">
        <f t="shared" si="2"/>
        <v>59</v>
      </c>
      <c r="H7" s="52">
        <f t="shared" si="2"/>
        <v>32</v>
      </c>
      <c r="I7" s="57">
        <f t="shared" si="1"/>
        <v>-0.57333333333333325</v>
      </c>
      <c r="J7" s="40">
        <f>H7 / H35</f>
        <v>6.8230277185501063E-3</v>
      </c>
      <c r="AA7" s="183" t="s">
        <v>256</v>
      </c>
      <c r="AB7" s="184">
        <v>148</v>
      </c>
      <c r="AC7" s="184">
        <v>179</v>
      </c>
      <c r="AD7" s="184">
        <v>119</v>
      </c>
      <c r="AE7" s="184">
        <v>127</v>
      </c>
      <c r="AF7" s="184">
        <v>105</v>
      </c>
      <c r="AG7" s="185">
        <v>120</v>
      </c>
      <c r="AI7" s="183" t="s">
        <v>273</v>
      </c>
      <c r="AJ7" s="184">
        <v>12</v>
      </c>
      <c r="AK7" s="184">
        <v>15</v>
      </c>
      <c r="AL7" s="184">
        <v>10</v>
      </c>
      <c r="AM7" s="184">
        <v>11</v>
      </c>
      <c r="AN7" s="184">
        <v>12</v>
      </c>
      <c r="AO7" s="185">
        <v>13</v>
      </c>
    </row>
    <row r="8" spans="2:41" x14ac:dyDescent="0.3">
      <c r="B8" s="51" t="s">
        <v>46</v>
      </c>
      <c r="C8" s="52">
        <f t="shared" ref="C8:H9" si="3">AB3</f>
        <v>139</v>
      </c>
      <c r="D8" s="52">
        <f t="shared" si="3"/>
        <v>166</v>
      </c>
      <c r="E8" s="52">
        <f t="shared" si="3"/>
        <v>163</v>
      </c>
      <c r="F8" s="52">
        <f t="shared" si="3"/>
        <v>128</v>
      </c>
      <c r="G8" s="52">
        <f t="shared" si="3"/>
        <v>126</v>
      </c>
      <c r="H8" s="52">
        <f t="shared" si="3"/>
        <v>115</v>
      </c>
      <c r="I8" s="57">
        <f>H8 / C8 -1</f>
        <v>-0.17266187050359716</v>
      </c>
      <c r="J8" s="40">
        <f>H8 / H35</f>
        <v>2.4520255863539446E-2</v>
      </c>
      <c r="AA8" s="186" t="s">
        <v>257</v>
      </c>
      <c r="AB8" s="187">
        <v>30</v>
      </c>
      <c r="AC8" s="187">
        <v>28</v>
      </c>
      <c r="AD8" s="187">
        <v>20</v>
      </c>
      <c r="AE8" s="187">
        <v>6</v>
      </c>
      <c r="AF8" s="187">
        <v>11</v>
      </c>
      <c r="AG8" s="188">
        <v>9</v>
      </c>
      <c r="AI8" s="186" t="s">
        <v>274</v>
      </c>
      <c r="AJ8" s="187">
        <v>0</v>
      </c>
      <c r="AK8" s="187">
        <v>0</v>
      </c>
      <c r="AL8" s="187">
        <v>1</v>
      </c>
      <c r="AM8" s="187">
        <v>0</v>
      </c>
      <c r="AN8" s="187">
        <v>0</v>
      </c>
      <c r="AO8" s="188">
        <v>0</v>
      </c>
    </row>
    <row r="9" spans="2:41" x14ac:dyDescent="0.3">
      <c r="B9" s="51" t="s">
        <v>47</v>
      </c>
      <c r="C9" s="52">
        <f t="shared" si="3"/>
        <v>210</v>
      </c>
      <c r="D9" s="52">
        <f t="shared" si="3"/>
        <v>188</v>
      </c>
      <c r="E9" s="52">
        <f t="shared" si="3"/>
        <v>196</v>
      </c>
      <c r="F9" s="52">
        <f t="shared" si="3"/>
        <v>184</v>
      </c>
      <c r="G9" s="52">
        <f t="shared" si="3"/>
        <v>160</v>
      </c>
      <c r="H9" s="52">
        <f t="shared" si="3"/>
        <v>152</v>
      </c>
      <c r="I9" s="57">
        <f t="shared" ref="I9:I18" si="4">H9 / C9 -1</f>
        <v>-0.27619047619047621</v>
      </c>
      <c r="J9" s="40">
        <f>H9 / H35</f>
        <v>3.2409381663113003E-2</v>
      </c>
      <c r="AA9" s="183" t="s">
        <v>258</v>
      </c>
      <c r="AB9" s="184">
        <v>65</v>
      </c>
      <c r="AC9" s="184">
        <v>60</v>
      </c>
      <c r="AD9" s="184">
        <v>59</v>
      </c>
      <c r="AE9" s="184">
        <v>52</v>
      </c>
      <c r="AF9" s="184">
        <v>46</v>
      </c>
      <c r="AG9" s="185">
        <v>38</v>
      </c>
      <c r="AI9" s="183" t="s">
        <v>275</v>
      </c>
      <c r="AJ9" s="184">
        <v>13</v>
      </c>
      <c r="AK9" s="184">
        <v>5</v>
      </c>
      <c r="AL9" s="184">
        <v>9</v>
      </c>
      <c r="AM9" s="184">
        <v>11</v>
      </c>
      <c r="AN9" s="184">
        <v>5</v>
      </c>
      <c r="AO9" s="185">
        <v>11</v>
      </c>
    </row>
    <row r="10" spans="2:41" x14ac:dyDescent="0.3">
      <c r="B10" s="51" t="s">
        <v>48</v>
      </c>
      <c r="C10" s="52">
        <f t="shared" ref="C10:H10" si="5">AB17</f>
        <v>42</v>
      </c>
      <c r="D10" s="52">
        <f t="shared" si="5"/>
        <v>48</v>
      </c>
      <c r="E10" s="52">
        <f t="shared" si="5"/>
        <v>45</v>
      </c>
      <c r="F10" s="52">
        <f t="shared" si="5"/>
        <v>44</v>
      </c>
      <c r="G10" s="52">
        <f t="shared" si="5"/>
        <v>49</v>
      </c>
      <c r="H10" s="52">
        <f t="shared" si="5"/>
        <v>38</v>
      </c>
      <c r="I10" s="57">
        <f t="shared" si="4"/>
        <v>-9.5238095238095233E-2</v>
      </c>
      <c r="J10" s="40">
        <f>H10 / H35</f>
        <v>8.1023454157782508E-3</v>
      </c>
      <c r="AA10" s="186" t="s">
        <v>259</v>
      </c>
      <c r="AB10" s="187">
        <v>116</v>
      </c>
      <c r="AC10" s="187">
        <v>131</v>
      </c>
      <c r="AD10" s="187">
        <v>132</v>
      </c>
      <c r="AE10" s="187">
        <v>104</v>
      </c>
      <c r="AF10" s="187">
        <v>109</v>
      </c>
      <c r="AG10" s="188">
        <v>97</v>
      </c>
      <c r="AI10" s="186" t="s">
        <v>276</v>
      </c>
      <c r="AJ10" s="187">
        <v>22</v>
      </c>
      <c r="AK10" s="187">
        <v>15</v>
      </c>
      <c r="AL10" s="187">
        <v>24</v>
      </c>
      <c r="AM10" s="187">
        <v>25</v>
      </c>
      <c r="AN10" s="187">
        <v>9</v>
      </c>
      <c r="AO10" s="188">
        <v>14</v>
      </c>
    </row>
    <row r="11" spans="2:41" x14ac:dyDescent="0.3">
      <c r="B11" s="51" t="s">
        <v>49</v>
      </c>
      <c r="C11" s="52">
        <f t="shared" ref="C11:H11" si="6">AB12</f>
        <v>443</v>
      </c>
      <c r="D11" s="52">
        <f t="shared" si="6"/>
        <v>414</v>
      </c>
      <c r="E11" s="52">
        <f t="shared" si="6"/>
        <v>355</v>
      </c>
      <c r="F11" s="52">
        <f t="shared" si="6"/>
        <v>380</v>
      </c>
      <c r="G11" s="52">
        <f t="shared" si="6"/>
        <v>395</v>
      </c>
      <c r="H11" s="52">
        <f t="shared" si="6"/>
        <v>379</v>
      </c>
      <c r="I11" s="57">
        <f t="shared" si="4"/>
        <v>-0.14446952595936791</v>
      </c>
      <c r="J11" s="40">
        <f>H11 / H35</f>
        <v>8.0810234541577819E-2</v>
      </c>
      <c r="AA11" s="183" t="s">
        <v>260</v>
      </c>
      <c r="AB11" s="184">
        <v>156</v>
      </c>
      <c r="AC11" s="184">
        <v>128</v>
      </c>
      <c r="AD11" s="184">
        <v>105</v>
      </c>
      <c r="AE11" s="184">
        <v>110</v>
      </c>
      <c r="AF11" s="184">
        <v>134</v>
      </c>
      <c r="AG11" s="185">
        <v>130</v>
      </c>
      <c r="AI11" s="183" t="s">
        <v>277</v>
      </c>
      <c r="AJ11" s="184">
        <v>47</v>
      </c>
      <c r="AK11" s="184">
        <v>56</v>
      </c>
      <c r="AL11" s="184">
        <v>53</v>
      </c>
      <c r="AM11" s="184">
        <v>38</v>
      </c>
      <c r="AN11" s="184">
        <v>36</v>
      </c>
      <c r="AO11" s="185">
        <v>40</v>
      </c>
    </row>
    <row r="12" spans="2:41" x14ac:dyDescent="0.3">
      <c r="B12" s="51" t="s">
        <v>50</v>
      </c>
      <c r="C12" s="52">
        <f t="shared" ref="C12:H12" si="7">AB5</f>
        <v>495</v>
      </c>
      <c r="D12" s="52">
        <f t="shared" si="7"/>
        <v>400</v>
      </c>
      <c r="E12" s="52">
        <f t="shared" si="7"/>
        <v>466</v>
      </c>
      <c r="F12" s="52">
        <f t="shared" si="7"/>
        <v>408</v>
      </c>
      <c r="G12" s="52">
        <f t="shared" si="7"/>
        <v>400</v>
      </c>
      <c r="H12" s="52">
        <f t="shared" si="7"/>
        <v>324</v>
      </c>
      <c r="I12" s="57">
        <f t="shared" si="4"/>
        <v>-0.34545454545454546</v>
      </c>
      <c r="J12" s="40">
        <f>H12 / H35</f>
        <v>6.9083155650319833E-2</v>
      </c>
      <c r="AA12" s="186" t="s">
        <v>261</v>
      </c>
      <c r="AB12" s="187">
        <v>443</v>
      </c>
      <c r="AC12" s="187">
        <v>414</v>
      </c>
      <c r="AD12" s="187">
        <v>355</v>
      </c>
      <c r="AE12" s="187">
        <v>380</v>
      </c>
      <c r="AF12" s="187">
        <v>395</v>
      </c>
      <c r="AG12" s="188">
        <v>379</v>
      </c>
      <c r="AI12" s="192" t="s">
        <v>278</v>
      </c>
      <c r="AJ12" s="193">
        <v>11</v>
      </c>
      <c r="AK12" s="193">
        <v>16</v>
      </c>
      <c r="AL12" s="193">
        <v>10</v>
      </c>
      <c r="AM12" s="193">
        <v>9</v>
      </c>
      <c r="AN12" s="193">
        <v>6</v>
      </c>
      <c r="AO12" s="194">
        <v>2</v>
      </c>
    </row>
    <row r="13" spans="2:41" x14ac:dyDescent="0.3">
      <c r="B13" s="51" t="s">
        <v>51</v>
      </c>
      <c r="C13" s="52">
        <f t="shared" ref="C13:H16" si="8">AB13</f>
        <v>165</v>
      </c>
      <c r="D13" s="52">
        <f t="shared" si="8"/>
        <v>200</v>
      </c>
      <c r="E13" s="52">
        <f t="shared" si="8"/>
        <v>189</v>
      </c>
      <c r="F13" s="52">
        <f t="shared" si="8"/>
        <v>174</v>
      </c>
      <c r="G13" s="52">
        <f t="shared" si="8"/>
        <v>173</v>
      </c>
      <c r="H13" s="52">
        <f t="shared" si="8"/>
        <v>168</v>
      </c>
      <c r="I13" s="57">
        <f t="shared" si="4"/>
        <v>1.8181818181818077E-2</v>
      </c>
      <c r="J13" s="40">
        <f>H13 / H35</f>
        <v>3.5820895522388062E-2</v>
      </c>
      <c r="AA13" s="183" t="s">
        <v>262</v>
      </c>
      <c r="AB13" s="184">
        <v>165</v>
      </c>
      <c r="AC13" s="184">
        <v>200</v>
      </c>
      <c r="AD13" s="184">
        <v>189</v>
      </c>
      <c r="AE13" s="184">
        <v>174</v>
      </c>
      <c r="AF13" s="184">
        <v>173</v>
      </c>
      <c r="AG13" s="185">
        <v>168</v>
      </c>
    </row>
    <row r="14" spans="2:41" x14ac:dyDescent="0.3">
      <c r="B14" s="51" t="s">
        <v>52</v>
      </c>
      <c r="C14" s="52">
        <f t="shared" si="8"/>
        <v>112</v>
      </c>
      <c r="D14" s="52">
        <f t="shared" si="8"/>
        <v>70</v>
      </c>
      <c r="E14" s="52">
        <f t="shared" si="8"/>
        <v>124</v>
      </c>
      <c r="F14" s="52">
        <f t="shared" si="8"/>
        <v>84</v>
      </c>
      <c r="G14" s="52">
        <f t="shared" si="8"/>
        <v>80</v>
      </c>
      <c r="H14" s="52">
        <f t="shared" si="8"/>
        <v>68</v>
      </c>
      <c r="I14" s="57">
        <f t="shared" si="4"/>
        <v>-0.3928571428571429</v>
      </c>
      <c r="J14" s="40">
        <f>H14 / H35</f>
        <v>1.4498933901918977E-2</v>
      </c>
      <c r="AA14" s="186" t="s">
        <v>263</v>
      </c>
      <c r="AB14" s="187">
        <v>112</v>
      </c>
      <c r="AC14" s="187">
        <v>70</v>
      </c>
      <c r="AD14" s="187">
        <v>124</v>
      </c>
      <c r="AE14" s="187">
        <v>84</v>
      </c>
      <c r="AF14" s="187">
        <v>80</v>
      </c>
      <c r="AG14" s="188">
        <v>68</v>
      </c>
      <c r="AI14" s="1" t="s">
        <v>88</v>
      </c>
    </row>
    <row r="15" spans="2:41" x14ac:dyDescent="0.3">
      <c r="B15" s="51" t="s">
        <v>53</v>
      </c>
      <c r="C15" s="52">
        <f t="shared" si="8"/>
        <v>258</v>
      </c>
      <c r="D15" s="52">
        <f t="shared" si="8"/>
        <v>257</v>
      </c>
      <c r="E15" s="52">
        <f t="shared" si="8"/>
        <v>233</v>
      </c>
      <c r="F15" s="52">
        <f t="shared" si="8"/>
        <v>198</v>
      </c>
      <c r="G15" s="52">
        <f t="shared" si="8"/>
        <v>184</v>
      </c>
      <c r="H15" s="52">
        <f t="shared" si="8"/>
        <v>180</v>
      </c>
      <c r="I15" s="57">
        <f t="shared" si="4"/>
        <v>-0.30232558139534882</v>
      </c>
      <c r="J15" s="40">
        <f>H15 / H35</f>
        <v>3.8379530916844352E-2</v>
      </c>
      <c r="AA15" s="183" t="s">
        <v>264</v>
      </c>
      <c r="AB15" s="184">
        <v>258</v>
      </c>
      <c r="AC15" s="184">
        <v>257</v>
      </c>
      <c r="AD15" s="184">
        <v>233</v>
      </c>
      <c r="AE15" s="184">
        <v>198</v>
      </c>
      <c r="AF15" s="184">
        <v>184</v>
      </c>
      <c r="AG15" s="185">
        <v>180</v>
      </c>
      <c r="AI15" s="180" t="s">
        <v>240</v>
      </c>
      <c r="AJ15" s="181" t="s">
        <v>241</v>
      </c>
      <c r="AK15" s="181" t="s">
        <v>242</v>
      </c>
      <c r="AL15" s="181" t="s">
        <v>243</v>
      </c>
      <c r="AM15" s="181" t="s">
        <v>244</v>
      </c>
      <c r="AN15" s="182" t="s">
        <v>245</v>
      </c>
    </row>
    <row r="16" spans="2:41" x14ac:dyDescent="0.3">
      <c r="B16" s="51" t="s">
        <v>54</v>
      </c>
      <c r="C16" s="52">
        <f t="shared" si="8"/>
        <v>384</v>
      </c>
      <c r="D16" s="52">
        <f t="shared" si="8"/>
        <v>373</v>
      </c>
      <c r="E16" s="52">
        <f t="shared" si="8"/>
        <v>317</v>
      </c>
      <c r="F16" s="52">
        <f t="shared" si="8"/>
        <v>311</v>
      </c>
      <c r="G16" s="52">
        <f t="shared" si="8"/>
        <v>299</v>
      </c>
      <c r="H16" s="52">
        <f t="shared" si="8"/>
        <v>252</v>
      </c>
      <c r="I16" s="57">
        <f t="shared" si="4"/>
        <v>-0.34375</v>
      </c>
      <c r="J16" s="40">
        <f>H16 / H35</f>
        <v>5.3731343283582089E-2</v>
      </c>
      <c r="AA16" s="186" t="s">
        <v>265</v>
      </c>
      <c r="AB16" s="187">
        <v>384</v>
      </c>
      <c r="AC16" s="187">
        <v>373</v>
      </c>
      <c r="AD16" s="187">
        <v>317</v>
      </c>
      <c r="AE16" s="187">
        <v>311</v>
      </c>
      <c r="AF16" s="187">
        <v>299</v>
      </c>
      <c r="AG16" s="188">
        <v>252</v>
      </c>
      <c r="AI16" s="189">
        <v>582</v>
      </c>
      <c r="AJ16" s="190">
        <v>593</v>
      </c>
      <c r="AK16" s="190">
        <v>534</v>
      </c>
      <c r="AL16" s="190">
        <v>453</v>
      </c>
      <c r="AM16" s="190">
        <v>375</v>
      </c>
      <c r="AN16" s="191">
        <v>377</v>
      </c>
    </row>
    <row r="17" spans="2:41" x14ac:dyDescent="0.3">
      <c r="B17" s="51" t="s">
        <v>55</v>
      </c>
      <c r="C17" s="52">
        <f>AB11</f>
        <v>156</v>
      </c>
      <c r="D17" s="52">
        <f t="shared" ref="D17:H17" si="9">AC11</f>
        <v>128</v>
      </c>
      <c r="E17" s="52">
        <f t="shared" si="9"/>
        <v>105</v>
      </c>
      <c r="F17" s="52">
        <f t="shared" si="9"/>
        <v>110</v>
      </c>
      <c r="G17" s="52">
        <f t="shared" si="9"/>
        <v>134</v>
      </c>
      <c r="H17" s="52">
        <f t="shared" si="9"/>
        <v>130</v>
      </c>
      <c r="I17" s="57">
        <f t="shared" si="4"/>
        <v>-0.16666666666666663</v>
      </c>
      <c r="J17" s="40">
        <f>H17 / H35</f>
        <v>2.7718550106609809E-2</v>
      </c>
      <c r="AA17" s="183" t="s">
        <v>266</v>
      </c>
      <c r="AB17" s="184">
        <v>42</v>
      </c>
      <c r="AC17" s="184">
        <v>48</v>
      </c>
      <c r="AD17" s="184">
        <v>45</v>
      </c>
      <c r="AE17" s="184">
        <v>44</v>
      </c>
      <c r="AF17" s="184">
        <v>49</v>
      </c>
      <c r="AG17" s="185">
        <v>38</v>
      </c>
    </row>
    <row r="18" spans="2:41" x14ac:dyDescent="0.3">
      <c r="B18" s="51" t="s">
        <v>56</v>
      </c>
      <c r="C18" s="52">
        <f>AB18</f>
        <v>89</v>
      </c>
      <c r="D18" s="52">
        <f t="shared" ref="D18:H19" si="10">AC18</f>
        <v>68</v>
      </c>
      <c r="E18" s="52">
        <f t="shared" si="10"/>
        <v>108</v>
      </c>
      <c r="F18" s="52">
        <f t="shared" si="10"/>
        <v>87</v>
      </c>
      <c r="G18" s="52">
        <f t="shared" si="10"/>
        <v>75</v>
      </c>
      <c r="H18" s="52">
        <f t="shared" si="10"/>
        <v>78</v>
      </c>
      <c r="I18" s="57">
        <f t="shared" si="4"/>
        <v>-0.1235955056179775</v>
      </c>
      <c r="J18" s="40">
        <f>H18 / H35</f>
        <v>1.6631130063965886E-2</v>
      </c>
      <c r="AA18" s="186" t="s">
        <v>267</v>
      </c>
      <c r="AB18" s="187">
        <v>89</v>
      </c>
      <c r="AC18" s="187">
        <v>68</v>
      </c>
      <c r="AD18" s="187">
        <v>108</v>
      </c>
      <c r="AE18" s="187">
        <v>87</v>
      </c>
      <c r="AF18" s="187">
        <v>75</v>
      </c>
      <c r="AG18" s="188">
        <v>78</v>
      </c>
      <c r="AI18" s="180" t="s">
        <v>240</v>
      </c>
      <c r="AJ18" s="181" t="s">
        <v>241</v>
      </c>
      <c r="AK18" s="181" t="s">
        <v>242</v>
      </c>
      <c r="AL18" s="181" t="s">
        <v>243</v>
      </c>
      <c r="AM18" s="181" t="s">
        <v>244</v>
      </c>
      <c r="AN18" s="182" t="s">
        <v>245</v>
      </c>
    </row>
    <row r="19" spans="2:41" x14ac:dyDescent="0.3">
      <c r="B19" s="53" t="s">
        <v>57</v>
      </c>
      <c r="C19" s="54">
        <f>AB19</f>
        <v>151</v>
      </c>
      <c r="D19" s="54">
        <f t="shared" si="10"/>
        <v>153</v>
      </c>
      <c r="E19" s="54">
        <f t="shared" si="10"/>
        <v>112</v>
      </c>
      <c r="F19" s="54">
        <f t="shared" si="10"/>
        <v>136</v>
      </c>
      <c r="G19" s="54">
        <f t="shared" si="10"/>
        <v>95</v>
      </c>
      <c r="H19" s="54">
        <f t="shared" si="10"/>
        <v>94</v>
      </c>
      <c r="I19" s="58">
        <f>H19 / C19 -1</f>
        <v>-0.37748344370860931</v>
      </c>
      <c r="J19" s="59">
        <f>H19 / H35</f>
        <v>2.0042643923240937E-2</v>
      </c>
      <c r="AA19" s="189" t="s">
        <v>268</v>
      </c>
      <c r="AB19" s="190">
        <v>151</v>
      </c>
      <c r="AC19" s="190">
        <v>153</v>
      </c>
      <c r="AD19" s="190">
        <v>112</v>
      </c>
      <c r="AE19" s="190">
        <v>136</v>
      </c>
      <c r="AF19" s="190">
        <v>95</v>
      </c>
      <c r="AG19" s="191">
        <v>94</v>
      </c>
      <c r="AI19" s="189">
        <v>2515</v>
      </c>
      <c r="AJ19" s="190">
        <v>2292</v>
      </c>
      <c r="AK19" s="190">
        <v>2179</v>
      </c>
      <c r="AL19" s="190">
        <v>1990</v>
      </c>
      <c r="AM19" s="190">
        <v>1817</v>
      </c>
      <c r="AN19" s="191">
        <v>1735</v>
      </c>
    </row>
    <row r="20" spans="2:41" x14ac:dyDescent="0.3">
      <c r="B20" s="44" t="s">
        <v>58</v>
      </c>
      <c r="C20" s="45">
        <f>SUM(C6:C19)</f>
        <v>3078</v>
      </c>
      <c r="D20" s="45">
        <f t="shared" ref="D20:H20" si="11">SUM(D6:D19)</f>
        <v>2923</v>
      </c>
      <c r="E20" s="45">
        <f t="shared" si="11"/>
        <v>2794</v>
      </c>
      <c r="F20" s="45">
        <f t="shared" si="11"/>
        <v>2584</v>
      </c>
      <c r="G20" s="45">
        <f t="shared" si="11"/>
        <v>2500</v>
      </c>
      <c r="H20" s="45">
        <f t="shared" si="11"/>
        <v>2274</v>
      </c>
      <c r="I20" s="42">
        <f>H20 / C20 -1</f>
        <v>-0.26120857699805067</v>
      </c>
      <c r="J20" s="42">
        <f xml:space="preserve"> H20 / H35</f>
        <v>0.48486140724946697</v>
      </c>
    </row>
    <row r="21" spans="2:41" ht="14.5" x14ac:dyDescent="0.35">
      <c r="B21" s="60" t="s">
        <v>59</v>
      </c>
      <c r="C21" s="61">
        <f>AA34/C20</f>
        <v>0.24171539961013644</v>
      </c>
      <c r="D21" s="61">
        <f t="shared" ref="D21:H21" si="12">AB34/D20</f>
        <v>0.24290112897707836</v>
      </c>
      <c r="E21" s="61">
        <f t="shared" si="12"/>
        <v>0.22512526843235506</v>
      </c>
      <c r="F21" s="61">
        <f t="shared" si="12"/>
        <v>0.24651702786377708</v>
      </c>
      <c r="G21" s="61">
        <f t="shared" si="12"/>
        <v>0.25359999999999999</v>
      </c>
      <c r="H21" s="61">
        <f t="shared" si="12"/>
        <v>0.23175021987686895</v>
      </c>
      <c r="I21" s="47"/>
      <c r="J21" s="47"/>
      <c r="AA21" s="1" t="s">
        <v>89</v>
      </c>
      <c r="AI21" s="1" t="s">
        <v>92</v>
      </c>
    </row>
    <row r="22" spans="2:41" ht="14.5" x14ac:dyDescent="0.35">
      <c r="B22" s="62" t="s">
        <v>60</v>
      </c>
      <c r="C22" s="40">
        <f xml:space="preserve"> AB29 / C20</f>
        <v>0.82456140350877194</v>
      </c>
      <c r="D22" s="40">
        <f t="shared" ref="D22:H22" si="13" xml:space="preserve"> AC29 / D20</f>
        <v>0.81662675333561408</v>
      </c>
      <c r="E22" s="40">
        <f t="shared" si="13"/>
        <v>0.81317108088761636</v>
      </c>
      <c r="F22" s="40">
        <f t="shared" si="13"/>
        <v>0.79489164086687303</v>
      </c>
      <c r="G22" s="40">
        <f t="shared" si="13"/>
        <v>0.75919999999999999</v>
      </c>
      <c r="H22" s="40">
        <f t="shared" si="13"/>
        <v>0.7832014072119613</v>
      </c>
      <c r="I22" s="47"/>
      <c r="J22" s="47"/>
      <c r="AA22" s="180" t="s">
        <v>36</v>
      </c>
      <c r="AB22" s="181" t="s">
        <v>240</v>
      </c>
      <c r="AC22" s="181" t="s">
        <v>241</v>
      </c>
      <c r="AD22" s="181" t="s">
        <v>242</v>
      </c>
      <c r="AE22" s="181" t="s">
        <v>243</v>
      </c>
      <c r="AF22" s="181" t="s">
        <v>244</v>
      </c>
      <c r="AG22" s="182" t="s">
        <v>245</v>
      </c>
      <c r="AI22" s="180" t="s">
        <v>248</v>
      </c>
      <c r="AJ22" s="181" t="s">
        <v>240</v>
      </c>
      <c r="AK22" s="181" t="s">
        <v>241</v>
      </c>
      <c r="AL22" s="181" t="s">
        <v>242</v>
      </c>
      <c r="AM22" s="181" t="s">
        <v>243</v>
      </c>
      <c r="AN22" s="181" t="s">
        <v>244</v>
      </c>
      <c r="AO22" s="182" t="s">
        <v>245</v>
      </c>
    </row>
    <row r="23" spans="2:41" ht="14.5" x14ac:dyDescent="0.35">
      <c r="B23" s="62" t="s">
        <v>61</v>
      </c>
      <c r="C23" s="40">
        <f xml:space="preserve"> AB24 / C20</f>
        <v>0.76088369070825213</v>
      </c>
      <c r="D23" s="40">
        <f t="shared" ref="D23:H23" si="14" xml:space="preserve"> AC24 / D20</f>
        <v>0.73794047211768732</v>
      </c>
      <c r="E23" s="40">
        <f t="shared" si="14"/>
        <v>0.75626342161775229</v>
      </c>
      <c r="F23" s="40">
        <f t="shared" si="14"/>
        <v>0.76006191950464397</v>
      </c>
      <c r="G23" s="40">
        <f t="shared" si="14"/>
        <v>0.71279999999999999</v>
      </c>
      <c r="H23" s="40">
        <f t="shared" si="14"/>
        <v>0.74406332453825863</v>
      </c>
      <c r="I23" s="47"/>
      <c r="J23" s="47"/>
      <c r="AA23" s="183" t="s">
        <v>246</v>
      </c>
      <c r="AB23" s="184">
        <v>736</v>
      </c>
      <c r="AC23" s="184">
        <v>766</v>
      </c>
      <c r="AD23" s="184">
        <v>681</v>
      </c>
      <c r="AE23" s="184">
        <v>619</v>
      </c>
      <c r="AF23" s="184">
        <v>718</v>
      </c>
      <c r="AG23" s="185">
        <v>582</v>
      </c>
      <c r="AI23" s="183" t="s">
        <v>249</v>
      </c>
      <c r="AJ23" s="184">
        <v>5616</v>
      </c>
      <c r="AK23" s="184">
        <v>5213</v>
      </c>
      <c r="AL23" s="184">
        <v>4945</v>
      </c>
      <c r="AM23" s="184">
        <v>4453</v>
      </c>
      <c r="AN23" s="184">
        <v>3921</v>
      </c>
      <c r="AO23" s="185">
        <v>3813</v>
      </c>
    </row>
    <row r="24" spans="2:41" ht="14.5" x14ac:dyDescent="0.35">
      <c r="B24" s="62" t="s">
        <v>62</v>
      </c>
      <c r="C24" s="40">
        <f t="shared" ref="C24:G24" si="15" xml:space="preserve"> C20 / C35</f>
        <v>0.46292675590314331</v>
      </c>
      <c r="D24" s="40">
        <f t="shared" si="15"/>
        <v>0.47016245777706289</v>
      </c>
      <c r="E24" s="40">
        <f t="shared" si="15"/>
        <v>0.47468569486918111</v>
      </c>
      <c r="F24" s="40">
        <f t="shared" si="15"/>
        <v>0.48038668897564601</v>
      </c>
      <c r="G24" s="40">
        <f t="shared" si="15"/>
        <v>0.50100200400801598</v>
      </c>
      <c r="H24" s="40">
        <f xml:space="preserve"> H20 / H35</f>
        <v>0.48486140724946697</v>
      </c>
      <c r="I24" s="47"/>
      <c r="J24" s="47"/>
      <c r="AA24" s="186" t="s">
        <v>247</v>
      </c>
      <c r="AB24" s="187">
        <v>2342</v>
      </c>
      <c r="AC24" s="187">
        <v>2157</v>
      </c>
      <c r="AD24" s="187">
        <v>2113</v>
      </c>
      <c r="AE24" s="187">
        <v>1964</v>
      </c>
      <c r="AF24" s="187">
        <v>1782</v>
      </c>
      <c r="AG24" s="188">
        <v>1692</v>
      </c>
      <c r="AI24" s="192" t="s">
        <v>250</v>
      </c>
      <c r="AJ24" s="193">
        <v>1033</v>
      </c>
      <c r="AK24" s="193">
        <v>1004</v>
      </c>
      <c r="AL24" s="193">
        <v>941</v>
      </c>
      <c r="AM24" s="193">
        <v>926</v>
      </c>
      <c r="AN24" s="193">
        <v>1069</v>
      </c>
      <c r="AO24" s="194">
        <v>877</v>
      </c>
    </row>
    <row r="25" spans="2:41" ht="14.5" x14ac:dyDescent="0.35">
      <c r="B25" s="63" t="s">
        <v>63</v>
      </c>
      <c r="C25" s="59">
        <f t="shared" ref="C25:G25" si="16" xml:space="preserve"> C20 / AA38</f>
        <v>0.12408788550695424</v>
      </c>
      <c r="D25" s="59">
        <f t="shared" si="16"/>
        <v>0.12086503473370824</v>
      </c>
      <c r="E25" s="59">
        <f t="shared" si="16"/>
        <v>0.12146241794548537</v>
      </c>
      <c r="F25" s="59">
        <f t="shared" si="16"/>
        <v>0.11524909682886579</v>
      </c>
      <c r="G25" s="59">
        <f t="shared" si="16"/>
        <v>0.11876484560570071</v>
      </c>
      <c r="H25" s="59">
        <f xml:space="preserve"> H20 / AF38</f>
        <v>0.1184375</v>
      </c>
      <c r="I25" s="47"/>
      <c r="J25" s="47"/>
      <c r="AA25" s="189" t="s">
        <v>120</v>
      </c>
      <c r="AB25" s="190">
        <v>0</v>
      </c>
      <c r="AC25" s="190">
        <v>0</v>
      </c>
      <c r="AD25" s="190">
        <v>0</v>
      </c>
      <c r="AE25" s="190">
        <v>1</v>
      </c>
      <c r="AF25" s="190">
        <v>0</v>
      </c>
      <c r="AG25" s="191">
        <v>0</v>
      </c>
    </row>
    <row r="26" spans="2:41" ht="14.5" x14ac:dyDescent="0.35">
      <c r="B26" s="49" t="s">
        <v>64</v>
      </c>
      <c r="C26" s="50"/>
      <c r="D26" s="50"/>
      <c r="E26" s="50"/>
      <c r="F26" s="50"/>
      <c r="G26" s="50"/>
      <c r="H26" s="50"/>
      <c r="I26" s="66"/>
      <c r="J26" s="61"/>
      <c r="AI26" s="1" t="s">
        <v>94</v>
      </c>
    </row>
    <row r="27" spans="2:41" x14ac:dyDescent="0.3">
      <c r="B27" s="51" t="s">
        <v>65</v>
      </c>
      <c r="C27" s="52">
        <f>AJ3</f>
        <v>3</v>
      </c>
      <c r="D27" s="52">
        <f t="shared" ref="D27:H27" si="17">AK3</f>
        <v>4</v>
      </c>
      <c r="E27" s="52">
        <f t="shared" si="17"/>
        <v>4</v>
      </c>
      <c r="F27" s="52">
        <f t="shared" si="17"/>
        <v>12</v>
      </c>
      <c r="G27" s="52">
        <f t="shared" si="17"/>
        <v>8</v>
      </c>
      <c r="H27" s="52">
        <f t="shared" si="17"/>
        <v>3</v>
      </c>
      <c r="I27" s="57">
        <f>H27 / C27-1</f>
        <v>0</v>
      </c>
      <c r="J27" s="40">
        <f>H27 / H35</f>
        <v>6.3965884861407255E-4</v>
      </c>
      <c r="AA27" s="1" t="s">
        <v>90</v>
      </c>
      <c r="AI27" s="180" t="s">
        <v>36</v>
      </c>
      <c r="AJ27" s="181" t="s">
        <v>240</v>
      </c>
      <c r="AK27" s="181" t="s">
        <v>241</v>
      </c>
      <c r="AL27" s="181" t="s">
        <v>242</v>
      </c>
      <c r="AM27" s="181" t="s">
        <v>243</v>
      </c>
      <c r="AN27" s="181" t="s">
        <v>244</v>
      </c>
      <c r="AO27" s="182" t="s">
        <v>245</v>
      </c>
    </row>
    <row r="28" spans="2:41" x14ac:dyDescent="0.3">
      <c r="B28" s="51" t="s">
        <v>66</v>
      </c>
      <c r="C28" s="52">
        <f>AJ4 + AJ5</f>
        <v>326</v>
      </c>
      <c r="D28" s="52">
        <f t="shared" ref="D28:H28" si="18">AK4 + AK5</f>
        <v>238</v>
      </c>
      <c r="E28" s="52">
        <f t="shared" si="18"/>
        <v>223</v>
      </c>
      <c r="F28" s="52">
        <f t="shared" si="18"/>
        <v>198</v>
      </c>
      <c r="G28" s="52">
        <f t="shared" si="18"/>
        <v>167</v>
      </c>
      <c r="H28" s="52">
        <f t="shared" si="18"/>
        <v>143</v>
      </c>
      <c r="I28" s="57">
        <f t="shared" ref="I28:I31" si="19">H28 / C28-1</f>
        <v>-0.56134969325153372</v>
      </c>
      <c r="J28" s="40">
        <f>H28 / H35</f>
        <v>3.0490405117270789E-2</v>
      </c>
      <c r="AA28" s="180" t="s">
        <v>248</v>
      </c>
      <c r="AB28" s="181" t="s">
        <v>240</v>
      </c>
      <c r="AC28" s="181" t="s">
        <v>241</v>
      </c>
      <c r="AD28" s="181" t="s">
        <v>242</v>
      </c>
      <c r="AE28" s="181" t="s">
        <v>243</v>
      </c>
      <c r="AF28" s="181" t="s">
        <v>244</v>
      </c>
      <c r="AG28" s="182" t="s">
        <v>245</v>
      </c>
      <c r="AI28" s="183" t="s">
        <v>246</v>
      </c>
      <c r="AJ28" s="184">
        <v>1542</v>
      </c>
      <c r="AK28" s="184">
        <v>1452</v>
      </c>
      <c r="AL28" s="184">
        <v>1316</v>
      </c>
      <c r="AM28" s="184">
        <v>1154</v>
      </c>
      <c r="AN28" s="184">
        <v>1291</v>
      </c>
      <c r="AO28" s="185">
        <v>1076</v>
      </c>
    </row>
    <row r="29" spans="2:41" x14ac:dyDescent="0.3">
      <c r="B29" s="51" t="s">
        <v>67</v>
      </c>
      <c r="C29" s="52">
        <f>SUM(AJ7:AJ12)</f>
        <v>105</v>
      </c>
      <c r="D29" s="52">
        <f t="shared" ref="D29:H29" si="20">SUM(AK7:AK12)</f>
        <v>107</v>
      </c>
      <c r="E29" s="52">
        <f t="shared" si="20"/>
        <v>107</v>
      </c>
      <c r="F29" s="52">
        <f t="shared" si="20"/>
        <v>94</v>
      </c>
      <c r="G29" s="52">
        <f t="shared" si="20"/>
        <v>68</v>
      </c>
      <c r="H29" s="52">
        <f t="shared" si="20"/>
        <v>80</v>
      </c>
      <c r="I29" s="57">
        <f t="shared" si="19"/>
        <v>-0.23809523809523814</v>
      </c>
      <c r="J29" s="40">
        <f>H29 / H35</f>
        <v>1.7057569296375266E-2</v>
      </c>
      <c r="AA29" s="183" t="s">
        <v>249</v>
      </c>
      <c r="AB29" s="184">
        <v>2538</v>
      </c>
      <c r="AC29" s="184">
        <v>2387</v>
      </c>
      <c r="AD29" s="184">
        <v>2272</v>
      </c>
      <c r="AE29" s="184">
        <v>2054</v>
      </c>
      <c r="AF29" s="184">
        <v>1898</v>
      </c>
      <c r="AG29" s="185">
        <v>1781</v>
      </c>
      <c r="AI29" s="186" t="s">
        <v>247</v>
      </c>
      <c r="AJ29" s="187">
        <v>5107</v>
      </c>
      <c r="AK29" s="187">
        <v>4764</v>
      </c>
      <c r="AL29" s="187">
        <v>4570</v>
      </c>
      <c r="AM29" s="187">
        <v>4224</v>
      </c>
      <c r="AN29" s="187">
        <v>3699</v>
      </c>
      <c r="AO29" s="188">
        <v>3614</v>
      </c>
    </row>
    <row r="30" spans="2:41" x14ac:dyDescent="0.3">
      <c r="B30" s="53" t="s">
        <v>68</v>
      </c>
      <c r="C30" s="54">
        <f>AJ6</f>
        <v>40</v>
      </c>
      <c r="D30" s="54">
        <f t="shared" ref="D30:H30" si="21">AK6</f>
        <v>60</v>
      </c>
      <c r="E30" s="54">
        <f t="shared" si="21"/>
        <v>45</v>
      </c>
      <c r="F30" s="54">
        <f t="shared" si="21"/>
        <v>48</v>
      </c>
      <c r="G30" s="54">
        <f t="shared" si="21"/>
        <v>55</v>
      </c>
      <c r="H30" s="54">
        <f t="shared" si="21"/>
        <v>78</v>
      </c>
      <c r="I30" s="58">
        <f>H30 / C30-1</f>
        <v>0.95</v>
      </c>
      <c r="J30" s="59">
        <f>H30 / H35</f>
        <v>1.6631130063965886E-2</v>
      </c>
      <c r="AA30" s="192" t="s">
        <v>250</v>
      </c>
      <c r="AB30" s="193">
        <v>540</v>
      </c>
      <c r="AC30" s="193">
        <v>536</v>
      </c>
      <c r="AD30" s="193">
        <v>522</v>
      </c>
      <c r="AE30" s="193">
        <v>530</v>
      </c>
      <c r="AF30" s="193">
        <v>602</v>
      </c>
      <c r="AG30" s="194">
        <v>493</v>
      </c>
      <c r="AI30" s="189" t="s">
        <v>120</v>
      </c>
      <c r="AJ30" s="190">
        <v>0</v>
      </c>
      <c r="AK30" s="190">
        <v>1</v>
      </c>
      <c r="AL30" s="190">
        <v>0</v>
      </c>
      <c r="AM30" s="190">
        <v>1</v>
      </c>
      <c r="AN30" s="190">
        <v>0</v>
      </c>
      <c r="AO30" s="191">
        <v>0</v>
      </c>
    </row>
    <row r="31" spans="2:41" x14ac:dyDescent="0.3">
      <c r="B31" s="44" t="s">
        <v>69</v>
      </c>
      <c r="C31" s="45">
        <f>SUM(C27:C30)</f>
        <v>474</v>
      </c>
      <c r="D31" s="45">
        <f t="shared" ref="D31:H31" si="22">SUM(D27:D30)</f>
        <v>409</v>
      </c>
      <c r="E31" s="45">
        <f t="shared" si="22"/>
        <v>379</v>
      </c>
      <c r="F31" s="45">
        <f t="shared" si="22"/>
        <v>352</v>
      </c>
      <c r="G31" s="45">
        <f t="shared" si="22"/>
        <v>298</v>
      </c>
      <c r="H31" s="45">
        <f t="shared" si="22"/>
        <v>304</v>
      </c>
      <c r="I31" s="42">
        <f t="shared" si="19"/>
        <v>-0.35864978902953581</v>
      </c>
      <c r="J31" s="42">
        <f>H31 / H35</f>
        <v>6.4818763326226006E-2</v>
      </c>
    </row>
    <row r="32" spans="2:41" ht="14.5" x14ac:dyDescent="0.35">
      <c r="B32" s="46" t="s">
        <v>70</v>
      </c>
      <c r="C32" s="43">
        <f xml:space="preserve"> C31 / C35</f>
        <v>7.1288915626409988E-2</v>
      </c>
      <c r="D32" s="43">
        <f t="shared" ref="D32:H32" si="23" xml:space="preserve"> D31 / D35</f>
        <v>6.5787357246260253E-2</v>
      </c>
      <c r="E32" s="43">
        <f t="shared" si="23"/>
        <v>6.4390078151546043E-2</v>
      </c>
      <c r="F32" s="43">
        <f t="shared" si="23"/>
        <v>6.5439672801635998E-2</v>
      </c>
      <c r="G32" s="43">
        <f t="shared" si="23"/>
        <v>5.9719438877755514E-2</v>
      </c>
      <c r="H32" s="43">
        <f t="shared" si="23"/>
        <v>6.4818763326226006E-2</v>
      </c>
      <c r="I32" s="47"/>
      <c r="J32" s="47"/>
      <c r="AA32" s="1" t="s">
        <v>91</v>
      </c>
      <c r="AI32" s="1" t="s">
        <v>93</v>
      </c>
    </row>
    <row r="33" spans="2:40" ht="14.5" x14ac:dyDescent="0.35">
      <c r="B33" s="49" t="s">
        <v>71</v>
      </c>
      <c r="C33" s="50">
        <f>AI16</f>
        <v>582</v>
      </c>
      <c r="D33" s="50">
        <f t="shared" ref="D33:H33" si="24">AJ16</f>
        <v>593</v>
      </c>
      <c r="E33" s="50">
        <f t="shared" si="24"/>
        <v>534</v>
      </c>
      <c r="F33" s="50">
        <f t="shared" si="24"/>
        <v>453</v>
      </c>
      <c r="G33" s="50">
        <f t="shared" si="24"/>
        <v>375</v>
      </c>
      <c r="H33" s="50">
        <f t="shared" si="24"/>
        <v>377</v>
      </c>
      <c r="I33" s="66">
        <f t="shared" ref="I33:I34" si="25">H33 / C33 - 1</f>
        <v>-0.35223367697594499</v>
      </c>
      <c r="J33" s="61">
        <f xml:space="preserve"> H33 / H35</f>
        <v>8.0383795309168449E-2</v>
      </c>
      <c r="AA33" s="180" t="s">
        <v>240</v>
      </c>
      <c r="AB33" s="181" t="s">
        <v>241</v>
      </c>
      <c r="AC33" s="181" t="s">
        <v>242</v>
      </c>
      <c r="AD33" s="181" t="s">
        <v>243</v>
      </c>
      <c r="AE33" s="181" t="s">
        <v>244</v>
      </c>
      <c r="AF33" s="182" t="s">
        <v>245</v>
      </c>
      <c r="AI33" s="180" t="s">
        <v>240</v>
      </c>
      <c r="AJ33" s="181" t="s">
        <v>241</v>
      </c>
      <c r="AK33" s="181" t="s">
        <v>242</v>
      </c>
      <c r="AL33" s="181" t="s">
        <v>243</v>
      </c>
      <c r="AM33" s="181" t="s">
        <v>244</v>
      </c>
      <c r="AN33" s="182" t="s">
        <v>245</v>
      </c>
    </row>
    <row r="34" spans="2:40" ht="14.5" x14ac:dyDescent="0.35">
      <c r="B34" s="64" t="s">
        <v>72</v>
      </c>
      <c r="C34" s="65">
        <f>AI19</f>
        <v>2515</v>
      </c>
      <c r="D34" s="65">
        <f t="shared" ref="D34:H34" si="26">AJ19</f>
        <v>2292</v>
      </c>
      <c r="E34" s="65">
        <f t="shared" si="26"/>
        <v>2179</v>
      </c>
      <c r="F34" s="65">
        <f t="shared" si="26"/>
        <v>1990</v>
      </c>
      <c r="G34" s="65">
        <f t="shared" si="26"/>
        <v>1817</v>
      </c>
      <c r="H34" s="65">
        <f t="shared" si="26"/>
        <v>1735</v>
      </c>
      <c r="I34" s="58">
        <f t="shared" si="25"/>
        <v>-0.31013916500994032</v>
      </c>
      <c r="J34" s="59">
        <f>H34 / H35</f>
        <v>0.36993603411513859</v>
      </c>
      <c r="AA34" s="189">
        <v>744</v>
      </c>
      <c r="AB34" s="190">
        <v>710</v>
      </c>
      <c r="AC34" s="190">
        <v>629</v>
      </c>
      <c r="AD34" s="190">
        <v>637</v>
      </c>
      <c r="AE34" s="190">
        <v>634</v>
      </c>
      <c r="AF34" s="191">
        <v>527</v>
      </c>
      <c r="AI34" s="189">
        <v>1586</v>
      </c>
      <c r="AJ34" s="190">
        <v>1507</v>
      </c>
      <c r="AK34" s="190">
        <v>1386</v>
      </c>
      <c r="AL34" s="190">
        <v>1305</v>
      </c>
      <c r="AM34" s="190">
        <v>1217</v>
      </c>
      <c r="AN34" s="191">
        <v>1083</v>
      </c>
    </row>
    <row r="35" spans="2:40" x14ac:dyDescent="0.3">
      <c r="B35" s="48" t="s">
        <v>73</v>
      </c>
      <c r="C35" s="45">
        <f>SUM(C20,C31,C33:C34)</f>
        <v>6649</v>
      </c>
      <c r="D35" s="45">
        <f t="shared" ref="D35:H35" si="27">SUM(D20,D31,D33:D34)</f>
        <v>6217</v>
      </c>
      <c r="E35" s="45">
        <f t="shared" si="27"/>
        <v>5886</v>
      </c>
      <c r="F35" s="45">
        <f t="shared" si="27"/>
        <v>5379</v>
      </c>
      <c r="G35" s="45">
        <f t="shared" si="27"/>
        <v>4990</v>
      </c>
      <c r="H35" s="45">
        <f t="shared" si="27"/>
        <v>4690</v>
      </c>
      <c r="I35" s="42">
        <f>H35 / C35 - 1</f>
        <v>-0.29463077154459316</v>
      </c>
      <c r="J35" s="42">
        <f xml:space="preserve"> H35 / H35</f>
        <v>1</v>
      </c>
    </row>
    <row r="36" spans="2:40" ht="14.5" x14ac:dyDescent="0.35">
      <c r="B36" s="60" t="s">
        <v>74</v>
      </c>
      <c r="C36" s="61">
        <f t="shared" ref="C36:H36" si="28">AI34 / C35</f>
        <v>0.23853211009174313</v>
      </c>
      <c r="D36" s="61">
        <f t="shared" si="28"/>
        <v>0.24239987132057261</v>
      </c>
      <c r="E36" s="61">
        <f t="shared" si="28"/>
        <v>0.23547400611620795</v>
      </c>
      <c r="F36" s="61">
        <f t="shared" si="28"/>
        <v>0.2426101505856107</v>
      </c>
      <c r="G36" s="61">
        <f t="shared" si="28"/>
        <v>0.24388777555110219</v>
      </c>
      <c r="H36" s="61">
        <f t="shared" si="28"/>
        <v>0.23091684434968018</v>
      </c>
      <c r="I36" s="47"/>
      <c r="J36" s="47"/>
      <c r="AA36" s="1" t="s">
        <v>95</v>
      </c>
    </row>
    <row r="37" spans="2:40" ht="14.5" x14ac:dyDescent="0.35">
      <c r="B37" s="62" t="s">
        <v>75</v>
      </c>
      <c r="C37" s="40">
        <f t="shared" ref="C37:G37" si="29" xml:space="preserve"> AJ23 / C35</f>
        <v>0.84463829147240188</v>
      </c>
      <c r="D37" s="40">
        <f t="shared" si="29"/>
        <v>0.838507318642432</v>
      </c>
      <c r="E37" s="40">
        <f t="shared" si="29"/>
        <v>0.84012911994563366</v>
      </c>
      <c r="F37" s="40">
        <f t="shared" si="29"/>
        <v>0.82784904257296898</v>
      </c>
      <c r="G37" s="40">
        <f t="shared" si="29"/>
        <v>0.78577154308617236</v>
      </c>
      <c r="H37" s="40">
        <f xml:space="preserve"> AO23 / H35</f>
        <v>0.81300639658848617</v>
      </c>
      <c r="I37" s="47"/>
      <c r="J37" s="47"/>
      <c r="AA37" s="180" t="s">
        <v>240</v>
      </c>
      <c r="AB37" s="181" t="s">
        <v>241</v>
      </c>
      <c r="AC37" s="181" t="s">
        <v>242</v>
      </c>
      <c r="AD37" s="181" t="s">
        <v>243</v>
      </c>
      <c r="AE37" s="181" t="s">
        <v>244</v>
      </c>
      <c r="AF37" s="182" t="s">
        <v>245</v>
      </c>
    </row>
    <row r="38" spans="2:40" ht="14.5" x14ac:dyDescent="0.35">
      <c r="B38" s="62" t="s">
        <v>76</v>
      </c>
      <c r="C38" s="40">
        <f t="shared" ref="C38:G38" si="30">AJ29 / C35</f>
        <v>0.76808542637990673</v>
      </c>
      <c r="D38" s="40">
        <f t="shared" si="30"/>
        <v>0.76628599002734443</v>
      </c>
      <c r="E38" s="40">
        <f t="shared" si="30"/>
        <v>0.77641862045531773</v>
      </c>
      <c r="F38" s="40">
        <f t="shared" si="30"/>
        <v>0.78527607361963192</v>
      </c>
      <c r="G38" s="40">
        <f t="shared" si="30"/>
        <v>0.74128256513026047</v>
      </c>
      <c r="H38" s="40">
        <f>AO29 / H35</f>
        <v>0.77057569296375261</v>
      </c>
      <c r="I38" s="47"/>
      <c r="J38" s="47"/>
      <c r="AA38" s="189">
        <v>24805</v>
      </c>
      <c r="AB38" s="190">
        <v>24184</v>
      </c>
      <c r="AC38" s="190">
        <v>23003</v>
      </c>
      <c r="AD38" s="190">
        <v>22421</v>
      </c>
      <c r="AE38" s="190">
        <v>21050</v>
      </c>
      <c r="AF38" s="191">
        <v>19200</v>
      </c>
    </row>
    <row r="39" spans="2:40" ht="14.5" x14ac:dyDescent="0.35">
      <c r="B39" s="63" t="s">
        <v>77</v>
      </c>
      <c r="C39" s="59">
        <f t="shared" ref="C39:G39" si="31">C35 / AA38</f>
        <v>0.26805079621044142</v>
      </c>
      <c r="D39" s="59">
        <f t="shared" si="31"/>
        <v>0.25707079060535892</v>
      </c>
      <c r="E39" s="59">
        <f t="shared" si="31"/>
        <v>0.25587966786940836</v>
      </c>
      <c r="F39" s="59">
        <f t="shared" si="31"/>
        <v>0.23990901387092459</v>
      </c>
      <c r="G39" s="59">
        <f t="shared" si="31"/>
        <v>0.23705463182897862</v>
      </c>
      <c r="H39" s="59">
        <f>H35 / AF38</f>
        <v>0.24427083333333333</v>
      </c>
      <c r="I39" s="47"/>
      <c r="J39" s="47"/>
    </row>
    <row r="41" spans="2:40" x14ac:dyDescent="0.3">
      <c r="B41" s="26" t="s">
        <v>6</v>
      </c>
    </row>
    <row r="42" spans="2:40" x14ac:dyDescent="0.3">
      <c r="B42" s="26" t="s">
        <v>7</v>
      </c>
      <c r="F42" s="14"/>
      <c r="G42" s="14"/>
      <c r="H42" s="14"/>
    </row>
    <row r="43" spans="2:40" x14ac:dyDescent="0.3">
      <c r="B43" s="26" t="s">
        <v>78</v>
      </c>
    </row>
    <row r="44" spans="2:40" x14ac:dyDescent="0.3">
      <c r="B44" s="26" t="s">
        <v>107</v>
      </c>
    </row>
  </sheetData>
  <mergeCells count="11">
    <mergeCell ref="B1:J1"/>
    <mergeCell ref="B2:J2"/>
    <mergeCell ref="I3:I4"/>
    <mergeCell ref="J3:J4"/>
    <mergeCell ref="B3:B4"/>
    <mergeCell ref="C3:C4"/>
    <mergeCell ref="D3:D4"/>
    <mergeCell ref="E3:E4"/>
    <mergeCell ref="F3:F4"/>
    <mergeCell ref="G3:G4"/>
    <mergeCell ref="H3:H4"/>
  </mergeCells>
  <phoneticPr fontId="18" type="noConversion"/>
  <printOptions horizontalCentered="1"/>
  <pageMargins left="0.5" right="0.5" top="1" bottom="0.5" header="0.3" footer="0.3"/>
  <pageSetup scale="80" fitToWidth="0" fitToHeight="0" orientation="landscape" r:id="rId1"/>
  <headerFooter>
    <oddHeader>&amp;L&amp;"Arial,Regular"&amp;10Pennsylvania's State System of Higher Education | &amp;D
Advanced Data Analytics | Page &amp;P of &amp;N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B1:AF26"/>
  <sheetViews>
    <sheetView showGridLines="0" topLeftCell="B1" zoomScaleNormal="100" workbookViewId="0">
      <selection activeCell="B27" sqref="B27"/>
    </sheetView>
  </sheetViews>
  <sheetFormatPr defaultColWidth="9.1796875" defaultRowHeight="14" x14ac:dyDescent="0.3"/>
  <cols>
    <col min="1" max="1" width="9.1796875" style="1"/>
    <col min="2" max="2" width="22.453125" style="1" customWidth="1"/>
    <col min="3" max="9" width="15.7265625" style="1" customWidth="1"/>
    <col min="10" max="10" width="22.453125" style="1" customWidth="1"/>
    <col min="11" max="24" width="9.1796875" style="1"/>
    <col min="25" max="25" width="16.7265625" style="1" customWidth="1"/>
    <col min="26" max="26" width="37.26953125" style="1" customWidth="1"/>
    <col min="27" max="27" width="38" style="1" customWidth="1"/>
    <col min="28" max="28" width="33.54296875" style="1" customWidth="1"/>
    <col min="29" max="29" width="29.453125" style="1" customWidth="1"/>
    <col min="30" max="30" width="18.453125" style="1" customWidth="1"/>
    <col min="31" max="31" width="45" style="1" customWidth="1"/>
    <col min="32" max="16384" width="9.1796875" style="1"/>
  </cols>
  <sheetData>
    <row r="1" spans="2:32" ht="15.5" x14ac:dyDescent="0.35">
      <c r="B1" s="198" t="s">
        <v>100</v>
      </c>
      <c r="C1" s="198"/>
      <c r="D1" s="198"/>
      <c r="E1" s="198"/>
      <c r="F1" s="198"/>
      <c r="G1" s="198"/>
      <c r="H1" s="198"/>
      <c r="I1" s="198"/>
      <c r="J1" s="198"/>
    </row>
    <row r="2" spans="2:32" ht="15" customHeight="1" x14ac:dyDescent="0.3">
      <c r="B2" s="210" t="str">
        <f>CONCATENATE("Student Living Arrangements, by University, ", IF(RIGHT(Parameters!B1,1)="1","Fall ","Spring "), IF(RIGHT(Parameters!B1,1)="1",LEFT(Parameters!B1,4),LEFT(Parameters!B1,4) + 1 ))</f>
        <v>Student Living Arrangements, by University, Fall 2021</v>
      </c>
      <c r="C2" s="210"/>
      <c r="D2" s="210"/>
      <c r="E2" s="210"/>
      <c r="F2" s="210"/>
      <c r="G2" s="210"/>
      <c r="H2" s="210"/>
      <c r="I2" s="210"/>
      <c r="J2" s="210"/>
    </row>
    <row r="3" spans="2:32" ht="56" x14ac:dyDescent="0.3">
      <c r="B3" s="67" t="s">
        <v>8</v>
      </c>
      <c r="C3" s="67" t="s">
        <v>80</v>
      </c>
      <c r="D3" s="67" t="s">
        <v>81</v>
      </c>
      <c r="E3" s="67" t="s">
        <v>82</v>
      </c>
      <c r="F3" s="67" t="s">
        <v>83</v>
      </c>
      <c r="G3" s="67" t="s">
        <v>84</v>
      </c>
      <c r="H3" s="67" t="s">
        <v>23</v>
      </c>
      <c r="I3" s="67" t="s">
        <v>85</v>
      </c>
      <c r="J3" s="67" t="s">
        <v>102</v>
      </c>
      <c r="Y3" s="180" t="s">
        <v>152</v>
      </c>
      <c r="Z3" s="181" t="s">
        <v>279</v>
      </c>
      <c r="AA3" s="181" t="s">
        <v>280</v>
      </c>
      <c r="AB3" s="181" t="s">
        <v>281</v>
      </c>
      <c r="AC3" s="181" t="s">
        <v>282</v>
      </c>
      <c r="AD3" s="181" t="s">
        <v>283</v>
      </c>
      <c r="AE3" s="181" t="s">
        <v>285</v>
      </c>
      <c r="AF3" s="182" t="s">
        <v>284</v>
      </c>
    </row>
    <row r="4" spans="2:32" x14ac:dyDescent="0.3">
      <c r="B4" s="68" t="s">
        <v>9</v>
      </c>
      <c r="C4" s="69">
        <f>'Table 8'!$AC4</f>
        <v>2278</v>
      </c>
      <c r="D4" s="70">
        <f>'Table 8'!$AB4</f>
        <v>0</v>
      </c>
      <c r="E4" s="69">
        <f>'Table 8'!$AA4</f>
        <v>0</v>
      </c>
      <c r="F4" s="69">
        <f>'Table 8'!$Z4</f>
        <v>1114</v>
      </c>
      <c r="G4" s="69">
        <f>'Table 8'!$AE4 + 'Table 8'!$AD4</f>
        <v>3677</v>
      </c>
      <c r="H4" s="69">
        <f t="shared" ref="H4:H17" si="0">SUM(C4,D4:G4)</f>
        <v>7069</v>
      </c>
      <c r="I4" s="71">
        <f t="shared" ref="I4:I18" si="1">(SUM(C4+D4))/H4</f>
        <v>0.32225208657518745</v>
      </c>
      <c r="J4" s="72">
        <f t="shared" ref="J4:J18" si="2">(C4+D4+E4)/H4</f>
        <v>0.32225208657518745</v>
      </c>
      <c r="Y4" s="183" t="s">
        <v>9</v>
      </c>
      <c r="Z4" s="184">
        <v>1114</v>
      </c>
      <c r="AA4" s="184">
        <v>0</v>
      </c>
      <c r="AB4" s="184">
        <v>0</v>
      </c>
      <c r="AC4" s="184">
        <v>2278</v>
      </c>
      <c r="AD4" s="184">
        <v>0</v>
      </c>
      <c r="AE4" s="184">
        <v>3677</v>
      </c>
      <c r="AF4" s="185">
        <v>0</v>
      </c>
    </row>
    <row r="5" spans="2:32" x14ac:dyDescent="0.3">
      <c r="B5" s="68" t="s">
        <v>10</v>
      </c>
      <c r="C5" s="69">
        <f>'Table 8'!$AC5</f>
        <v>1084</v>
      </c>
      <c r="D5" s="70">
        <f>'Table 8'!$AB5</f>
        <v>0</v>
      </c>
      <c r="E5" s="69">
        <f>'Table 8'!$AA5</f>
        <v>470</v>
      </c>
      <c r="F5" s="69">
        <f>'Table 8'!$Z5</f>
        <v>622</v>
      </c>
      <c r="G5" s="69">
        <f>'Table 8'!$AE5 + 'Table 8'!$AD5</f>
        <v>2290</v>
      </c>
      <c r="H5" s="69">
        <f t="shared" si="0"/>
        <v>4466</v>
      </c>
      <c r="I5" s="71">
        <f t="shared" si="1"/>
        <v>0.24272279444693237</v>
      </c>
      <c r="J5" s="72">
        <f t="shared" si="2"/>
        <v>0.34796238244514105</v>
      </c>
      <c r="Y5" s="186" t="s">
        <v>10</v>
      </c>
      <c r="Z5" s="187">
        <v>622</v>
      </c>
      <c r="AA5" s="187">
        <v>470</v>
      </c>
      <c r="AB5" s="187">
        <v>0</v>
      </c>
      <c r="AC5" s="187">
        <v>1084</v>
      </c>
      <c r="AD5" s="187">
        <v>0</v>
      </c>
      <c r="AE5" s="187">
        <v>2290</v>
      </c>
      <c r="AF5" s="188">
        <v>0</v>
      </c>
    </row>
    <row r="6" spans="2:32" x14ac:dyDescent="0.3">
      <c r="B6" s="68" t="s">
        <v>11</v>
      </c>
      <c r="C6" s="69">
        <f>'Table 8'!$AC6</f>
        <v>507</v>
      </c>
      <c r="D6" s="70">
        <f>'Table 8'!$AB6</f>
        <v>0</v>
      </c>
      <c r="E6" s="69">
        <f>'Table 8'!$AA6</f>
        <v>0</v>
      </c>
      <c r="F6" s="69">
        <f>'Table 8'!$Z6</f>
        <v>135</v>
      </c>
      <c r="G6" s="69">
        <f>'Table 8'!$AE6 + 'Table 8'!$AD6</f>
        <v>0</v>
      </c>
      <c r="H6" s="69">
        <f t="shared" si="0"/>
        <v>642</v>
      </c>
      <c r="I6" s="71">
        <f t="shared" si="1"/>
        <v>0.78971962616822433</v>
      </c>
      <c r="J6" s="72">
        <f t="shared" si="2"/>
        <v>0.78971962616822433</v>
      </c>
      <c r="Y6" s="183" t="s">
        <v>11</v>
      </c>
      <c r="Z6" s="184">
        <v>135</v>
      </c>
      <c r="AA6" s="184">
        <v>0</v>
      </c>
      <c r="AB6" s="184">
        <v>0</v>
      </c>
      <c r="AC6" s="184">
        <v>507</v>
      </c>
      <c r="AD6" s="184">
        <v>0</v>
      </c>
      <c r="AE6" s="184">
        <v>0</v>
      </c>
      <c r="AF6" s="185">
        <v>0</v>
      </c>
    </row>
    <row r="7" spans="2:32" x14ac:dyDescent="0.3">
      <c r="B7" s="68" t="s">
        <v>12</v>
      </c>
      <c r="C7" s="69">
        <f>'Table 8'!$AC7</f>
        <v>0</v>
      </c>
      <c r="D7" s="70">
        <f>'Table 8'!$AB7</f>
        <v>1032</v>
      </c>
      <c r="E7" s="69">
        <f>'Table 8'!$AA7</f>
        <v>0</v>
      </c>
      <c r="F7" s="69">
        <f>'Table 8'!$Z7</f>
        <v>847</v>
      </c>
      <c r="G7" s="69">
        <f>'Table 8'!$AE7 + 'Table 8'!$AD7</f>
        <v>1277</v>
      </c>
      <c r="H7" s="69">
        <f t="shared" si="0"/>
        <v>3156</v>
      </c>
      <c r="I7" s="71">
        <f t="shared" si="1"/>
        <v>0.3269961977186312</v>
      </c>
      <c r="J7" s="72">
        <f t="shared" si="2"/>
        <v>0.3269961977186312</v>
      </c>
      <c r="Y7" s="186" t="s">
        <v>12</v>
      </c>
      <c r="Z7" s="187">
        <v>847</v>
      </c>
      <c r="AA7" s="187">
        <v>0</v>
      </c>
      <c r="AB7" s="187">
        <v>1032</v>
      </c>
      <c r="AC7" s="187">
        <v>0</v>
      </c>
      <c r="AD7" s="187">
        <v>0</v>
      </c>
      <c r="AE7" s="187">
        <v>1277</v>
      </c>
      <c r="AF7" s="188">
        <v>0</v>
      </c>
    </row>
    <row r="8" spans="2:32" x14ac:dyDescent="0.3">
      <c r="B8" s="68" t="s">
        <v>13</v>
      </c>
      <c r="C8" s="69">
        <f>'Table 8'!$AC8</f>
        <v>1209</v>
      </c>
      <c r="D8" s="105">
        <f>'Table 8'!$AB8</f>
        <v>452</v>
      </c>
      <c r="E8" s="69">
        <f>'Table 8'!$AA8</f>
        <v>0</v>
      </c>
      <c r="F8" s="69">
        <f>'Table 8'!$Z8</f>
        <v>717</v>
      </c>
      <c r="G8" s="69">
        <f>'Table 8'!$AE8 + 'Table 8'!$AD8</f>
        <v>1949</v>
      </c>
      <c r="H8" s="69">
        <f t="shared" si="0"/>
        <v>4327</v>
      </c>
      <c r="I8" s="71">
        <f t="shared" si="1"/>
        <v>0.38386873122255605</v>
      </c>
      <c r="J8" s="72">
        <f t="shared" si="2"/>
        <v>0.38386873122255605</v>
      </c>
      <c r="Y8" s="183" t="s">
        <v>13</v>
      </c>
      <c r="Z8" s="184">
        <v>717</v>
      </c>
      <c r="AA8" s="184">
        <v>0</v>
      </c>
      <c r="AB8" s="184">
        <v>452</v>
      </c>
      <c r="AC8" s="184">
        <v>1209</v>
      </c>
      <c r="AD8" s="184">
        <v>0</v>
      </c>
      <c r="AE8" s="184">
        <v>1949</v>
      </c>
      <c r="AF8" s="185">
        <v>0</v>
      </c>
    </row>
    <row r="9" spans="2:32" x14ac:dyDescent="0.3">
      <c r="B9" s="68" t="s">
        <v>14</v>
      </c>
      <c r="C9" s="69">
        <f>'Table 8'!$AC9</f>
        <v>922</v>
      </c>
      <c r="D9" s="105">
        <f>'Table 8'!$AB9</f>
        <v>0</v>
      </c>
      <c r="E9" s="69">
        <f>'Table 8'!$AA9</f>
        <v>0</v>
      </c>
      <c r="F9" s="69">
        <f>'Table 8'!$Z9</f>
        <v>1686</v>
      </c>
      <c r="G9" s="69">
        <f>'Table 8'!$AE9 + 'Table 8'!$AD9</f>
        <v>331</v>
      </c>
      <c r="H9" s="69">
        <f t="shared" si="0"/>
        <v>2939</v>
      </c>
      <c r="I9" s="71">
        <f t="shared" si="1"/>
        <v>0.3137121469887717</v>
      </c>
      <c r="J9" s="72">
        <f t="shared" si="2"/>
        <v>0.3137121469887717</v>
      </c>
      <c r="Y9" s="186" t="s">
        <v>14</v>
      </c>
      <c r="Z9" s="187">
        <v>1686</v>
      </c>
      <c r="AA9" s="187">
        <v>0</v>
      </c>
      <c r="AB9" s="187">
        <v>0</v>
      </c>
      <c r="AC9" s="187">
        <v>922</v>
      </c>
      <c r="AD9" s="187">
        <v>0</v>
      </c>
      <c r="AE9" s="187">
        <v>331</v>
      </c>
      <c r="AF9" s="188">
        <v>0</v>
      </c>
    </row>
    <row r="10" spans="2:32" x14ac:dyDescent="0.3">
      <c r="B10" s="68" t="s">
        <v>15</v>
      </c>
      <c r="C10" s="69">
        <f>'Table 8'!$AC10</f>
        <v>61</v>
      </c>
      <c r="D10" s="105">
        <f>'Table 8'!$AB10</f>
        <v>2178</v>
      </c>
      <c r="E10" s="69">
        <f>'Table 8'!$AA10</f>
        <v>0</v>
      </c>
      <c r="F10" s="69">
        <f>'Table 8'!$Z10</f>
        <v>872</v>
      </c>
      <c r="G10" s="69">
        <f>'Table 8'!$AE10 + 'Table 8'!$AD10</f>
        <v>4232</v>
      </c>
      <c r="H10" s="69">
        <f t="shared" si="0"/>
        <v>7343</v>
      </c>
      <c r="I10" s="71">
        <f t="shared" si="1"/>
        <v>0.30491624676562712</v>
      </c>
      <c r="J10" s="72">
        <f t="shared" si="2"/>
        <v>0.30491624676562712</v>
      </c>
      <c r="Y10" s="183" t="s">
        <v>15</v>
      </c>
      <c r="Z10" s="184">
        <v>872</v>
      </c>
      <c r="AA10" s="184">
        <v>0</v>
      </c>
      <c r="AB10" s="184">
        <v>2178</v>
      </c>
      <c r="AC10" s="184">
        <v>61</v>
      </c>
      <c r="AD10" s="184">
        <v>0</v>
      </c>
      <c r="AE10" s="184">
        <v>4232</v>
      </c>
      <c r="AF10" s="185">
        <v>0</v>
      </c>
    </row>
    <row r="11" spans="2:32" x14ac:dyDescent="0.3">
      <c r="B11" s="68" t="s">
        <v>16</v>
      </c>
      <c r="C11" s="69">
        <f>'Table 8'!$AC11</f>
        <v>2184</v>
      </c>
      <c r="D11" s="105">
        <f>'Table 8'!$AB11</f>
        <v>891</v>
      </c>
      <c r="E11" s="69">
        <f>'Table 8'!$AA11</f>
        <v>0</v>
      </c>
      <c r="F11" s="69">
        <f>'Table 8'!$Z11</f>
        <v>0</v>
      </c>
      <c r="G11" s="69">
        <f>'Table 8'!$AE11 + 'Table 8'!$AD11</f>
        <v>3622</v>
      </c>
      <c r="H11" s="69">
        <f t="shared" si="0"/>
        <v>6697</v>
      </c>
      <c r="I11" s="71">
        <f t="shared" si="1"/>
        <v>0.45916081827684035</v>
      </c>
      <c r="J11" s="72">
        <f t="shared" si="2"/>
        <v>0.45916081827684035</v>
      </c>
      <c r="Y11" s="186" t="s">
        <v>16</v>
      </c>
      <c r="Z11" s="187">
        <v>0</v>
      </c>
      <c r="AA11" s="187">
        <v>0</v>
      </c>
      <c r="AB11" s="187">
        <v>891</v>
      </c>
      <c r="AC11" s="187">
        <v>2184</v>
      </c>
      <c r="AD11" s="187">
        <v>0</v>
      </c>
      <c r="AE11" s="187">
        <v>3622</v>
      </c>
      <c r="AF11" s="188">
        <v>0</v>
      </c>
    </row>
    <row r="12" spans="2:32" x14ac:dyDescent="0.3">
      <c r="B12" s="68" t="s">
        <v>17</v>
      </c>
      <c r="C12" s="69">
        <f>'Table 8'!$AC12</f>
        <v>754</v>
      </c>
      <c r="D12" s="105">
        <f>'Table 8'!$AB12</f>
        <v>0</v>
      </c>
      <c r="E12" s="69">
        <f>'Table 8'!$AA12</f>
        <v>0</v>
      </c>
      <c r="F12" s="69">
        <f>'Table 8'!$Z12</f>
        <v>1712</v>
      </c>
      <c r="G12" s="69">
        <f>'Table 8'!$AE12 + 'Table 8'!$AD12</f>
        <v>0</v>
      </c>
      <c r="H12" s="69">
        <f t="shared" si="0"/>
        <v>2466</v>
      </c>
      <c r="I12" s="71">
        <f t="shared" si="1"/>
        <v>0.30575831305758311</v>
      </c>
      <c r="J12" s="72">
        <f t="shared" si="2"/>
        <v>0.30575831305758311</v>
      </c>
      <c r="Y12" s="183" t="s">
        <v>17</v>
      </c>
      <c r="Z12" s="184">
        <v>1712</v>
      </c>
      <c r="AA12" s="184">
        <v>0</v>
      </c>
      <c r="AB12" s="184">
        <v>0</v>
      </c>
      <c r="AC12" s="184">
        <v>754</v>
      </c>
      <c r="AD12" s="184">
        <v>0</v>
      </c>
      <c r="AE12" s="184">
        <v>0</v>
      </c>
      <c r="AF12" s="185">
        <v>0</v>
      </c>
    </row>
    <row r="13" spans="2:32" x14ac:dyDescent="0.3">
      <c r="B13" s="68" t="s">
        <v>18</v>
      </c>
      <c r="C13" s="69">
        <f>'Table 8'!$AC13</f>
        <v>813</v>
      </c>
      <c r="D13" s="70">
        <f>'Table 8'!$AB13</f>
        <v>0</v>
      </c>
      <c r="E13" s="69">
        <f>'Table 8'!$AA13</f>
        <v>0</v>
      </c>
      <c r="F13" s="69">
        <f>'Table 8'!$Z13</f>
        <v>957</v>
      </c>
      <c r="G13" s="69">
        <f>'Table 8'!$AE13 + 'Table 8'!$AD13</f>
        <v>20</v>
      </c>
      <c r="H13" s="69">
        <f t="shared" si="0"/>
        <v>1790</v>
      </c>
      <c r="I13" s="71">
        <f t="shared" si="1"/>
        <v>0.45418994413407821</v>
      </c>
      <c r="J13" s="72">
        <f t="shared" si="2"/>
        <v>0.45418994413407821</v>
      </c>
      <c r="Y13" s="186" t="s">
        <v>18</v>
      </c>
      <c r="Z13" s="187">
        <v>957</v>
      </c>
      <c r="AA13" s="187">
        <v>0</v>
      </c>
      <c r="AB13" s="187">
        <v>0</v>
      </c>
      <c r="AC13" s="187">
        <v>813</v>
      </c>
      <c r="AD13" s="187">
        <v>0</v>
      </c>
      <c r="AE13" s="187">
        <v>20</v>
      </c>
      <c r="AF13" s="188">
        <v>0</v>
      </c>
    </row>
    <row r="14" spans="2:32" x14ac:dyDescent="0.3">
      <c r="B14" s="68" t="s">
        <v>19</v>
      </c>
      <c r="C14" s="69">
        <f>'Table 8'!$AC14</f>
        <v>1976</v>
      </c>
      <c r="D14" s="70">
        <f>'Table 8'!$AB14</f>
        <v>0</v>
      </c>
      <c r="E14" s="69">
        <f>'Table 8'!$AA14</f>
        <v>0</v>
      </c>
      <c r="F14" s="69">
        <f>'Table 8'!$Z14</f>
        <v>985</v>
      </c>
      <c r="G14" s="69">
        <f>'Table 8'!$AE14 + 'Table 8'!$AD14</f>
        <v>3296</v>
      </c>
      <c r="H14" s="69">
        <f t="shared" si="0"/>
        <v>6257</v>
      </c>
      <c r="I14" s="71">
        <f t="shared" si="1"/>
        <v>0.31580629694741891</v>
      </c>
      <c r="J14" s="72">
        <f t="shared" si="2"/>
        <v>0.31580629694741891</v>
      </c>
      <c r="Y14" s="183" t="s">
        <v>19</v>
      </c>
      <c r="Z14" s="184">
        <v>985</v>
      </c>
      <c r="AA14" s="184">
        <v>0</v>
      </c>
      <c r="AB14" s="184">
        <v>0</v>
      </c>
      <c r="AC14" s="184">
        <v>1976</v>
      </c>
      <c r="AD14" s="184">
        <v>0</v>
      </c>
      <c r="AE14" s="184">
        <v>3296</v>
      </c>
      <c r="AF14" s="185">
        <v>0</v>
      </c>
    </row>
    <row r="15" spans="2:32" x14ac:dyDescent="0.3">
      <c r="B15" s="68" t="s">
        <v>20</v>
      </c>
      <c r="C15" s="69">
        <f>'Table 8'!$AC15</f>
        <v>1743</v>
      </c>
      <c r="D15" s="70">
        <f>'Table 8'!$AB15</f>
        <v>0</v>
      </c>
      <c r="E15" s="69">
        <f>'Table 8'!$AA15</f>
        <v>0</v>
      </c>
      <c r="F15" s="69">
        <f>'Table 8'!$Z15</f>
        <v>533</v>
      </c>
      <c r="G15" s="69">
        <f>'Table 8'!$AE15 + 'Table 8'!$AD15</f>
        <v>2625</v>
      </c>
      <c r="H15" s="69">
        <f t="shared" si="0"/>
        <v>4901</v>
      </c>
      <c r="I15" s="71">
        <f t="shared" si="1"/>
        <v>0.3556417057743318</v>
      </c>
      <c r="J15" s="72">
        <f t="shared" si="2"/>
        <v>0.3556417057743318</v>
      </c>
      <c r="Y15" s="186" t="s">
        <v>20</v>
      </c>
      <c r="Z15" s="187">
        <v>533</v>
      </c>
      <c r="AA15" s="187">
        <v>0</v>
      </c>
      <c r="AB15" s="187">
        <v>0</v>
      </c>
      <c r="AC15" s="187">
        <v>1743</v>
      </c>
      <c r="AD15" s="187">
        <v>0</v>
      </c>
      <c r="AE15" s="187">
        <v>2625</v>
      </c>
      <c r="AF15" s="188">
        <v>0</v>
      </c>
    </row>
    <row r="16" spans="2:32" x14ac:dyDescent="0.3">
      <c r="B16" s="68" t="s">
        <v>21</v>
      </c>
      <c r="C16" s="69">
        <f>'Table 8'!$AC16</f>
        <v>485</v>
      </c>
      <c r="D16" s="70">
        <f>'Table 8'!$AB16</f>
        <v>1843</v>
      </c>
      <c r="E16" s="69">
        <f>'Table 8'!$AA16</f>
        <v>0</v>
      </c>
      <c r="F16" s="69">
        <f>'Table 8'!$Z16</f>
        <v>1028</v>
      </c>
      <c r="G16" s="69">
        <f>'Table 8'!$AE16 + 'Table 8'!$AD16</f>
        <v>3564</v>
      </c>
      <c r="H16" s="69">
        <f t="shared" si="0"/>
        <v>6920</v>
      </c>
      <c r="I16" s="71">
        <f t="shared" si="1"/>
        <v>0.33641618497109826</v>
      </c>
      <c r="J16" s="72">
        <f t="shared" si="2"/>
        <v>0.33641618497109826</v>
      </c>
      <c r="Y16" s="183" t="s">
        <v>21</v>
      </c>
      <c r="Z16" s="184">
        <v>1028</v>
      </c>
      <c r="AA16" s="184">
        <v>0</v>
      </c>
      <c r="AB16" s="184">
        <v>1843</v>
      </c>
      <c r="AC16" s="184">
        <v>485</v>
      </c>
      <c r="AD16" s="184">
        <v>0</v>
      </c>
      <c r="AE16" s="184">
        <v>3564</v>
      </c>
      <c r="AF16" s="185">
        <v>0</v>
      </c>
    </row>
    <row r="17" spans="2:32" x14ac:dyDescent="0.3">
      <c r="B17" s="68" t="s">
        <v>22</v>
      </c>
      <c r="C17" s="69">
        <f>'Table 8'!$AC17</f>
        <v>2085</v>
      </c>
      <c r="D17" s="70">
        <f>'Table 8'!$AB17</f>
        <v>2944</v>
      </c>
      <c r="E17" s="69">
        <f>'Table 8'!$AA17</f>
        <v>0</v>
      </c>
      <c r="F17" s="69">
        <f>'Table 8'!$Z17</f>
        <v>338</v>
      </c>
      <c r="G17" s="69">
        <f>'Table 8'!$AE17 + 'Table 8'!$AD17</f>
        <v>9108</v>
      </c>
      <c r="H17" s="69">
        <f t="shared" si="0"/>
        <v>14475</v>
      </c>
      <c r="I17" s="71">
        <f t="shared" si="1"/>
        <v>0.34742659758203798</v>
      </c>
      <c r="J17" s="72">
        <f t="shared" si="2"/>
        <v>0.34742659758203798</v>
      </c>
      <c r="Y17" s="192" t="s">
        <v>22</v>
      </c>
      <c r="Z17" s="193">
        <v>338</v>
      </c>
      <c r="AA17" s="193">
        <v>0</v>
      </c>
      <c r="AB17" s="193">
        <v>2944</v>
      </c>
      <c r="AC17" s="193">
        <v>2085</v>
      </c>
      <c r="AD17" s="193">
        <v>0</v>
      </c>
      <c r="AE17" s="193">
        <v>9108</v>
      </c>
      <c r="AF17" s="194">
        <v>0</v>
      </c>
    </row>
    <row r="18" spans="2:32" x14ac:dyDescent="0.3">
      <c r="B18" s="73" t="s">
        <v>0</v>
      </c>
      <c r="C18" s="74">
        <f>SUM(C4:C17)</f>
        <v>16101</v>
      </c>
      <c r="D18" s="74">
        <f t="shared" ref="D18:H18" si="3">SUM(D4:D17)</f>
        <v>9340</v>
      </c>
      <c r="E18" s="74">
        <f t="shared" si="3"/>
        <v>470</v>
      </c>
      <c r="F18" s="74">
        <f t="shared" si="3"/>
        <v>11546</v>
      </c>
      <c r="G18" s="74">
        <f t="shared" si="3"/>
        <v>35991</v>
      </c>
      <c r="H18" s="74">
        <f t="shared" si="3"/>
        <v>73448</v>
      </c>
      <c r="I18" s="72">
        <f t="shared" si="1"/>
        <v>0.34638111316850018</v>
      </c>
      <c r="J18" s="72">
        <f t="shared" si="2"/>
        <v>0.35278019823548634</v>
      </c>
    </row>
    <row r="19" spans="2:32" x14ac:dyDescent="0.3">
      <c r="C19" s="15"/>
      <c r="D19" s="15"/>
      <c r="E19" s="15"/>
      <c r="F19" s="15"/>
      <c r="G19" s="15"/>
      <c r="H19" s="15"/>
      <c r="I19" s="15"/>
      <c r="J19" s="15"/>
    </row>
    <row r="20" spans="2:32" ht="27.75" customHeight="1" x14ac:dyDescent="0.3">
      <c r="B20" s="211" t="s">
        <v>103</v>
      </c>
      <c r="C20" s="211"/>
      <c r="D20" s="211"/>
      <c r="E20" s="211"/>
      <c r="F20" s="211"/>
      <c r="G20" s="211"/>
      <c r="H20" s="211"/>
      <c r="I20" s="211"/>
      <c r="J20" s="211"/>
    </row>
    <row r="21" spans="2:32" x14ac:dyDescent="0.3">
      <c r="B21" s="88" t="s">
        <v>104</v>
      </c>
      <c r="C21" s="15"/>
      <c r="D21" s="15"/>
      <c r="E21" s="15"/>
      <c r="F21" s="15"/>
      <c r="G21" s="15"/>
      <c r="H21" s="15"/>
      <c r="I21" s="15"/>
      <c r="J21" s="15"/>
    </row>
    <row r="22" spans="2:32" x14ac:dyDescent="0.3">
      <c r="B22" s="26" t="s">
        <v>6</v>
      </c>
      <c r="C22" s="15"/>
      <c r="D22" s="15"/>
      <c r="E22" s="15"/>
      <c r="F22" s="15"/>
      <c r="G22" s="15"/>
      <c r="H22" s="15"/>
      <c r="I22" s="15"/>
      <c r="J22" s="15"/>
    </row>
    <row r="23" spans="2:32" x14ac:dyDescent="0.3">
      <c r="B23" s="26" t="s">
        <v>7</v>
      </c>
    </row>
    <row r="24" spans="2:32" x14ac:dyDescent="0.3">
      <c r="B24" s="26" t="s">
        <v>112</v>
      </c>
      <c r="H24" s="104"/>
    </row>
    <row r="26" spans="2:32" x14ac:dyDescent="0.3">
      <c r="B26" s="164"/>
      <c r="C26" s="165"/>
      <c r="D26" s="165"/>
      <c r="E26" s="165"/>
      <c r="F26" s="165"/>
      <c r="G26" s="165"/>
    </row>
  </sheetData>
  <mergeCells count="3">
    <mergeCell ref="B1:J1"/>
    <mergeCell ref="B2:J2"/>
    <mergeCell ref="B20:J20"/>
  </mergeCells>
  <printOptions horizontalCentered="1"/>
  <pageMargins left="0.5" right="0.5" top="1" bottom="0.5" header="0.3" footer="0.3"/>
  <pageSetup scale="74" fitToHeight="0" orientation="landscape" r:id="rId1"/>
  <headerFooter>
    <oddHeader>&amp;L&amp;"Arial,Regular"&amp;10Pennsylvania's State System of Higher Education | &amp;D
Advanced Data Analytics | Page &amp;P of &amp;N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pageSetUpPr fitToPage="1"/>
  </sheetPr>
  <dimension ref="B1:Q126"/>
  <sheetViews>
    <sheetView showGridLines="0" topLeftCell="A8" zoomScaleNormal="100" workbookViewId="0">
      <selection activeCell="O21" sqref="O21"/>
    </sheetView>
  </sheetViews>
  <sheetFormatPr defaultColWidth="9.1796875" defaultRowHeight="14" x14ac:dyDescent="0.3"/>
  <cols>
    <col min="1" max="1" width="3.54296875" style="1" customWidth="1"/>
    <col min="2" max="2" width="35.54296875" style="1" customWidth="1"/>
    <col min="3" max="17" width="9.7265625" style="1" customWidth="1"/>
    <col min="18" max="16384" width="9.1796875" style="1"/>
  </cols>
  <sheetData>
    <row r="1" spans="2:17" ht="15.65" hidden="1" customHeight="1" x14ac:dyDescent="0.3">
      <c r="B1" s="213" t="s">
        <v>41</v>
      </c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</row>
    <row r="2" spans="2:17" ht="15.65" customHeight="1" x14ac:dyDescent="0.35">
      <c r="B2" s="198" t="s">
        <v>100</v>
      </c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</row>
    <row r="3" spans="2:17" ht="15.5" x14ac:dyDescent="0.35">
      <c r="B3" s="199" t="str">
        <f>CONCATENATE("Total Number of Majors by Field and University, ", IF(RIGHT(Parameters!B1,1)="1","Fall ","Spring "), IF(RIGHT(Parameters!B1,1)="1",LEFT(Parameters!B1,4),LEFT(Parameters!B1,4) + 1 ),", Ranked in Descending Order")</f>
        <v>Total Number of Majors by Field and University, Fall 2021, Ranked in Descending Order</v>
      </c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</row>
    <row r="4" spans="2:17" ht="14.5" customHeight="1" x14ac:dyDescent="0.3">
      <c r="B4" s="195" t="s">
        <v>167</v>
      </c>
      <c r="C4" s="41" t="s">
        <v>168</v>
      </c>
      <c r="D4" s="41" t="s">
        <v>169</v>
      </c>
      <c r="E4" s="41" t="s">
        <v>170</v>
      </c>
      <c r="F4" s="41" t="s">
        <v>171</v>
      </c>
      <c r="G4" s="41" t="s">
        <v>172</v>
      </c>
      <c r="H4" s="41" t="s">
        <v>173</v>
      </c>
      <c r="I4" s="41" t="s">
        <v>174</v>
      </c>
      <c r="J4" s="41" t="s">
        <v>175</v>
      </c>
      <c r="K4" s="41" t="s">
        <v>176</v>
      </c>
      <c r="L4" s="41" t="s">
        <v>177</v>
      </c>
      <c r="M4" s="41" t="s">
        <v>178</v>
      </c>
      <c r="N4" s="41" t="s">
        <v>179</v>
      </c>
      <c r="O4" s="41" t="s">
        <v>180</v>
      </c>
      <c r="P4" s="41" t="s">
        <v>181</v>
      </c>
      <c r="Q4" s="41" t="s">
        <v>23</v>
      </c>
    </row>
    <row r="5" spans="2:17" ht="14.5" customHeight="1" x14ac:dyDescent="0.3">
      <c r="B5" s="106" t="s">
        <v>182</v>
      </c>
      <c r="C5" s="33">
        <v>1445</v>
      </c>
      <c r="D5" s="33">
        <v>695</v>
      </c>
      <c r="E5" s="33">
        <v>133</v>
      </c>
      <c r="F5" s="33">
        <v>467</v>
      </c>
      <c r="G5" s="33">
        <v>688</v>
      </c>
      <c r="H5" s="33">
        <v>321</v>
      </c>
      <c r="I5" s="33">
        <v>1476</v>
      </c>
      <c r="J5" s="33">
        <v>1110</v>
      </c>
      <c r="K5" s="33">
        <v>247</v>
      </c>
      <c r="L5" s="33">
        <v>129</v>
      </c>
      <c r="M5" s="33">
        <v>711</v>
      </c>
      <c r="N5" s="33">
        <v>1137</v>
      </c>
      <c r="O5" s="33">
        <v>778</v>
      </c>
      <c r="P5" s="33">
        <v>3848</v>
      </c>
      <c r="Q5" s="35">
        <v>13185</v>
      </c>
    </row>
    <row r="6" spans="2:17" ht="14.5" customHeight="1" x14ac:dyDescent="0.3">
      <c r="B6" s="106" t="s">
        <v>183</v>
      </c>
      <c r="C6" s="117">
        <v>960</v>
      </c>
      <c r="D6" s="117">
        <v>1079</v>
      </c>
      <c r="E6" s="117">
        <v>24</v>
      </c>
      <c r="F6" s="117">
        <v>356</v>
      </c>
      <c r="G6" s="117">
        <v>894</v>
      </c>
      <c r="H6" s="117">
        <v>828</v>
      </c>
      <c r="I6" s="117">
        <v>680</v>
      </c>
      <c r="J6" s="117">
        <v>1673</v>
      </c>
      <c r="K6" s="117">
        <v>237</v>
      </c>
      <c r="L6" s="117">
        <v>143</v>
      </c>
      <c r="M6" s="117">
        <v>1049</v>
      </c>
      <c r="N6" s="117">
        <v>725</v>
      </c>
      <c r="O6" s="117">
        <v>1199</v>
      </c>
      <c r="P6" s="117">
        <v>1902</v>
      </c>
      <c r="Q6" s="119">
        <v>11749</v>
      </c>
    </row>
    <row r="7" spans="2:17" ht="14.5" customHeight="1" x14ac:dyDescent="0.3">
      <c r="B7" s="106" t="s">
        <v>184</v>
      </c>
      <c r="C7" s="117">
        <v>1460</v>
      </c>
      <c r="D7" s="117">
        <v>616</v>
      </c>
      <c r="E7" s="117">
        <v>0</v>
      </c>
      <c r="F7" s="117">
        <v>1202</v>
      </c>
      <c r="G7" s="117">
        <v>686</v>
      </c>
      <c r="H7" s="117">
        <v>597</v>
      </c>
      <c r="I7" s="117">
        <v>1364</v>
      </c>
      <c r="J7" s="117">
        <v>0</v>
      </c>
      <c r="K7" s="117">
        <v>1017</v>
      </c>
      <c r="L7" s="117">
        <v>229</v>
      </c>
      <c r="M7" s="117">
        <v>597</v>
      </c>
      <c r="N7" s="117">
        <v>2</v>
      </c>
      <c r="O7" s="117">
        <v>1695</v>
      </c>
      <c r="P7" s="117">
        <v>2193</v>
      </c>
      <c r="Q7" s="119">
        <v>11658</v>
      </c>
    </row>
    <row r="8" spans="2:17" ht="14.5" customHeight="1" x14ac:dyDescent="0.3">
      <c r="B8" s="106" t="s">
        <v>185</v>
      </c>
      <c r="C8" s="117">
        <v>332</v>
      </c>
      <c r="D8" s="117">
        <v>259</v>
      </c>
      <c r="E8" s="117">
        <v>78</v>
      </c>
      <c r="F8" s="117">
        <v>161</v>
      </c>
      <c r="G8" s="117">
        <v>286</v>
      </c>
      <c r="H8" s="117">
        <v>226</v>
      </c>
      <c r="I8" s="117">
        <v>485</v>
      </c>
      <c r="J8" s="117">
        <v>564</v>
      </c>
      <c r="K8" s="117">
        <v>131</v>
      </c>
      <c r="L8" s="117">
        <v>133</v>
      </c>
      <c r="M8" s="117">
        <v>488</v>
      </c>
      <c r="N8" s="117">
        <v>347</v>
      </c>
      <c r="O8" s="117">
        <v>426</v>
      </c>
      <c r="P8" s="117">
        <v>1183</v>
      </c>
      <c r="Q8" s="119">
        <v>5099</v>
      </c>
    </row>
    <row r="9" spans="2:17" ht="14.5" customHeight="1" x14ac:dyDescent="0.3">
      <c r="B9" s="106" t="s">
        <v>186</v>
      </c>
      <c r="C9" s="117">
        <v>165</v>
      </c>
      <c r="D9" s="117">
        <v>758</v>
      </c>
      <c r="E9" s="117">
        <v>9</v>
      </c>
      <c r="F9" s="117">
        <v>137</v>
      </c>
      <c r="G9" s="117">
        <v>446</v>
      </c>
      <c r="H9" s="117">
        <v>143</v>
      </c>
      <c r="I9" s="117">
        <v>371</v>
      </c>
      <c r="J9" s="117">
        <v>303</v>
      </c>
      <c r="K9" s="117">
        <v>337</v>
      </c>
      <c r="L9" s="117">
        <v>0</v>
      </c>
      <c r="M9" s="117">
        <v>113</v>
      </c>
      <c r="N9" s="117">
        <v>173</v>
      </c>
      <c r="O9" s="117">
        <v>426</v>
      </c>
      <c r="P9" s="117">
        <v>868</v>
      </c>
      <c r="Q9" s="119">
        <v>4249</v>
      </c>
    </row>
    <row r="10" spans="2:17" ht="14.5" customHeight="1" x14ac:dyDescent="0.3">
      <c r="B10" s="106" t="s">
        <v>187</v>
      </c>
      <c r="C10" s="117">
        <v>224</v>
      </c>
      <c r="D10" s="117">
        <v>204</v>
      </c>
      <c r="E10" s="117">
        <v>149</v>
      </c>
      <c r="F10" s="117">
        <v>157</v>
      </c>
      <c r="G10" s="117">
        <v>471</v>
      </c>
      <c r="H10" s="117">
        <v>96</v>
      </c>
      <c r="I10" s="117">
        <v>372</v>
      </c>
      <c r="J10" s="117">
        <v>365</v>
      </c>
      <c r="K10" s="117">
        <v>116</v>
      </c>
      <c r="L10" s="117">
        <v>105</v>
      </c>
      <c r="M10" s="117">
        <v>512</v>
      </c>
      <c r="N10" s="117">
        <v>321</v>
      </c>
      <c r="O10" s="117">
        <v>352</v>
      </c>
      <c r="P10" s="117">
        <v>773</v>
      </c>
      <c r="Q10" s="119">
        <v>4217</v>
      </c>
    </row>
    <row r="11" spans="2:17" ht="14.5" customHeight="1" x14ac:dyDescent="0.3">
      <c r="B11" s="106" t="s">
        <v>188</v>
      </c>
      <c r="C11" s="117">
        <v>141</v>
      </c>
      <c r="D11" s="117">
        <v>214</v>
      </c>
      <c r="E11" s="117">
        <v>18</v>
      </c>
      <c r="F11" s="117">
        <v>24</v>
      </c>
      <c r="G11" s="117">
        <v>113</v>
      </c>
      <c r="H11" s="117">
        <v>525</v>
      </c>
      <c r="I11" s="117">
        <v>535</v>
      </c>
      <c r="J11" s="117">
        <v>652</v>
      </c>
      <c r="K11" s="117">
        <v>13</v>
      </c>
      <c r="L11" s="117">
        <v>153</v>
      </c>
      <c r="M11" s="117">
        <v>503</v>
      </c>
      <c r="N11" s="117">
        <v>60</v>
      </c>
      <c r="O11" s="117">
        <v>322</v>
      </c>
      <c r="P11" s="117">
        <v>614</v>
      </c>
      <c r="Q11" s="119">
        <v>3887</v>
      </c>
    </row>
    <row r="12" spans="2:17" ht="14.5" customHeight="1" x14ac:dyDescent="0.3">
      <c r="B12" s="106" t="s">
        <v>189</v>
      </c>
      <c r="C12" s="117">
        <v>221</v>
      </c>
      <c r="D12" s="117">
        <v>316</v>
      </c>
      <c r="E12" s="117">
        <v>75</v>
      </c>
      <c r="F12" s="117">
        <v>96</v>
      </c>
      <c r="G12" s="117">
        <v>88</v>
      </c>
      <c r="H12" s="117">
        <v>82</v>
      </c>
      <c r="I12" s="117">
        <v>950</v>
      </c>
      <c r="J12" s="117">
        <v>184</v>
      </c>
      <c r="K12" s="117">
        <v>63</v>
      </c>
      <c r="L12" s="117">
        <v>32</v>
      </c>
      <c r="M12" s="117">
        <v>475</v>
      </c>
      <c r="N12" s="117">
        <v>185</v>
      </c>
      <c r="O12" s="117">
        <v>288</v>
      </c>
      <c r="P12" s="117">
        <v>402</v>
      </c>
      <c r="Q12" s="119">
        <v>3457</v>
      </c>
    </row>
    <row r="13" spans="2:17" ht="14.5" customHeight="1" x14ac:dyDescent="0.3">
      <c r="B13" s="106" t="s">
        <v>190</v>
      </c>
      <c r="C13" s="117">
        <v>585</v>
      </c>
      <c r="D13" s="117">
        <v>491</v>
      </c>
      <c r="E13" s="117">
        <v>0</v>
      </c>
      <c r="F13" s="117">
        <v>123</v>
      </c>
      <c r="G13" s="117">
        <v>265</v>
      </c>
      <c r="H13" s="117">
        <v>101</v>
      </c>
      <c r="I13" s="117">
        <v>32</v>
      </c>
      <c r="J13" s="117">
        <v>343</v>
      </c>
      <c r="K13" s="117">
        <v>183</v>
      </c>
      <c r="L13" s="117">
        <v>107</v>
      </c>
      <c r="M13" s="117">
        <v>91</v>
      </c>
      <c r="N13" s="117">
        <v>289</v>
      </c>
      <c r="O13" s="117">
        <v>145</v>
      </c>
      <c r="P13" s="117">
        <v>665</v>
      </c>
      <c r="Q13" s="119">
        <v>3420</v>
      </c>
    </row>
    <row r="14" spans="2:17" ht="14.5" customHeight="1" x14ac:dyDescent="0.3">
      <c r="B14" s="106" t="s">
        <v>191</v>
      </c>
      <c r="C14" s="117">
        <v>179</v>
      </c>
      <c r="D14" s="117">
        <v>167</v>
      </c>
      <c r="E14" s="117">
        <v>0</v>
      </c>
      <c r="F14" s="117">
        <v>0</v>
      </c>
      <c r="G14" s="117">
        <v>131</v>
      </c>
      <c r="H14" s="117">
        <v>414</v>
      </c>
      <c r="I14" s="117">
        <v>83</v>
      </c>
      <c r="J14" s="117">
        <v>324</v>
      </c>
      <c r="K14" s="117">
        <v>79</v>
      </c>
      <c r="L14" s="117">
        <v>46</v>
      </c>
      <c r="M14" s="117">
        <v>427</v>
      </c>
      <c r="N14" s="117">
        <v>268</v>
      </c>
      <c r="O14" s="117">
        <v>138</v>
      </c>
      <c r="P14" s="117">
        <v>751</v>
      </c>
      <c r="Q14" s="119">
        <v>3007</v>
      </c>
    </row>
    <row r="15" spans="2:17" ht="14.5" customHeight="1" x14ac:dyDescent="0.3">
      <c r="B15" s="106" t="s">
        <v>192</v>
      </c>
      <c r="C15" s="117">
        <v>232</v>
      </c>
      <c r="D15" s="117">
        <v>233</v>
      </c>
      <c r="E15" s="117">
        <v>9</v>
      </c>
      <c r="F15" s="117">
        <v>87</v>
      </c>
      <c r="G15" s="117">
        <v>144</v>
      </c>
      <c r="H15" s="117">
        <v>135</v>
      </c>
      <c r="I15" s="117">
        <v>218</v>
      </c>
      <c r="J15" s="117">
        <v>332</v>
      </c>
      <c r="K15" s="117">
        <v>73</v>
      </c>
      <c r="L15" s="117">
        <v>33</v>
      </c>
      <c r="M15" s="117">
        <v>251</v>
      </c>
      <c r="N15" s="117">
        <v>118</v>
      </c>
      <c r="O15" s="117">
        <v>430</v>
      </c>
      <c r="P15" s="117">
        <v>498</v>
      </c>
      <c r="Q15" s="119">
        <v>2793</v>
      </c>
    </row>
    <row r="16" spans="2:17" ht="14.5" customHeight="1" x14ac:dyDescent="0.3">
      <c r="B16" s="106" t="s">
        <v>193</v>
      </c>
      <c r="C16" s="117">
        <v>314</v>
      </c>
      <c r="D16" s="117">
        <v>50</v>
      </c>
      <c r="E16" s="117">
        <v>19</v>
      </c>
      <c r="F16" s="117">
        <v>78</v>
      </c>
      <c r="G16" s="117">
        <v>113</v>
      </c>
      <c r="H16" s="117">
        <v>104</v>
      </c>
      <c r="I16" s="117">
        <v>297</v>
      </c>
      <c r="J16" s="117">
        <v>560</v>
      </c>
      <c r="K16" s="117">
        <v>46</v>
      </c>
      <c r="L16" s="117">
        <v>48</v>
      </c>
      <c r="M16" s="117">
        <v>240</v>
      </c>
      <c r="N16" s="117">
        <v>176</v>
      </c>
      <c r="O16" s="117">
        <v>275</v>
      </c>
      <c r="P16" s="117">
        <v>319</v>
      </c>
      <c r="Q16" s="119">
        <v>2639</v>
      </c>
    </row>
    <row r="17" spans="2:17" ht="14.5" customHeight="1" x14ac:dyDescent="0.3">
      <c r="B17" s="106" t="s">
        <v>194</v>
      </c>
      <c r="C17" s="117">
        <v>120</v>
      </c>
      <c r="D17" s="117">
        <v>57</v>
      </c>
      <c r="E17" s="117">
        <v>4</v>
      </c>
      <c r="F17" s="117">
        <v>66</v>
      </c>
      <c r="G17" s="117">
        <v>78</v>
      </c>
      <c r="H17" s="117">
        <v>40</v>
      </c>
      <c r="I17" s="117">
        <v>373</v>
      </c>
      <c r="J17" s="117">
        <v>142</v>
      </c>
      <c r="K17" s="117">
        <v>35</v>
      </c>
      <c r="L17" s="117">
        <v>18</v>
      </c>
      <c r="M17" s="117">
        <v>201</v>
      </c>
      <c r="N17" s="117">
        <v>112</v>
      </c>
      <c r="O17" s="117">
        <v>148</v>
      </c>
      <c r="P17" s="117">
        <v>728</v>
      </c>
      <c r="Q17" s="119">
        <v>2122</v>
      </c>
    </row>
    <row r="18" spans="2:17" x14ac:dyDescent="0.3">
      <c r="B18" s="106" t="s">
        <v>195</v>
      </c>
      <c r="C18" s="117">
        <v>167</v>
      </c>
      <c r="D18" s="117">
        <v>63</v>
      </c>
      <c r="E18" s="117">
        <v>0</v>
      </c>
      <c r="F18" s="117">
        <v>54</v>
      </c>
      <c r="G18" s="117">
        <v>67</v>
      </c>
      <c r="H18" s="117">
        <v>60</v>
      </c>
      <c r="I18" s="117">
        <v>109</v>
      </c>
      <c r="J18" s="117">
        <v>177</v>
      </c>
      <c r="K18" s="117">
        <v>82</v>
      </c>
      <c r="L18" s="117">
        <v>15</v>
      </c>
      <c r="M18" s="117">
        <v>261</v>
      </c>
      <c r="N18" s="117">
        <v>86</v>
      </c>
      <c r="O18" s="117">
        <v>176</v>
      </c>
      <c r="P18" s="117">
        <v>303</v>
      </c>
      <c r="Q18" s="119">
        <v>1620</v>
      </c>
    </row>
    <row r="19" spans="2:17" x14ac:dyDescent="0.3">
      <c r="B19" s="106" t="s">
        <v>196</v>
      </c>
      <c r="C19" s="117">
        <v>0</v>
      </c>
      <c r="D19" s="117">
        <v>231</v>
      </c>
      <c r="E19" s="117">
        <v>0</v>
      </c>
      <c r="F19" s="117">
        <v>25</v>
      </c>
      <c r="G19" s="117">
        <v>0</v>
      </c>
      <c r="H19" s="117">
        <v>51</v>
      </c>
      <c r="I19" s="117">
        <v>328</v>
      </c>
      <c r="J19" s="117">
        <v>0</v>
      </c>
      <c r="K19" s="117">
        <v>0</v>
      </c>
      <c r="L19" s="117">
        <v>14</v>
      </c>
      <c r="M19" s="117">
        <v>225</v>
      </c>
      <c r="N19" s="117">
        <v>0</v>
      </c>
      <c r="O19" s="117">
        <v>425</v>
      </c>
      <c r="P19" s="117">
        <v>0</v>
      </c>
      <c r="Q19" s="119">
        <v>1299</v>
      </c>
    </row>
    <row r="20" spans="2:17" x14ac:dyDescent="0.3">
      <c r="B20" s="106" t="s">
        <v>197</v>
      </c>
      <c r="C20" s="117">
        <v>31</v>
      </c>
      <c r="D20" s="117">
        <v>35</v>
      </c>
      <c r="E20" s="117">
        <v>0</v>
      </c>
      <c r="F20" s="117">
        <v>16</v>
      </c>
      <c r="G20" s="117">
        <v>72</v>
      </c>
      <c r="H20" s="117">
        <v>5</v>
      </c>
      <c r="I20" s="117">
        <v>46</v>
      </c>
      <c r="J20" s="117">
        <v>87</v>
      </c>
      <c r="K20" s="117">
        <v>14</v>
      </c>
      <c r="L20" s="117">
        <v>21</v>
      </c>
      <c r="M20" s="117">
        <v>92</v>
      </c>
      <c r="N20" s="117">
        <v>152</v>
      </c>
      <c r="O20" s="117">
        <v>260</v>
      </c>
      <c r="P20" s="117">
        <v>268</v>
      </c>
      <c r="Q20" s="119">
        <v>1099</v>
      </c>
    </row>
    <row r="21" spans="2:17" x14ac:dyDescent="0.3">
      <c r="B21" s="106" t="s">
        <v>198</v>
      </c>
      <c r="C21" s="117">
        <v>55</v>
      </c>
      <c r="D21" s="117">
        <v>71</v>
      </c>
      <c r="E21" s="117">
        <v>3</v>
      </c>
      <c r="F21" s="117">
        <v>44</v>
      </c>
      <c r="G21" s="117">
        <v>41</v>
      </c>
      <c r="H21" s="117">
        <v>28</v>
      </c>
      <c r="I21" s="117">
        <v>143</v>
      </c>
      <c r="J21" s="117">
        <v>32</v>
      </c>
      <c r="K21" s="117">
        <v>21</v>
      </c>
      <c r="L21" s="117">
        <v>9</v>
      </c>
      <c r="M21" s="117">
        <v>123</v>
      </c>
      <c r="N21" s="117">
        <v>78</v>
      </c>
      <c r="O21" s="117">
        <v>144</v>
      </c>
      <c r="P21" s="117">
        <v>287</v>
      </c>
      <c r="Q21" s="119">
        <v>1079</v>
      </c>
    </row>
    <row r="22" spans="2:17" x14ac:dyDescent="0.3">
      <c r="B22" s="106" t="s">
        <v>199</v>
      </c>
      <c r="C22" s="117">
        <v>42</v>
      </c>
      <c r="D22" s="117">
        <v>108</v>
      </c>
      <c r="E22" s="117">
        <v>0</v>
      </c>
      <c r="F22" s="117">
        <v>0</v>
      </c>
      <c r="G22" s="117">
        <v>0</v>
      </c>
      <c r="H22" s="117">
        <v>0</v>
      </c>
      <c r="I22" s="117">
        <v>34</v>
      </c>
      <c r="J22" s="117">
        <v>0</v>
      </c>
      <c r="K22" s="117">
        <v>0</v>
      </c>
      <c r="L22" s="117">
        <v>0</v>
      </c>
      <c r="M22" s="117">
        <v>205</v>
      </c>
      <c r="N22" s="117">
        <v>213</v>
      </c>
      <c r="O22" s="117">
        <v>179</v>
      </c>
      <c r="P22" s="117">
        <v>59</v>
      </c>
      <c r="Q22" s="119">
        <v>840</v>
      </c>
    </row>
    <row r="23" spans="2:17" x14ac:dyDescent="0.3">
      <c r="B23" s="106" t="s">
        <v>200</v>
      </c>
      <c r="C23" s="117">
        <v>11</v>
      </c>
      <c r="D23" s="117">
        <v>84</v>
      </c>
      <c r="E23" s="117">
        <v>24</v>
      </c>
      <c r="F23" s="117">
        <v>186</v>
      </c>
      <c r="G23" s="117">
        <v>0</v>
      </c>
      <c r="H23" s="117">
        <v>33</v>
      </c>
      <c r="I23" s="117">
        <v>43</v>
      </c>
      <c r="J23" s="117">
        <v>5</v>
      </c>
      <c r="K23" s="117">
        <v>16</v>
      </c>
      <c r="L23" s="117">
        <v>82</v>
      </c>
      <c r="M23" s="117">
        <v>0</v>
      </c>
      <c r="N23" s="117">
        <v>17</v>
      </c>
      <c r="O23" s="117">
        <v>0</v>
      </c>
      <c r="P23" s="117">
        <v>262</v>
      </c>
      <c r="Q23" s="119">
        <v>763</v>
      </c>
    </row>
    <row r="24" spans="2:17" x14ac:dyDescent="0.3">
      <c r="B24" s="106" t="s">
        <v>201</v>
      </c>
      <c r="C24" s="117">
        <v>31</v>
      </c>
      <c r="D24" s="117">
        <v>50</v>
      </c>
      <c r="E24" s="117">
        <v>0</v>
      </c>
      <c r="F24" s="117">
        <v>0</v>
      </c>
      <c r="G24" s="117">
        <v>20</v>
      </c>
      <c r="H24" s="117">
        <v>13</v>
      </c>
      <c r="I24" s="117">
        <v>181</v>
      </c>
      <c r="J24" s="117">
        <v>77</v>
      </c>
      <c r="K24" s="117">
        <v>0</v>
      </c>
      <c r="L24" s="117">
        <v>2</v>
      </c>
      <c r="M24" s="117">
        <v>104</v>
      </c>
      <c r="N24" s="117">
        <v>42</v>
      </c>
      <c r="O24" s="117">
        <v>90</v>
      </c>
      <c r="P24" s="117">
        <v>110</v>
      </c>
      <c r="Q24" s="119">
        <v>720</v>
      </c>
    </row>
    <row r="25" spans="2:17" x14ac:dyDescent="0.3">
      <c r="B25" s="106" t="s">
        <v>202</v>
      </c>
      <c r="C25" s="117">
        <v>26</v>
      </c>
      <c r="D25" s="117">
        <v>54</v>
      </c>
      <c r="E25" s="117">
        <v>0</v>
      </c>
      <c r="F25" s="117">
        <v>41</v>
      </c>
      <c r="G25" s="117">
        <v>16</v>
      </c>
      <c r="H25" s="117">
        <v>0</v>
      </c>
      <c r="I25" s="117">
        <v>142</v>
      </c>
      <c r="J25" s="117">
        <v>0</v>
      </c>
      <c r="K25" s="117">
        <v>0</v>
      </c>
      <c r="L25" s="117">
        <v>0</v>
      </c>
      <c r="M25" s="117">
        <v>118</v>
      </c>
      <c r="N25" s="117">
        <v>82</v>
      </c>
      <c r="O25" s="117">
        <v>80</v>
      </c>
      <c r="P25" s="117">
        <v>0</v>
      </c>
      <c r="Q25" s="119">
        <v>559</v>
      </c>
    </row>
    <row r="26" spans="2:17" x14ac:dyDescent="0.3">
      <c r="B26" s="106" t="s">
        <v>203</v>
      </c>
      <c r="C26" s="117">
        <v>115</v>
      </c>
      <c r="D26" s="117">
        <v>172</v>
      </c>
      <c r="E26" s="117">
        <v>0</v>
      </c>
      <c r="F26" s="117">
        <v>0</v>
      </c>
      <c r="G26" s="117">
        <v>13</v>
      </c>
      <c r="H26" s="117">
        <v>0</v>
      </c>
      <c r="I26" s="117">
        <v>18</v>
      </c>
      <c r="J26" s="117">
        <v>13</v>
      </c>
      <c r="K26" s="117">
        <v>1</v>
      </c>
      <c r="L26" s="117">
        <v>1</v>
      </c>
      <c r="M26" s="117">
        <v>40</v>
      </c>
      <c r="N26" s="117">
        <v>21</v>
      </c>
      <c r="O26" s="117">
        <v>22</v>
      </c>
      <c r="P26" s="117">
        <v>106</v>
      </c>
      <c r="Q26" s="119">
        <v>522</v>
      </c>
    </row>
    <row r="27" spans="2:17" x14ac:dyDescent="0.3">
      <c r="B27" s="106" t="s">
        <v>204</v>
      </c>
      <c r="C27" s="117">
        <v>0</v>
      </c>
      <c r="D27" s="117">
        <v>0</v>
      </c>
      <c r="E27" s="117">
        <v>0</v>
      </c>
      <c r="F27" s="117">
        <v>385</v>
      </c>
      <c r="G27" s="117">
        <v>0</v>
      </c>
      <c r="H27" s="117">
        <v>0</v>
      </c>
      <c r="I27" s="117">
        <v>0</v>
      </c>
      <c r="J27" s="117">
        <v>55</v>
      </c>
      <c r="K27" s="117">
        <v>0</v>
      </c>
      <c r="L27" s="117">
        <v>0</v>
      </c>
      <c r="M27" s="117">
        <v>0</v>
      </c>
      <c r="N27" s="117">
        <v>0</v>
      </c>
      <c r="O27" s="117">
        <v>0</v>
      </c>
      <c r="P27" s="117">
        <v>0</v>
      </c>
      <c r="Q27" s="119">
        <v>440</v>
      </c>
    </row>
    <row r="28" spans="2:17" x14ac:dyDescent="0.3">
      <c r="B28" s="106" t="s">
        <v>205</v>
      </c>
      <c r="C28" s="117">
        <v>0</v>
      </c>
      <c r="D28" s="117">
        <v>118</v>
      </c>
      <c r="E28" s="117">
        <v>0</v>
      </c>
      <c r="F28" s="117">
        <v>9</v>
      </c>
      <c r="G28" s="117">
        <v>0</v>
      </c>
      <c r="H28" s="117">
        <v>0</v>
      </c>
      <c r="I28" s="117">
        <v>0</v>
      </c>
      <c r="J28" s="117">
        <v>95</v>
      </c>
      <c r="K28" s="117">
        <v>0</v>
      </c>
      <c r="L28" s="117">
        <v>38</v>
      </c>
      <c r="M28" s="117">
        <v>11</v>
      </c>
      <c r="N28" s="117">
        <v>66</v>
      </c>
      <c r="O28" s="117">
        <v>51</v>
      </c>
      <c r="P28" s="117">
        <v>0</v>
      </c>
      <c r="Q28" s="119">
        <v>388</v>
      </c>
    </row>
    <row r="29" spans="2:17" x14ac:dyDescent="0.3">
      <c r="B29" s="106" t="s">
        <v>206</v>
      </c>
      <c r="C29" s="117">
        <v>0</v>
      </c>
      <c r="D29" s="117">
        <v>4</v>
      </c>
      <c r="E29" s="117">
        <v>0</v>
      </c>
      <c r="F29" s="117">
        <v>0</v>
      </c>
      <c r="G29" s="117">
        <v>0</v>
      </c>
      <c r="H29" s="117">
        <v>0</v>
      </c>
      <c r="I29" s="117">
        <v>177</v>
      </c>
      <c r="J29" s="117">
        <v>0</v>
      </c>
      <c r="K29" s="117">
        <v>0</v>
      </c>
      <c r="L29" s="117">
        <v>0</v>
      </c>
      <c r="M29" s="117">
        <v>0</v>
      </c>
      <c r="N29" s="117">
        <v>0</v>
      </c>
      <c r="O29" s="117">
        <v>0</v>
      </c>
      <c r="P29" s="117">
        <v>52</v>
      </c>
      <c r="Q29" s="119">
        <v>233</v>
      </c>
    </row>
    <row r="30" spans="2:17" x14ac:dyDescent="0.3">
      <c r="B30" s="106" t="s">
        <v>207</v>
      </c>
      <c r="C30" s="117">
        <v>0</v>
      </c>
      <c r="D30" s="117">
        <v>0</v>
      </c>
      <c r="E30" s="117">
        <v>0</v>
      </c>
      <c r="F30" s="117">
        <v>0</v>
      </c>
      <c r="G30" s="117">
        <v>0</v>
      </c>
      <c r="H30" s="117">
        <v>0</v>
      </c>
      <c r="I30" s="117">
        <v>152</v>
      </c>
      <c r="J30" s="117">
        <v>0</v>
      </c>
      <c r="K30" s="117">
        <v>0</v>
      </c>
      <c r="L30" s="117">
        <v>0</v>
      </c>
      <c r="M30" s="117">
        <v>0</v>
      </c>
      <c r="N30" s="117">
        <v>0</v>
      </c>
      <c r="O30" s="117">
        <v>0</v>
      </c>
      <c r="P30" s="117">
        <v>0</v>
      </c>
      <c r="Q30" s="119">
        <v>152</v>
      </c>
    </row>
    <row r="31" spans="2:17" x14ac:dyDescent="0.3">
      <c r="B31" s="106" t="s">
        <v>208</v>
      </c>
      <c r="C31" s="117">
        <v>0</v>
      </c>
      <c r="D31" s="117">
        <v>0</v>
      </c>
      <c r="E31" s="117">
        <v>0</v>
      </c>
      <c r="F31" s="117">
        <v>0</v>
      </c>
      <c r="G31" s="117">
        <v>124</v>
      </c>
      <c r="H31" s="117">
        <v>0</v>
      </c>
      <c r="I31" s="117">
        <v>0</v>
      </c>
      <c r="J31" s="117">
        <v>0</v>
      </c>
      <c r="K31" s="117">
        <v>0</v>
      </c>
      <c r="L31" s="117">
        <v>0</v>
      </c>
      <c r="M31" s="117">
        <v>0</v>
      </c>
      <c r="N31" s="117">
        <v>0</v>
      </c>
      <c r="O31" s="117">
        <v>0</v>
      </c>
      <c r="P31" s="117">
        <v>0</v>
      </c>
      <c r="Q31" s="119">
        <v>124</v>
      </c>
    </row>
    <row r="32" spans="2:17" x14ac:dyDescent="0.3">
      <c r="B32" s="113" t="s">
        <v>209</v>
      </c>
      <c r="C32" s="120">
        <v>13</v>
      </c>
      <c r="D32" s="120">
        <v>0</v>
      </c>
      <c r="E32" s="120">
        <v>0</v>
      </c>
      <c r="F32" s="120">
        <v>7</v>
      </c>
      <c r="G32" s="120">
        <v>8</v>
      </c>
      <c r="H32" s="120">
        <v>0</v>
      </c>
      <c r="I32" s="120">
        <v>15</v>
      </c>
      <c r="J32" s="120">
        <v>13</v>
      </c>
      <c r="K32" s="120">
        <v>0</v>
      </c>
      <c r="L32" s="120">
        <v>1</v>
      </c>
      <c r="M32" s="120">
        <v>6</v>
      </c>
      <c r="N32" s="120">
        <v>0</v>
      </c>
      <c r="O32" s="120">
        <v>10</v>
      </c>
      <c r="P32" s="120">
        <v>42</v>
      </c>
      <c r="Q32" s="119">
        <v>115</v>
      </c>
    </row>
    <row r="33" spans="2:17" x14ac:dyDescent="0.3">
      <c r="B33" s="129" t="s">
        <v>210</v>
      </c>
      <c r="C33" s="134">
        <v>0</v>
      </c>
      <c r="D33" s="134">
        <v>88</v>
      </c>
      <c r="E33" s="134">
        <v>0</v>
      </c>
      <c r="F33" s="134">
        <v>16</v>
      </c>
      <c r="G33" s="134">
        <v>0</v>
      </c>
      <c r="H33" s="134">
        <v>0</v>
      </c>
      <c r="I33" s="134">
        <v>0</v>
      </c>
      <c r="J33" s="134">
        <v>0</v>
      </c>
      <c r="K33" s="134">
        <v>0</v>
      </c>
      <c r="L33" s="134">
        <v>0</v>
      </c>
      <c r="M33" s="134">
        <v>0</v>
      </c>
      <c r="N33" s="134">
        <v>0</v>
      </c>
      <c r="O33" s="134">
        <v>0</v>
      </c>
      <c r="P33" s="134">
        <v>0</v>
      </c>
      <c r="Q33" s="135">
        <v>104</v>
      </c>
    </row>
    <row r="34" spans="2:17" x14ac:dyDescent="0.3">
      <c r="B34" s="129" t="s">
        <v>211</v>
      </c>
      <c r="C34" s="134">
        <v>0</v>
      </c>
      <c r="D34" s="134">
        <v>73</v>
      </c>
      <c r="E34" s="134">
        <v>0</v>
      </c>
      <c r="F34" s="134">
        <v>0</v>
      </c>
      <c r="G34" s="134">
        <v>0</v>
      </c>
      <c r="H34" s="134">
        <v>0</v>
      </c>
      <c r="I34" s="134">
        <v>0</v>
      </c>
      <c r="J34" s="134">
        <v>0</v>
      </c>
      <c r="K34" s="134">
        <v>0</v>
      </c>
      <c r="L34" s="134">
        <v>0</v>
      </c>
      <c r="M34" s="134">
        <v>0</v>
      </c>
      <c r="N34" s="134">
        <v>0</v>
      </c>
      <c r="O34" s="134">
        <v>0</v>
      </c>
      <c r="P34" s="134">
        <v>0</v>
      </c>
      <c r="Q34" s="135">
        <v>73</v>
      </c>
    </row>
    <row r="35" spans="2:17" x14ac:dyDescent="0.3">
      <c r="B35" s="129" t="s">
        <v>212</v>
      </c>
      <c r="C35" s="134">
        <v>0</v>
      </c>
      <c r="D35" s="134">
        <v>0</v>
      </c>
      <c r="E35" s="134">
        <v>0</v>
      </c>
      <c r="F35" s="134">
        <v>0</v>
      </c>
      <c r="G35" s="134">
        <v>0</v>
      </c>
      <c r="H35" s="134">
        <v>0</v>
      </c>
      <c r="I35" s="134">
        <v>20</v>
      </c>
      <c r="J35" s="134">
        <v>0</v>
      </c>
      <c r="K35" s="134">
        <v>0</v>
      </c>
      <c r="L35" s="134">
        <v>0</v>
      </c>
      <c r="M35" s="134">
        <v>0</v>
      </c>
      <c r="N35" s="134">
        <v>0</v>
      </c>
      <c r="O35" s="134">
        <v>0</v>
      </c>
      <c r="P35" s="134">
        <v>53</v>
      </c>
      <c r="Q35" s="135">
        <v>73</v>
      </c>
    </row>
    <row r="36" spans="2:17" x14ac:dyDescent="0.3">
      <c r="B36" s="129" t="s">
        <v>213</v>
      </c>
      <c r="C36" s="134">
        <v>0</v>
      </c>
      <c r="D36" s="134">
        <v>0</v>
      </c>
      <c r="E36" s="134">
        <v>0</v>
      </c>
      <c r="F36" s="134">
        <v>0</v>
      </c>
      <c r="G36" s="134">
        <v>0</v>
      </c>
      <c r="H36" s="134">
        <v>0</v>
      </c>
      <c r="I36" s="134">
        <v>15</v>
      </c>
      <c r="J36" s="134">
        <v>7</v>
      </c>
      <c r="K36" s="134">
        <v>0</v>
      </c>
      <c r="L36" s="134">
        <v>0</v>
      </c>
      <c r="M36" s="134">
        <v>18</v>
      </c>
      <c r="N36" s="134">
        <v>0</v>
      </c>
      <c r="O36" s="134">
        <v>0</v>
      </c>
      <c r="P36" s="134">
        <v>21</v>
      </c>
      <c r="Q36" s="135">
        <v>61</v>
      </c>
    </row>
    <row r="37" spans="2:17" x14ac:dyDescent="0.3">
      <c r="B37" s="129" t="s">
        <v>214</v>
      </c>
      <c r="C37" s="134">
        <v>0</v>
      </c>
      <c r="D37" s="134">
        <v>0</v>
      </c>
      <c r="E37" s="134">
        <v>0</v>
      </c>
      <c r="F37" s="134">
        <v>0</v>
      </c>
      <c r="G37" s="134">
        <v>0</v>
      </c>
      <c r="H37" s="134">
        <v>5</v>
      </c>
      <c r="I37" s="134">
        <v>0</v>
      </c>
      <c r="J37" s="134">
        <v>0</v>
      </c>
      <c r="K37" s="134">
        <v>0</v>
      </c>
      <c r="L37" s="134">
        <v>0</v>
      </c>
      <c r="M37" s="134">
        <v>12</v>
      </c>
      <c r="N37" s="134">
        <v>0</v>
      </c>
      <c r="O37" s="134">
        <v>0</v>
      </c>
      <c r="P37" s="134">
        <v>0</v>
      </c>
      <c r="Q37" s="135">
        <v>17</v>
      </c>
    </row>
    <row r="38" spans="2:17" x14ac:dyDescent="0.3">
      <c r="B38" s="113" t="s">
        <v>215</v>
      </c>
      <c r="C38" s="120">
        <v>524</v>
      </c>
      <c r="D38" s="120">
        <v>52</v>
      </c>
      <c r="E38" s="120">
        <v>84</v>
      </c>
      <c r="F38" s="120">
        <v>96</v>
      </c>
      <c r="G38" s="120">
        <v>264</v>
      </c>
      <c r="H38" s="120">
        <v>68</v>
      </c>
      <c r="I38" s="120">
        <v>479</v>
      </c>
      <c r="J38" s="120">
        <v>339</v>
      </c>
      <c r="K38" s="120">
        <v>95</v>
      </c>
      <c r="L38" s="120">
        <v>144</v>
      </c>
      <c r="M38" s="120">
        <v>177</v>
      </c>
      <c r="N38" s="120">
        <v>762</v>
      </c>
      <c r="O38" s="120">
        <v>277</v>
      </c>
      <c r="P38" s="120">
        <v>968</v>
      </c>
      <c r="Q38" s="119">
        <v>4329</v>
      </c>
    </row>
    <row r="39" spans="2:17" x14ac:dyDescent="0.3">
      <c r="B39" s="113" t="s">
        <v>216</v>
      </c>
      <c r="C39" s="120">
        <v>352</v>
      </c>
      <c r="D39" s="120">
        <v>170</v>
      </c>
      <c r="E39" s="120">
        <v>13</v>
      </c>
      <c r="F39" s="120">
        <v>89</v>
      </c>
      <c r="G39" s="120">
        <v>108</v>
      </c>
      <c r="H39" s="120">
        <v>168</v>
      </c>
      <c r="I39" s="120">
        <v>170</v>
      </c>
      <c r="J39" s="120">
        <v>223</v>
      </c>
      <c r="K39" s="120">
        <v>114</v>
      </c>
      <c r="L39" s="120">
        <v>300</v>
      </c>
      <c r="M39" s="120">
        <v>163</v>
      </c>
      <c r="N39" s="120">
        <v>236</v>
      </c>
      <c r="O39" s="120">
        <v>88</v>
      </c>
      <c r="P39" s="120">
        <v>365</v>
      </c>
      <c r="Q39" s="119">
        <v>2559</v>
      </c>
    </row>
    <row r="40" spans="2:17" ht="23.25" customHeight="1" x14ac:dyDescent="0.3">
      <c r="B40" s="151" t="s">
        <v>23</v>
      </c>
      <c r="C40" s="158">
        <f>SUBTOTAL(109,'Table 9'!$C$5:$C$39)</f>
        <v>7745</v>
      </c>
      <c r="D40" s="158">
        <f>SUBTOTAL(109,'Table 9'!$D$5:$D$39)</f>
        <v>6512</v>
      </c>
      <c r="E40" s="158">
        <f>SUBTOTAL(109,'Table 9'!$E$5:$E$39)</f>
        <v>642</v>
      </c>
      <c r="F40" s="158">
        <f>SUBTOTAL(109,'Table 9'!$F$5:$F$39)</f>
        <v>3922</v>
      </c>
      <c r="G40" s="158">
        <f>SUBTOTAL(109,'Table 9'!$G$5:$G$39)</f>
        <v>5136</v>
      </c>
      <c r="H40" s="158">
        <f>SUBTOTAL(109,'Table 9'!$H$5:$H$39)</f>
        <v>4043</v>
      </c>
      <c r="I40" s="158">
        <f>SUBTOTAL(109,'Table 9'!$I$5:$I$39)</f>
        <v>9308</v>
      </c>
      <c r="J40" s="158">
        <f>SUBTOTAL(109,'Table 9'!$J$5:$J$39)</f>
        <v>7675</v>
      </c>
      <c r="K40" s="158">
        <f>SUBTOTAL(109,'Table 9'!$K$5:$K$39)</f>
        <v>2920</v>
      </c>
      <c r="L40" s="158">
        <f>SUBTOTAL(109,'Table 9'!$L$5:$L$39)</f>
        <v>1803</v>
      </c>
      <c r="M40" s="158">
        <f>SUBTOTAL(109,'Table 9'!$M$5:$M$39)</f>
        <v>7213</v>
      </c>
      <c r="N40" s="158">
        <f>SUBTOTAL(109,'Table 9'!$N$5:$N$39)</f>
        <v>5668</v>
      </c>
      <c r="O40" s="158">
        <f>SUBTOTAL(109,'Table 9'!$O$5:$O$39)</f>
        <v>8424</v>
      </c>
      <c r="P40" s="158">
        <f>SUBTOTAL(109,'Table 9'!$P$5:$P$39)</f>
        <v>17640</v>
      </c>
      <c r="Q40" s="158">
        <f>SUBTOTAL(109,'Table 9'!$Q$5:$Q$39)</f>
        <v>88651</v>
      </c>
    </row>
    <row r="42" spans="2:17" x14ac:dyDescent="0.3">
      <c r="B42" s="212" t="s">
        <v>110</v>
      </c>
      <c r="C42" s="212"/>
      <c r="D42" s="212"/>
      <c r="E42" s="212"/>
      <c r="F42" s="212"/>
      <c r="G42" s="212"/>
      <c r="H42" s="212"/>
      <c r="I42" s="212"/>
      <c r="J42" s="212"/>
      <c r="K42" s="212"/>
      <c r="L42" s="212"/>
      <c r="M42" s="212"/>
      <c r="N42" s="212"/>
      <c r="O42" s="212"/>
      <c r="P42" s="212"/>
      <c r="Q42" s="212"/>
    </row>
    <row r="43" spans="2:17" x14ac:dyDescent="0.3">
      <c r="B43" s="26" t="s">
        <v>6</v>
      </c>
      <c r="C43" s="3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90"/>
    </row>
    <row r="44" spans="2:17" x14ac:dyDescent="0.3">
      <c r="B44" s="26" t="s">
        <v>7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</row>
    <row r="45" spans="2:17" x14ac:dyDescent="0.3">
      <c r="B45" s="26" t="s">
        <v>107</v>
      </c>
    </row>
    <row r="47" spans="2:17" ht="15.5" x14ac:dyDescent="0.35">
      <c r="B47" s="199" t="str">
        <f>CONCATENATE("Total Number of Graduate Level Majors by Field and University, ", IF(RIGHT(Parameters!B1,1)="1","Fall ","Spring "), IF(RIGHT(Parameters!B1,1)="1",LEFT(Parameters!B1,4),LEFT(Parameters!B1,4) + 1 ),", Ranked in Descending Order")</f>
        <v>Total Number of Graduate Level Majors by Field and University, Fall 2021, Ranked in Descending Order</v>
      </c>
      <c r="C47" s="199"/>
      <c r="D47" s="199"/>
      <c r="E47" s="199"/>
      <c r="F47" s="199"/>
      <c r="G47" s="199"/>
      <c r="H47" s="199"/>
      <c r="I47" s="199"/>
      <c r="J47" s="199"/>
      <c r="K47" s="199"/>
      <c r="L47" s="199"/>
      <c r="M47" s="199"/>
      <c r="N47" s="199"/>
      <c r="O47" s="199"/>
      <c r="P47" s="199"/>
      <c r="Q47" s="199"/>
    </row>
    <row r="48" spans="2:17" x14ac:dyDescent="0.3">
      <c r="B48" s="195" t="s">
        <v>167</v>
      </c>
      <c r="C48" s="41" t="s">
        <v>168</v>
      </c>
      <c r="D48" s="41" t="s">
        <v>169</v>
      </c>
      <c r="E48" s="41" t="s">
        <v>170</v>
      </c>
      <c r="F48" s="41" t="s">
        <v>171</v>
      </c>
      <c r="G48" s="41" t="s">
        <v>172</v>
      </c>
      <c r="H48" s="41" t="s">
        <v>173</v>
      </c>
      <c r="I48" s="41" t="s">
        <v>174</v>
      </c>
      <c r="J48" s="41" t="s">
        <v>175</v>
      </c>
      <c r="K48" s="41" t="s">
        <v>176</v>
      </c>
      <c r="L48" s="41" t="s">
        <v>177</v>
      </c>
      <c r="M48" s="41" t="s">
        <v>178</v>
      </c>
      <c r="N48" s="41" t="s">
        <v>179</v>
      </c>
      <c r="O48" s="41" t="s">
        <v>180</v>
      </c>
      <c r="P48" s="41" t="s">
        <v>181</v>
      </c>
      <c r="Q48" s="92" t="s">
        <v>23</v>
      </c>
    </row>
    <row r="49" spans="2:17" x14ac:dyDescent="0.3">
      <c r="B49" s="106" t="s">
        <v>183</v>
      </c>
      <c r="C49" s="33">
        <v>238</v>
      </c>
      <c r="D49" s="33">
        <v>751</v>
      </c>
      <c r="E49" s="33">
        <v>0</v>
      </c>
      <c r="F49" s="33">
        <v>81</v>
      </c>
      <c r="G49" s="33">
        <v>394</v>
      </c>
      <c r="H49" s="33">
        <v>485</v>
      </c>
      <c r="I49" s="33">
        <v>367</v>
      </c>
      <c r="J49" s="33">
        <v>482</v>
      </c>
      <c r="K49" s="33">
        <v>26</v>
      </c>
      <c r="L49" s="33">
        <v>12</v>
      </c>
      <c r="M49" s="33">
        <v>293</v>
      </c>
      <c r="N49" s="33">
        <v>240</v>
      </c>
      <c r="O49" s="33">
        <v>517</v>
      </c>
      <c r="P49" s="33">
        <v>692</v>
      </c>
      <c r="Q49" s="35">
        <v>4578</v>
      </c>
    </row>
    <row r="50" spans="2:17" x14ac:dyDescent="0.3">
      <c r="B50" s="106" t="s">
        <v>184</v>
      </c>
      <c r="C50" s="117">
        <v>231</v>
      </c>
      <c r="D50" s="117">
        <v>230</v>
      </c>
      <c r="E50" s="117">
        <v>0</v>
      </c>
      <c r="F50" s="117">
        <v>201</v>
      </c>
      <c r="G50" s="117">
        <v>168</v>
      </c>
      <c r="H50" s="117">
        <v>142</v>
      </c>
      <c r="I50" s="117">
        <v>285</v>
      </c>
      <c r="J50" s="117">
        <v>0</v>
      </c>
      <c r="K50" s="117">
        <v>336</v>
      </c>
      <c r="L50" s="117">
        <v>0</v>
      </c>
      <c r="M50" s="117">
        <v>105</v>
      </c>
      <c r="N50" s="117">
        <v>2</v>
      </c>
      <c r="O50" s="117">
        <v>429</v>
      </c>
      <c r="P50" s="117">
        <v>398</v>
      </c>
      <c r="Q50" s="119">
        <v>2527</v>
      </c>
    </row>
    <row r="51" spans="2:17" x14ac:dyDescent="0.3">
      <c r="B51" s="106" t="s">
        <v>182</v>
      </c>
      <c r="C51" s="117">
        <v>93</v>
      </c>
      <c r="D51" s="117">
        <v>200</v>
      </c>
      <c r="E51" s="117">
        <v>0</v>
      </c>
      <c r="F51" s="117">
        <v>76</v>
      </c>
      <c r="G51" s="117">
        <v>70</v>
      </c>
      <c r="H51" s="117">
        <v>34</v>
      </c>
      <c r="I51" s="117">
        <v>340</v>
      </c>
      <c r="J51" s="117">
        <v>54</v>
      </c>
      <c r="K51" s="117">
        <v>1</v>
      </c>
      <c r="L51" s="117">
        <v>0</v>
      </c>
      <c r="M51" s="117">
        <v>0</v>
      </c>
      <c r="N51" s="117">
        <v>214</v>
      </c>
      <c r="O51" s="117">
        <v>71</v>
      </c>
      <c r="P51" s="117">
        <v>677</v>
      </c>
      <c r="Q51" s="119">
        <v>1830</v>
      </c>
    </row>
    <row r="52" spans="2:17" x14ac:dyDescent="0.3">
      <c r="B52" s="106" t="s">
        <v>191</v>
      </c>
      <c r="C52" s="117">
        <v>10</v>
      </c>
      <c r="D52" s="117">
        <v>87</v>
      </c>
      <c r="E52" s="117">
        <v>0</v>
      </c>
      <c r="F52" s="117">
        <v>0</v>
      </c>
      <c r="G52" s="117">
        <v>0</v>
      </c>
      <c r="H52" s="117">
        <v>307</v>
      </c>
      <c r="I52" s="117">
        <v>83</v>
      </c>
      <c r="J52" s="117">
        <v>130</v>
      </c>
      <c r="K52" s="117">
        <v>0</v>
      </c>
      <c r="L52" s="117">
        <v>0</v>
      </c>
      <c r="M52" s="117">
        <v>147</v>
      </c>
      <c r="N52" s="117">
        <v>101</v>
      </c>
      <c r="O52" s="117">
        <v>43</v>
      </c>
      <c r="P52" s="117">
        <v>540</v>
      </c>
      <c r="Q52" s="119">
        <v>1448</v>
      </c>
    </row>
    <row r="53" spans="2:17" x14ac:dyDescent="0.3">
      <c r="B53" s="106" t="s">
        <v>186</v>
      </c>
      <c r="C53" s="117">
        <v>9</v>
      </c>
      <c r="D53" s="117">
        <v>361</v>
      </c>
      <c r="E53" s="117">
        <v>0</v>
      </c>
      <c r="F53" s="117">
        <v>0</v>
      </c>
      <c r="G53" s="117">
        <v>30</v>
      </c>
      <c r="H53" s="117">
        <v>0</v>
      </c>
      <c r="I53" s="117">
        <v>94</v>
      </c>
      <c r="J53" s="117">
        <v>0</v>
      </c>
      <c r="K53" s="117">
        <v>82</v>
      </c>
      <c r="L53" s="117">
        <v>0</v>
      </c>
      <c r="M53" s="117">
        <v>30</v>
      </c>
      <c r="N53" s="117">
        <v>0</v>
      </c>
      <c r="O53" s="117">
        <v>58</v>
      </c>
      <c r="P53" s="117">
        <v>37</v>
      </c>
      <c r="Q53" s="119">
        <v>701</v>
      </c>
    </row>
    <row r="54" spans="2:17" x14ac:dyDescent="0.3">
      <c r="B54" s="106" t="s">
        <v>185</v>
      </c>
      <c r="C54" s="117">
        <v>0</v>
      </c>
      <c r="D54" s="117">
        <v>29</v>
      </c>
      <c r="E54" s="117">
        <v>0</v>
      </c>
      <c r="F54" s="117">
        <v>0</v>
      </c>
      <c r="G54" s="117">
        <v>0</v>
      </c>
      <c r="H54" s="117">
        <v>56</v>
      </c>
      <c r="I54" s="117">
        <v>125</v>
      </c>
      <c r="J54" s="117">
        <v>118</v>
      </c>
      <c r="K54" s="117">
        <v>0</v>
      </c>
      <c r="L54" s="117">
        <v>0</v>
      </c>
      <c r="M54" s="117">
        <v>107</v>
      </c>
      <c r="N54" s="117">
        <v>35</v>
      </c>
      <c r="O54" s="117">
        <v>46</v>
      </c>
      <c r="P54" s="117">
        <v>124</v>
      </c>
      <c r="Q54" s="119">
        <v>640</v>
      </c>
    </row>
    <row r="55" spans="2:17" x14ac:dyDescent="0.3">
      <c r="B55" s="106" t="s">
        <v>201</v>
      </c>
      <c r="C55" s="117">
        <v>31</v>
      </c>
      <c r="D55" s="117">
        <v>50</v>
      </c>
      <c r="E55" s="117">
        <v>0</v>
      </c>
      <c r="F55" s="117">
        <v>0</v>
      </c>
      <c r="G55" s="117">
        <v>20</v>
      </c>
      <c r="H55" s="117">
        <v>13</v>
      </c>
      <c r="I55" s="117">
        <v>2</v>
      </c>
      <c r="J55" s="117">
        <v>72</v>
      </c>
      <c r="K55" s="117">
        <v>0</v>
      </c>
      <c r="L55" s="117">
        <v>0</v>
      </c>
      <c r="M55" s="117">
        <v>104</v>
      </c>
      <c r="N55" s="117">
        <v>42</v>
      </c>
      <c r="O55" s="117">
        <v>90</v>
      </c>
      <c r="P55" s="117">
        <v>104</v>
      </c>
      <c r="Q55" s="119">
        <v>528</v>
      </c>
    </row>
    <row r="56" spans="2:17" x14ac:dyDescent="0.3">
      <c r="B56" s="106" t="s">
        <v>204</v>
      </c>
      <c r="C56" s="117">
        <v>0</v>
      </c>
      <c r="D56" s="117">
        <v>0</v>
      </c>
      <c r="E56" s="117">
        <v>0</v>
      </c>
      <c r="F56" s="117">
        <v>385</v>
      </c>
      <c r="G56" s="117">
        <v>0</v>
      </c>
      <c r="H56" s="117">
        <v>0</v>
      </c>
      <c r="I56" s="117">
        <v>0</v>
      </c>
      <c r="J56" s="117">
        <v>27</v>
      </c>
      <c r="K56" s="117">
        <v>0</v>
      </c>
      <c r="L56" s="117">
        <v>0</v>
      </c>
      <c r="M56" s="117">
        <v>0</v>
      </c>
      <c r="N56" s="117">
        <v>0</v>
      </c>
      <c r="O56" s="117">
        <v>0</v>
      </c>
      <c r="P56" s="117">
        <v>0</v>
      </c>
      <c r="Q56" s="119">
        <v>412</v>
      </c>
    </row>
    <row r="57" spans="2:17" x14ac:dyDescent="0.3">
      <c r="B57" s="106" t="s">
        <v>194</v>
      </c>
      <c r="C57" s="117">
        <v>0</v>
      </c>
      <c r="D57" s="117">
        <v>0</v>
      </c>
      <c r="E57" s="117">
        <v>0</v>
      </c>
      <c r="F57" s="117">
        <v>0</v>
      </c>
      <c r="G57" s="117">
        <v>14</v>
      </c>
      <c r="H57" s="117">
        <v>0</v>
      </c>
      <c r="I57" s="117">
        <v>236</v>
      </c>
      <c r="J57" s="117">
        <v>9</v>
      </c>
      <c r="K57" s="117">
        <v>0</v>
      </c>
      <c r="L57" s="117">
        <v>0</v>
      </c>
      <c r="M57" s="117">
        <v>19</v>
      </c>
      <c r="N57" s="117">
        <v>0</v>
      </c>
      <c r="O57" s="117">
        <v>32</v>
      </c>
      <c r="P57" s="117">
        <v>79</v>
      </c>
      <c r="Q57" s="119">
        <v>389</v>
      </c>
    </row>
    <row r="58" spans="2:17" x14ac:dyDescent="0.3">
      <c r="B58" s="106" t="s">
        <v>190</v>
      </c>
      <c r="C58" s="117">
        <v>0</v>
      </c>
      <c r="D58" s="117">
        <v>134</v>
      </c>
      <c r="E58" s="117">
        <v>0</v>
      </c>
      <c r="F58" s="117">
        <v>0</v>
      </c>
      <c r="G58" s="117">
        <v>0</v>
      </c>
      <c r="H58" s="117">
        <v>0</v>
      </c>
      <c r="I58" s="117">
        <v>0</v>
      </c>
      <c r="J58" s="117">
        <v>0</v>
      </c>
      <c r="K58" s="117">
        <v>0</v>
      </c>
      <c r="L58" s="117">
        <v>0</v>
      </c>
      <c r="M58" s="117">
        <v>66</v>
      </c>
      <c r="N58" s="117">
        <v>30</v>
      </c>
      <c r="O58" s="117">
        <v>15</v>
      </c>
      <c r="P58" s="117">
        <v>51</v>
      </c>
      <c r="Q58" s="119">
        <v>296</v>
      </c>
    </row>
    <row r="59" spans="2:17" x14ac:dyDescent="0.3">
      <c r="B59" s="106" t="s">
        <v>198</v>
      </c>
      <c r="C59" s="117">
        <v>0</v>
      </c>
      <c r="D59" s="117">
        <v>21</v>
      </c>
      <c r="E59" s="117">
        <v>0</v>
      </c>
      <c r="F59" s="117">
        <v>0</v>
      </c>
      <c r="G59" s="117">
        <v>0</v>
      </c>
      <c r="H59" s="117">
        <v>0</v>
      </c>
      <c r="I59" s="117">
        <v>59</v>
      </c>
      <c r="J59" s="117">
        <v>0</v>
      </c>
      <c r="K59" s="117">
        <v>0</v>
      </c>
      <c r="L59" s="117">
        <v>0</v>
      </c>
      <c r="M59" s="117">
        <v>2</v>
      </c>
      <c r="N59" s="117">
        <v>0</v>
      </c>
      <c r="O59" s="117">
        <v>42</v>
      </c>
      <c r="P59" s="117">
        <v>86</v>
      </c>
      <c r="Q59" s="119">
        <v>210</v>
      </c>
    </row>
    <row r="60" spans="2:17" x14ac:dyDescent="0.3">
      <c r="B60" s="106" t="s">
        <v>192</v>
      </c>
      <c r="C60" s="117">
        <v>27</v>
      </c>
      <c r="D60" s="117">
        <v>22</v>
      </c>
      <c r="E60" s="117">
        <v>0</v>
      </c>
      <c r="F60" s="117">
        <v>17</v>
      </c>
      <c r="G60" s="117">
        <v>5</v>
      </c>
      <c r="H60" s="117">
        <v>0</v>
      </c>
      <c r="I60" s="117">
        <v>8</v>
      </c>
      <c r="J60" s="117">
        <v>34</v>
      </c>
      <c r="K60" s="117">
        <v>0</v>
      </c>
      <c r="L60" s="117">
        <v>0</v>
      </c>
      <c r="M60" s="117">
        <v>0</v>
      </c>
      <c r="N60" s="117">
        <v>15</v>
      </c>
      <c r="O60" s="117">
        <v>16</v>
      </c>
      <c r="P60" s="117">
        <v>52</v>
      </c>
      <c r="Q60" s="119">
        <v>196</v>
      </c>
    </row>
    <row r="61" spans="2:17" x14ac:dyDescent="0.3">
      <c r="B61" s="106" t="s">
        <v>188</v>
      </c>
      <c r="C61" s="117">
        <v>1</v>
      </c>
      <c r="D61" s="117">
        <v>0</v>
      </c>
      <c r="E61" s="117">
        <v>0</v>
      </c>
      <c r="F61" s="117">
        <v>0</v>
      </c>
      <c r="G61" s="117">
        <v>0</v>
      </c>
      <c r="H61" s="117">
        <v>38</v>
      </c>
      <c r="I61" s="117">
        <v>30</v>
      </c>
      <c r="J61" s="117">
        <v>35</v>
      </c>
      <c r="K61" s="117">
        <v>0</v>
      </c>
      <c r="L61" s="117">
        <v>0</v>
      </c>
      <c r="M61" s="117">
        <v>8</v>
      </c>
      <c r="N61" s="117">
        <v>0</v>
      </c>
      <c r="O61" s="117">
        <v>0</v>
      </c>
      <c r="P61" s="117">
        <v>63</v>
      </c>
      <c r="Q61" s="119">
        <v>175</v>
      </c>
    </row>
    <row r="62" spans="2:17" x14ac:dyDescent="0.3">
      <c r="B62" s="106" t="s">
        <v>197</v>
      </c>
      <c r="C62" s="117">
        <v>0</v>
      </c>
      <c r="D62" s="117">
        <v>0</v>
      </c>
      <c r="E62" s="117">
        <v>0</v>
      </c>
      <c r="F62" s="117">
        <v>0</v>
      </c>
      <c r="G62" s="117">
        <v>11</v>
      </c>
      <c r="H62" s="117">
        <v>0</v>
      </c>
      <c r="I62" s="117">
        <v>0</v>
      </c>
      <c r="J62" s="117">
        <v>0</v>
      </c>
      <c r="K62" s="117">
        <v>0</v>
      </c>
      <c r="L62" s="117">
        <v>0</v>
      </c>
      <c r="M62" s="117">
        <v>19</v>
      </c>
      <c r="N62" s="117">
        <v>26</v>
      </c>
      <c r="O62" s="117">
        <v>84</v>
      </c>
      <c r="P62" s="117">
        <v>24</v>
      </c>
      <c r="Q62" s="119">
        <v>164</v>
      </c>
    </row>
    <row r="63" spans="2:17" x14ac:dyDescent="0.3">
      <c r="B63" s="106" t="s">
        <v>189</v>
      </c>
      <c r="C63" s="117">
        <v>0</v>
      </c>
      <c r="D63" s="117">
        <v>1</v>
      </c>
      <c r="E63" s="117">
        <v>0</v>
      </c>
      <c r="F63" s="117">
        <v>0</v>
      </c>
      <c r="G63" s="117">
        <v>6</v>
      </c>
      <c r="H63" s="117">
        <v>0</v>
      </c>
      <c r="I63" s="117">
        <v>111</v>
      </c>
      <c r="J63" s="117">
        <v>0</v>
      </c>
      <c r="K63" s="117">
        <v>0</v>
      </c>
      <c r="L63" s="117">
        <v>0</v>
      </c>
      <c r="M63" s="117">
        <v>0</v>
      </c>
      <c r="N63" s="117">
        <v>0</v>
      </c>
      <c r="O63" s="117">
        <v>0</v>
      </c>
      <c r="P63" s="117">
        <v>19</v>
      </c>
      <c r="Q63" s="119">
        <v>137</v>
      </c>
    </row>
    <row r="64" spans="2:17" x14ac:dyDescent="0.3">
      <c r="B64" s="113" t="s">
        <v>196</v>
      </c>
      <c r="C64" s="120">
        <v>0</v>
      </c>
      <c r="D64" s="120">
        <v>0</v>
      </c>
      <c r="E64" s="120">
        <v>0</v>
      </c>
      <c r="F64" s="120">
        <v>0</v>
      </c>
      <c r="G64" s="120">
        <v>0</v>
      </c>
      <c r="H64" s="120">
        <v>0</v>
      </c>
      <c r="I64" s="120">
        <v>109</v>
      </c>
      <c r="J64" s="120">
        <v>0</v>
      </c>
      <c r="K64" s="120">
        <v>0</v>
      </c>
      <c r="L64" s="120">
        <v>0</v>
      </c>
      <c r="M64" s="120">
        <v>26</v>
      </c>
      <c r="N64" s="120">
        <v>0</v>
      </c>
      <c r="O64" s="120">
        <v>0</v>
      </c>
      <c r="P64" s="120">
        <v>0</v>
      </c>
      <c r="Q64" s="119">
        <v>135</v>
      </c>
    </row>
    <row r="65" spans="2:17" x14ac:dyDescent="0.3">
      <c r="B65" s="129" t="s">
        <v>187</v>
      </c>
      <c r="C65" s="134">
        <v>28</v>
      </c>
      <c r="D65" s="134">
        <v>0</v>
      </c>
      <c r="E65" s="134">
        <v>0</v>
      </c>
      <c r="F65" s="134">
        <v>0</v>
      </c>
      <c r="G65" s="134">
        <v>9</v>
      </c>
      <c r="H65" s="134">
        <v>0</v>
      </c>
      <c r="I65" s="134">
        <v>27</v>
      </c>
      <c r="J65" s="134">
        <v>0</v>
      </c>
      <c r="K65" s="134">
        <v>0</v>
      </c>
      <c r="L65" s="134">
        <v>0</v>
      </c>
      <c r="M65" s="134">
        <v>0</v>
      </c>
      <c r="N65" s="134">
        <v>24</v>
      </c>
      <c r="O65" s="134">
        <v>0</v>
      </c>
      <c r="P65" s="134">
        <v>30</v>
      </c>
      <c r="Q65" s="135">
        <v>118</v>
      </c>
    </row>
    <row r="66" spans="2:17" x14ac:dyDescent="0.3">
      <c r="B66" s="129" t="s">
        <v>193</v>
      </c>
      <c r="C66" s="134">
        <v>0</v>
      </c>
      <c r="D66" s="134">
        <v>0</v>
      </c>
      <c r="E66" s="134">
        <v>0</v>
      </c>
      <c r="F66" s="134">
        <v>2</v>
      </c>
      <c r="G66" s="134">
        <v>14</v>
      </c>
      <c r="H66" s="134">
        <v>21</v>
      </c>
      <c r="I66" s="134">
        <v>50</v>
      </c>
      <c r="J66" s="134">
        <v>0</v>
      </c>
      <c r="K66" s="134">
        <v>0</v>
      </c>
      <c r="L66" s="134">
        <v>0</v>
      </c>
      <c r="M66" s="134">
        <v>0</v>
      </c>
      <c r="N66" s="134">
        <v>11</v>
      </c>
      <c r="O66" s="134">
        <v>0</v>
      </c>
      <c r="P66" s="134">
        <v>4</v>
      </c>
      <c r="Q66" s="135">
        <v>102</v>
      </c>
    </row>
    <row r="67" spans="2:17" x14ac:dyDescent="0.3">
      <c r="B67" s="129" t="s">
        <v>203</v>
      </c>
      <c r="C67" s="134">
        <v>0</v>
      </c>
      <c r="D67" s="134">
        <v>55</v>
      </c>
      <c r="E67" s="134">
        <v>0</v>
      </c>
      <c r="F67" s="134">
        <v>0</v>
      </c>
      <c r="G67" s="134">
        <v>0</v>
      </c>
      <c r="H67" s="134">
        <v>0</v>
      </c>
      <c r="I67" s="134">
        <v>0</v>
      </c>
      <c r="J67" s="134">
        <v>0</v>
      </c>
      <c r="K67" s="134">
        <v>0</v>
      </c>
      <c r="L67" s="134">
        <v>0</v>
      </c>
      <c r="M67" s="134">
        <v>2</v>
      </c>
      <c r="N67" s="134">
        <v>0</v>
      </c>
      <c r="O67" s="134">
        <v>0</v>
      </c>
      <c r="P67" s="134">
        <v>35</v>
      </c>
      <c r="Q67" s="135">
        <v>92</v>
      </c>
    </row>
    <row r="68" spans="2:17" x14ac:dyDescent="0.3">
      <c r="B68" s="129" t="s">
        <v>206</v>
      </c>
      <c r="C68" s="134">
        <v>0</v>
      </c>
      <c r="D68" s="134">
        <v>4</v>
      </c>
      <c r="E68" s="134">
        <v>0</v>
      </c>
      <c r="F68" s="134">
        <v>0</v>
      </c>
      <c r="G68" s="134">
        <v>0</v>
      </c>
      <c r="H68" s="134">
        <v>0</v>
      </c>
      <c r="I68" s="134">
        <v>34</v>
      </c>
      <c r="J68" s="134">
        <v>0</v>
      </c>
      <c r="K68" s="134">
        <v>0</v>
      </c>
      <c r="L68" s="134">
        <v>0</v>
      </c>
      <c r="M68" s="134">
        <v>0</v>
      </c>
      <c r="N68" s="134">
        <v>0</v>
      </c>
      <c r="O68" s="134">
        <v>0</v>
      </c>
      <c r="P68" s="134">
        <v>52</v>
      </c>
      <c r="Q68" s="135">
        <v>90</v>
      </c>
    </row>
    <row r="69" spans="2:17" x14ac:dyDescent="0.3">
      <c r="B69" s="129" t="s">
        <v>205</v>
      </c>
      <c r="C69" s="134">
        <v>0</v>
      </c>
      <c r="D69" s="134">
        <v>0</v>
      </c>
      <c r="E69" s="134">
        <v>0</v>
      </c>
      <c r="F69" s="134">
        <v>0</v>
      </c>
      <c r="G69" s="134">
        <v>0</v>
      </c>
      <c r="H69" s="134">
        <v>0</v>
      </c>
      <c r="I69" s="134">
        <v>0</v>
      </c>
      <c r="J69" s="134">
        <v>0</v>
      </c>
      <c r="K69" s="134">
        <v>0</v>
      </c>
      <c r="L69" s="134">
        <v>0</v>
      </c>
      <c r="M69" s="134">
        <v>0</v>
      </c>
      <c r="N69" s="134">
        <v>15</v>
      </c>
      <c r="O69" s="134">
        <v>51</v>
      </c>
      <c r="P69" s="134">
        <v>0</v>
      </c>
      <c r="Q69" s="135">
        <v>66</v>
      </c>
    </row>
    <row r="70" spans="2:17" x14ac:dyDescent="0.3">
      <c r="B70" s="129" t="s">
        <v>210</v>
      </c>
      <c r="C70" s="134">
        <v>0</v>
      </c>
      <c r="D70" s="134">
        <v>54</v>
      </c>
      <c r="E70" s="134">
        <v>0</v>
      </c>
      <c r="F70" s="134">
        <v>0</v>
      </c>
      <c r="G70" s="134">
        <v>0</v>
      </c>
      <c r="H70" s="134">
        <v>0</v>
      </c>
      <c r="I70" s="134">
        <v>0</v>
      </c>
      <c r="J70" s="134">
        <v>0</v>
      </c>
      <c r="K70" s="134">
        <v>0</v>
      </c>
      <c r="L70" s="134">
        <v>0</v>
      </c>
      <c r="M70" s="134">
        <v>0</v>
      </c>
      <c r="N70" s="134">
        <v>0</v>
      </c>
      <c r="O70" s="134">
        <v>0</v>
      </c>
      <c r="P70" s="134">
        <v>0</v>
      </c>
      <c r="Q70" s="135">
        <v>54</v>
      </c>
    </row>
    <row r="71" spans="2:17" x14ac:dyDescent="0.3">
      <c r="B71" s="129" t="s">
        <v>202</v>
      </c>
      <c r="C71" s="134">
        <v>0</v>
      </c>
      <c r="D71" s="134">
        <v>26</v>
      </c>
      <c r="E71" s="134">
        <v>0</v>
      </c>
      <c r="F71" s="134">
        <v>0</v>
      </c>
      <c r="G71" s="134">
        <v>5</v>
      </c>
      <c r="H71" s="134">
        <v>0</v>
      </c>
      <c r="I71" s="134">
        <v>0</v>
      </c>
      <c r="J71" s="134">
        <v>0</v>
      </c>
      <c r="K71" s="134">
        <v>0</v>
      </c>
      <c r="L71" s="134">
        <v>0</v>
      </c>
      <c r="M71" s="134">
        <v>0</v>
      </c>
      <c r="N71" s="134">
        <v>0</v>
      </c>
      <c r="O71" s="134">
        <v>0</v>
      </c>
      <c r="P71" s="134">
        <v>0</v>
      </c>
      <c r="Q71" s="135">
        <v>31</v>
      </c>
    </row>
    <row r="72" spans="2:17" x14ac:dyDescent="0.3">
      <c r="B72" s="129" t="s">
        <v>209</v>
      </c>
      <c r="C72" s="134">
        <v>0</v>
      </c>
      <c r="D72" s="134">
        <v>0</v>
      </c>
      <c r="E72" s="134">
        <v>0</v>
      </c>
      <c r="F72" s="134">
        <v>0</v>
      </c>
      <c r="G72" s="134">
        <v>0</v>
      </c>
      <c r="H72" s="134">
        <v>0</v>
      </c>
      <c r="I72" s="134">
        <v>0</v>
      </c>
      <c r="J72" s="134">
        <v>0</v>
      </c>
      <c r="K72" s="134">
        <v>0</v>
      </c>
      <c r="L72" s="134">
        <v>0</v>
      </c>
      <c r="M72" s="134">
        <v>0</v>
      </c>
      <c r="N72" s="134">
        <v>0</v>
      </c>
      <c r="O72" s="134">
        <v>0</v>
      </c>
      <c r="P72" s="134">
        <v>19</v>
      </c>
      <c r="Q72" s="135">
        <v>19</v>
      </c>
    </row>
    <row r="73" spans="2:17" x14ac:dyDescent="0.3">
      <c r="B73" s="129" t="s">
        <v>195</v>
      </c>
      <c r="C73" s="134">
        <v>0</v>
      </c>
      <c r="D73" s="134">
        <v>0</v>
      </c>
      <c r="E73" s="134">
        <v>0</v>
      </c>
      <c r="F73" s="134">
        <v>0</v>
      </c>
      <c r="G73" s="134">
        <v>0</v>
      </c>
      <c r="H73" s="134">
        <v>0</v>
      </c>
      <c r="I73" s="134">
        <v>0</v>
      </c>
      <c r="J73" s="134">
        <v>0</v>
      </c>
      <c r="K73" s="134">
        <v>0</v>
      </c>
      <c r="L73" s="134">
        <v>0</v>
      </c>
      <c r="M73" s="134">
        <v>0</v>
      </c>
      <c r="N73" s="134">
        <v>0</v>
      </c>
      <c r="O73" s="134">
        <v>0</v>
      </c>
      <c r="P73" s="134">
        <v>15</v>
      </c>
      <c r="Q73" s="135">
        <v>15</v>
      </c>
    </row>
    <row r="74" spans="2:17" x14ac:dyDescent="0.3">
      <c r="B74" s="129" t="s">
        <v>214</v>
      </c>
      <c r="C74" s="134">
        <v>0</v>
      </c>
      <c r="D74" s="134">
        <v>0</v>
      </c>
      <c r="E74" s="134">
        <v>0</v>
      </c>
      <c r="F74" s="134">
        <v>0</v>
      </c>
      <c r="G74" s="134">
        <v>0</v>
      </c>
      <c r="H74" s="134">
        <v>0</v>
      </c>
      <c r="I74" s="134">
        <v>0</v>
      </c>
      <c r="J74" s="134">
        <v>0</v>
      </c>
      <c r="K74" s="134">
        <v>0</v>
      </c>
      <c r="L74" s="134">
        <v>0</v>
      </c>
      <c r="M74" s="134">
        <v>12</v>
      </c>
      <c r="N74" s="134">
        <v>0</v>
      </c>
      <c r="O74" s="134">
        <v>0</v>
      </c>
      <c r="P74" s="134">
        <v>0</v>
      </c>
      <c r="Q74" s="135">
        <v>12</v>
      </c>
    </row>
    <row r="75" spans="2:17" x14ac:dyDescent="0.3">
      <c r="B75" s="129" t="s">
        <v>212</v>
      </c>
      <c r="C75" s="134">
        <v>0</v>
      </c>
      <c r="D75" s="134">
        <v>0</v>
      </c>
      <c r="E75" s="134">
        <v>0</v>
      </c>
      <c r="F75" s="134">
        <v>0</v>
      </c>
      <c r="G75" s="134">
        <v>0</v>
      </c>
      <c r="H75" s="134">
        <v>0</v>
      </c>
      <c r="I75" s="134">
        <v>0</v>
      </c>
      <c r="J75" s="134">
        <v>0</v>
      </c>
      <c r="K75" s="134">
        <v>0</v>
      </c>
      <c r="L75" s="134">
        <v>0</v>
      </c>
      <c r="M75" s="134">
        <v>0</v>
      </c>
      <c r="N75" s="134">
        <v>0</v>
      </c>
      <c r="O75" s="134">
        <v>0</v>
      </c>
      <c r="P75" s="134">
        <v>12</v>
      </c>
      <c r="Q75" s="135">
        <v>12</v>
      </c>
    </row>
    <row r="76" spans="2:17" x14ac:dyDescent="0.3">
      <c r="B76" s="113" t="s">
        <v>216</v>
      </c>
      <c r="C76" s="120">
        <v>8</v>
      </c>
      <c r="D76" s="120">
        <v>21</v>
      </c>
      <c r="E76" s="120">
        <v>0</v>
      </c>
      <c r="F76" s="120">
        <v>4</v>
      </c>
      <c r="G76" s="120">
        <v>63</v>
      </c>
      <c r="H76" s="120">
        <v>8</v>
      </c>
      <c r="I76" s="120">
        <v>5</v>
      </c>
      <c r="J76" s="120">
        <v>17</v>
      </c>
      <c r="K76" s="120">
        <v>9</v>
      </c>
      <c r="L76" s="120">
        <v>1</v>
      </c>
      <c r="M76" s="120">
        <v>16</v>
      </c>
      <c r="N76" s="120">
        <v>12</v>
      </c>
      <c r="O76" s="120">
        <v>10</v>
      </c>
      <c r="P76" s="120">
        <v>52</v>
      </c>
      <c r="Q76" s="119">
        <v>226</v>
      </c>
    </row>
    <row r="77" spans="2:17" x14ac:dyDescent="0.3">
      <c r="B77" s="158" t="s">
        <v>23</v>
      </c>
      <c r="C77" s="158">
        <f>SUBTOTAL(109,'Table 9'!$C$49:$C$76)</f>
        <v>676</v>
      </c>
      <c r="D77" s="158">
        <f>SUBTOTAL(109,'Table 9'!$D$49:$D$76)</f>
        <v>2046</v>
      </c>
      <c r="E77" s="158">
        <f>SUBTOTAL(109,'Table 9'!$E$49:$E$76)</f>
        <v>0</v>
      </c>
      <c r="F77" s="158">
        <f>SUBTOTAL(109,'Table 9'!$F$49:$F$76)</f>
        <v>766</v>
      </c>
      <c r="G77" s="158">
        <f>SUBTOTAL(109,'Table 9'!$G$49:$G$76)</f>
        <v>809</v>
      </c>
      <c r="H77" s="158">
        <f>SUBTOTAL(109,'Table 9'!$H$49:$H$76)</f>
        <v>1104</v>
      </c>
      <c r="I77" s="158">
        <f>SUBTOTAL(109,'Table 9'!$I$49:$I$76)</f>
        <v>1965</v>
      </c>
      <c r="J77" s="158">
        <f>SUBTOTAL(109,'Table 9'!$J$49:$J$76)</f>
        <v>978</v>
      </c>
      <c r="K77" s="158">
        <f>SUBTOTAL(109,'Table 9'!$K$49:$K$76)</f>
        <v>454</v>
      </c>
      <c r="L77" s="158">
        <f>SUBTOTAL(109,'Table 9'!$L$49:$L$76)</f>
        <v>13</v>
      </c>
      <c r="M77" s="158">
        <f>SUBTOTAL(109,'Table 9'!$M$49:$M$76)</f>
        <v>956</v>
      </c>
      <c r="N77" s="158">
        <f>SUBTOTAL(109,'Table 9'!$N$49:$N$76)</f>
        <v>767</v>
      </c>
      <c r="O77" s="158">
        <f>SUBTOTAL(109,'Table 9'!$O$49:$O$76)</f>
        <v>1504</v>
      </c>
      <c r="P77" s="158">
        <f>SUBTOTAL(109,'Table 9'!$P$49:$P$76)</f>
        <v>3165</v>
      </c>
      <c r="Q77" s="158">
        <f>SUBTOTAL(109,'Table 9'!$Q$49:$Q$76)</f>
        <v>15203</v>
      </c>
    </row>
    <row r="79" spans="2:17" x14ac:dyDescent="0.3">
      <c r="B79" s="212" t="s">
        <v>110</v>
      </c>
      <c r="C79" s="212"/>
      <c r="D79" s="212"/>
      <c r="E79" s="212"/>
      <c r="F79" s="212"/>
      <c r="G79" s="212"/>
      <c r="H79" s="212"/>
      <c r="I79" s="212"/>
      <c r="J79" s="212"/>
      <c r="K79" s="212"/>
      <c r="L79" s="212"/>
      <c r="M79" s="212"/>
      <c r="N79" s="212"/>
      <c r="O79" s="212"/>
      <c r="P79" s="212"/>
      <c r="Q79" s="212"/>
    </row>
    <row r="80" spans="2:17" x14ac:dyDescent="0.3">
      <c r="B80" s="26" t="s">
        <v>6</v>
      </c>
      <c r="C80" s="39"/>
      <c r="D80" s="89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90"/>
    </row>
    <row r="81" spans="2:17" x14ac:dyDescent="0.3">
      <c r="B81" s="26" t="s">
        <v>7</v>
      </c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</row>
    <row r="82" spans="2:17" x14ac:dyDescent="0.3">
      <c r="B82" s="26" t="s">
        <v>107</v>
      </c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</row>
    <row r="83" spans="2:17" x14ac:dyDescent="0.3">
      <c r="B83" s="91"/>
      <c r="C83" s="91"/>
      <c r="D83" s="91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</row>
    <row r="84" spans="2:17" ht="15.5" x14ac:dyDescent="0.35">
      <c r="B84" s="199" t="str">
        <f>CONCATENATE("Total Number of Undergraduate Level Majors* by Field and University, ", IF(RIGHT(Parameters!B1,1)="1","Fall ","Spring "), IF(RIGHT(Parameters!B1,1)="1",LEFT(Parameters!B1,4),LEFT(Parameters!B1,4) + 1 ),", Ranked in Descending Order")</f>
        <v>Total Number of Undergraduate Level Majors* by Field and University, Fall 2021, Ranked in Descending Order</v>
      </c>
      <c r="C84" s="199"/>
      <c r="D84" s="199"/>
      <c r="E84" s="199"/>
      <c r="F84" s="199"/>
      <c r="G84" s="199"/>
      <c r="H84" s="199"/>
      <c r="I84" s="199"/>
      <c r="J84" s="199"/>
      <c r="K84" s="199"/>
      <c r="L84" s="199"/>
      <c r="M84" s="199"/>
      <c r="N84" s="199"/>
      <c r="O84" s="199"/>
      <c r="P84" s="199"/>
      <c r="Q84" s="199"/>
    </row>
    <row r="85" spans="2:17" x14ac:dyDescent="0.3">
      <c r="B85" s="195" t="s">
        <v>167</v>
      </c>
      <c r="C85" s="41" t="s">
        <v>168</v>
      </c>
      <c r="D85" s="41" t="s">
        <v>169</v>
      </c>
      <c r="E85" s="41" t="s">
        <v>170</v>
      </c>
      <c r="F85" s="41" t="s">
        <v>171</v>
      </c>
      <c r="G85" s="41" t="s">
        <v>172</v>
      </c>
      <c r="H85" s="41" t="s">
        <v>173</v>
      </c>
      <c r="I85" s="41" t="s">
        <v>174</v>
      </c>
      <c r="J85" s="41" t="s">
        <v>175</v>
      </c>
      <c r="K85" s="41" t="s">
        <v>176</v>
      </c>
      <c r="L85" s="41" t="s">
        <v>177</v>
      </c>
      <c r="M85" s="41" t="s">
        <v>178</v>
      </c>
      <c r="N85" s="41" t="s">
        <v>179</v>
      </c>
      <c r="O85" s="41" t="s">
        <v>180</v>
      </c>
      <c r="P85" s="41" t="s">
        <v>181</v>
      </c>
      <c r="Q85" s="92" t="s">
        <v>23</v>
      </c>
    </row>
    <row r="86" spans="2:17" x14ac:dyDescent="0.3">
      <c r="B86" s="28" t="s">
        <v>182</v>
      </c>
      <c r="C86" s="33">
        <v>1352</v>
      </c>
      <c r="D86" s="33">
        <v>495</v>
      </c>
      <c r="E86" s="33">
        <v>133</v>
      </c>
      <c r="F86" s="33">
        <v>391</v>
      </c>
      <c r="G86" s="33">
        <v>618</v>
      </c>
      <c r="H86" s="33">
        <v>287</v>
      </c>
      <c r="I86" s="33">
        <v>1136</v>
      </c>
      <c r="J86" s="33">
        <v>1056</v>
      </c>
      <c r="K86" s="33">
        <v>246</v>
      </c>
      <c r="L86" s="33">
        <v>129</v>
      </c>
      <c r="M86" s="33">
        <v>711</v>
      </c>
      <c r="N86" s="33">
        <v>923</v>
      </c>
      <c r="O86" s="33">
        <v>707</v>
      </c>
      <c r="P86" s="33">
        <v>3171</v>
      </c>
      <c r="Q86" s="35">
        <v>11355</v>
      </c>
    </row>
    <row r="87" spans="2:17" x14ac:dyDescent="0.3">
      <c r="B87" s="106" t="s">
        <v>184</v>
      </c>
      <c r="C87" s="117">
        <v>1229</v>
      </c>
      <c r="D87" s="117">
        <v>386</v>
      </c>
      <c r="E87" s="117">
        <v>0</v>
      </c>
      <c r="F87" s="117">
        <v>1001</v>
      </c>
      <c r="G87" s="117">
        <v>518</v>
      </c>
      <c r="H87" s="117">
        <v>455</v>
      </c>
      <c r="I87" s="117">
        <v>1079</v>
      </c>
      <c r="J87" s="117">
        <v>0</v>
      </c>
      <c r="K87" s="117">
        <v>681</v>
      </c>
      <c r="L87" s="117">
        <v>229</v>
      </c>
      <c r="M87" s="117">
        <v>492</v>
      </c>
      <c r="N87" s="117">
        <v>0</v>
      </c>
      <c r="O87" s="117">
        <v>1266</v>
      </c>
      <c r="P87" s="117">
        <v>1795</v>
      </c>
      <c r="Q87" s="119">
        <v>9131</v>
      </c>
    </row>
    <row r="88" spans="2:17" x14ac:dyDescent="0.3">
      <c r="B88" s="106" t="s">
        <v>183</v>
      </c>
      <c r="C88" s="117">
        <v>722</v>
      </c>
      <c r="D88" s="117">
        <v>328</v>
      </c>
      <c r="E88" s="117">
        <v>24</v>
      </c>
      <c r="F88" s="117">
        <v>275</v>
      </c>
      <c r="G88" s="117">
        <v>500</v>
      </c>
      <c r="H88" s="117">
        <v>343</v>
      </c>
      <c r="I88" s="117">
        <v>313</v>
      </c>
      <c r="J88" s="117">
        <v>1191</v>
      </c>
      <c r="K88" s="117">
        <v>211</v>
      </c>
      <c r="L88" s="117">
        <v>131</v>
      </c>
      <c r="M88" s="117">
        <v>756</v>
      </c>
      <c r="N88" s="117">
        <v>485</v>
      </c>
      <c r="O88" s="117">
        <v>682</v>
      </c>
      <c r="P88" s="117">
        <v>1210</v>
      </c>
      <c r="Q88" s="119">
        <v>7171</v>
      </c>
    </row>
    <row r="89" spans="2:17" x14ac:dyDescent="0.3">
      <c r="B89" s="106" t="s">
        <v>185</v>
      </c>
      <c r="C89" s="117">
        <v>332</v>
      </c>
      <c r="D89" s="117">
        <v>230</v>
      </c>
      <c r="E89" s="117">
        <v>78</v>
      </c>
      <c r="F89" s="117">
        <v>161</v>
      </c>
      <c r="G89" s="117">
        <v>286</v>
      </c>
      <c r="H89" s="117">
        <v>170</v>
      </c>
      <c r="I89" s="117">
        <v>360</v>
      </c>
      <c r="J89" s="117">
        <v>446</v>
      </c>
      <c r="K89" s="117">
        <v>131</v>
      </c>
      <c r="L89" s="117">
        <v>133</v>
      </c>
      <c r="M89" s="117">
        <v>381</v>
      </c>
      <c r="N89" s="117">
        <v>312</v>
      </c>
      <c r="O89" s="117">
        <v>380</v>
      </c>
      <c r="P89" s="117">
        <v>1059</v>
      </c>
      <c r="Q89" s="119">
        <v>4459</v>
      </c>
    </row>
    <row r="90" spans="2:17" x14ac:dyDescent="0.3">
      <c r="B90" s="106" t="s">
        <v>187</v>
      </c>
      <c r="C90" s="117">
        <v>196</v>
      </c>
      <c r="D90" s="117">
        <v>204</v>
      </c>
      <c r="E90" s="117">
        <v>149</v>
      </c>
      <c r="F90" s="117">
        <v>157</v>
      </c>
      <c r="G90" s="117">
        <v>462</v>
      </c>
      <c r="H90" s="117">
        <v>96</v>
      </c>
      <c r="I90" s="117">
        <v>345</v>
      </c>
      <c r="J90" s="117">
        <v>365</v>
      </c>
      <c r="K90" s="117">
        <v>116</v>
      </c>
      <c r="L90" s="117">
        <v>105</v>
      </c>
      <c r="M90" s="117">
        <v>512</v>
      </c>
      <c r="N90" s="117">
        <v>297</v>
      </c>
      <c r="O90" s="117">
        <v>352</v>
      </c>
      <c r="P90" s="117">
        <v>743</v>
      </c>
      <c r="Q90" s="119">
        <v>4099</v>
      </c>
    </row>
    <row r="91" spans="2:17" x14ac:dyDescent="0.3">
      <c r="B91" s="106" t="s">
        <v>188</v>
      </c>
      <c r="C91" s="117">
        <v>140</v>
      </c>
      <c r="D91" s="117">
        <v>214</v>
      </c>
      <c r="E91" s="117">
        <v>18</v>
      </c>
      <c r="F91" s="117">
        <v>24</v>
      </c>
      <c r="G91" s="117">
        <v>113</v>
      </c>
      <c r="H91" s="117">
        <v>487</v>
      </c>
      <c r="I91" s="117">
        <v>505</v>
      </c>
      <c r="J91" s="117">
        <v>617</v>
      </c>
      <c r="K91" s="117">
        <v>13</v>
      </c>
      <c r="L91" s="117">
        <v>153</v>
      </c>
      <c r="M91" s="117">
        <v>495</v>
      </c>
      <c r="N91" s="117">
        <v>60</v>
      </c>
      <c r="O91" s="117">
        <v>322</v>
      </c>
      <c r="P91" s="117">
        <v>551</v>
      </c>
      <c r="Q91" s="119">
        <v>3712</v>
      </c>
    </row>
    <row r="92" spans="2:17" x14ac:dyDescent="0.3">
      <c r="B92" s="106" t="s">
        <v>186</v>
      </c>
      <c r="C92" s="117">
        <v>156</v>
      </c>
      <c r="D92" s="117">
        <v>397</v>
      </c>
      <c r="E92" s="117">
        <v>9</v>
      </c>
      <c r="F92" s="117">
        <v>137</v>
      </c>
      <c r="G92" s="117">
        <v>416</v>
      </c>
      <c r="H92" s="117">
        <v>143</v>
      </c>
      <c r="I92" s="117">
        <v>277</v>
      </c>
      <c r="J92" s="117">
        <v>303</v>
      </c>
      <c r="K92" s="117">
        <v>255</v>
      </c>
      <c r="L92" s="117">
        <v>0</v>
      </c>
      <c r="M92" s="117">
        <v>83</v>
      </c>
      <c r="N92" s="117">
        <v>173</v>
      </c>
      <c r="O92" s="117">
        <v>368</v>
      </c>
      <c r="P92" s="117">
        <v>831</v>
      </c>
      <c r="Q92" s="119">
        <v>3548</v>
      </c>
    </row>
    <row r="93" spans="2:17" x14ac:dyDescent="0.3">
      <c r="B93" s="106" t="s">
        <v>189</v>
      </c>
      <c r="C93" s="117">
        <v>221</v>
      </c>
      <c r="D93" s="117">
        <v>315</v>
      </c>
      <c r="E93" s="117">
        <v>75</v>
      </c>
      <c r="F93" s="117">
        <v>96</v>
      </c>
      <c r="G93" s="117">
        <v>82</v>
      </c>
      <c r="H93" s="117">
        <v>82</v>
      </c>
      <c r="I93" s="117">
        <v>839</v>
      </c>
      <c r="J93" s="117">
        <v>184</v>
      </c>
      <c r="K93" s="117">
        <v>63</v>
      </c>
      <c r="L93" s="117">
        <v>32</v>
      </c>
      <c r="M93" s="117">
        <v>475</v>
      </c>
      <c r="N93" s="117">
        <v>185</v>
      </c>
      <c r="O93" s="117">
        <v>288</v>
      </c>
      <c r="P93" s="117">
        <v>383</v>
      </c>
      <c r="Q93" s="119">
        <v>3320</v>
      </c>
    </row>
    <row r="94" spans="2:17" x14ac:dyDescent="0.3">
      <c r="B94" s="106" t="s">
        <v>190</v>
      </c>
      <c r="C94" s="117">
        <v>585</v>
      </c>
      <c r="D94" s="117">
        <v>357</v>
      </c>
      <c r="E94" s="117">
        <v>0</v>
      </c>
      <c r="F94" s="117">
        <v>123</v>
      </c>
      <c r="G94" s="117">
        <v>265</v>
      </c>
      <c r="H94" s="117">
        <v>101</v>
      </c>
      <c r="I94" s="117">
        <v>32</v>
      </c>
      <c r="J94" s="117">
        <v>343</v>
      </c>
      <c r="K94" s="117">
        <v>183</v>
      </c>
      <c r="L94" s="117">
        <v>107</v>
      </c>
      <c r="M94" s="117">
        <v>25</v>
      </c>
      <c r="N94" s="117">
        <v>259</v>
      </c>
      <c r="O94" s="117">
        <v>130</v>
      </c>
      <c r="P94" s="117">
        <v>614</v>
      </c>
      <c r="Q94" s="119">
        <v>3124</v>
      </c>
    </row>
    <row r="95" spans="2:17" x14ac:dyDescent="0.3">
      <c r="B95" s="106" t="s">
        <v>192</v>
      </c>
      <c r="C95" s="117">
        <v>205</v>
      </c>
      <c r="D95" s="117">
        <v>211</v>
      </c>
      <c r="E95" s="117">
        <v>9</v>
      </c>
      <c r="F95" s="117">
        <v>70</v>
      </c>
      <c r="G95" s="117">
        <v>139</v>
      </c>
      <c r="H95" s="117">
        <v>135</v>
      </c>
      <c r="I95" s="117">
        <v>210</v>
      </c>
      <c r="J95" s="117">
        <v>298</v>
      </c>
      <c r="K95" s="117">
        <v>73</v>
      </c>
      <c r="L95" s="117">
        <v>33</v>
      </c>
      <c r="M95" s="117">
        <v>251</v>
      </c>
      <c r="N95" s="117">
        <v>103</v>
      </c>
      <c r="O95" s="117">
        <v>414</v>
      </c>
      <c r="P95" s="117">
        <v>446</v>
      </c>
      <c r="Q95" s="119">
        <v>2597</v>
      </c>
    </row>
    <row r="96" spans="2:17" x14ac:dyDescent="0.3">
      <c r="B96" s="106" t="s">
        <v>193</v>
      </c>
      <c r="C96" s="117">
        <v>314</v>
      </c>
      <c r="D96" s="117">
        <v>50</v>
      </c>
      <c r="E96" s="117">
        <v>19</v>
      </c>
      <c r="F96" s="117">
        <v>76</v>
      </c>
      <c r="G96" s="117">
        <v>99</v>
      </c>
      <c r="H96" s="117">
        <v>83</v>
      </c>
      <c r="I96" s="117">
        <v>247</v>
      </c>
      <c r="J96" s="117">
        <v>560</v>
      </c>
      <c r="K96" s="117">
        <v>46</v>
      </c>
      <c r="L96" s="117">
        <v>48</v>
      </c>
      <c r="M96" s="117">
        <v>240</v>
      </c>
      <c r="N96" s="117">
        <v>165</v>
      </c>
      <c r="O96" s="117">
        <v>275</v>
      </c>
      <c r="P96" s="117">
        <v>315</v>
      </c>
      <c r="Q96" s="119">
        <v>2537</v>
      </c>
    </row>
    <row r="97" spans="2:17" x14ac:dyDescent="0.3">
      <c r="B97" s="106" t="s">
        <v>194</v>
      </c>
      <c r="C97" s="117">
        <v>120</v>
      </c>
      <c r="D97" s="117">
        <v>57</v>
      </c>
      <c r="E97" s="117">
        <v>4</v>
      </c>
      <c r="F97" s="117">
        <v>66</v>
      </c>
      <c r="G97" s="117">
        <v>64</v>
      </c>
      <c r="H97" s="117">
        <v>40</v>
      </c>
      <c r="I97" s="117">
        <v>137</v>
      </c>
      <c r="J97" s="117">
        <v>133</v>
      </c>
      <c r="K97" s="117">
        <v>35</v>
      </c>
      <c r="L97" s="117">
        <v>18</v>
      </c>
      <c r="M97" s="117">
        <v>182</v>
      </c>
      <c r="N97" s="117">
        <v>112</v>
      </c>
      <c r="O97" s="117">
        <v>116</v>
      </c>
      <c r="P97" s="117">
        <v>649</v>
      </c>
      <c r="Q97" s="119">
        <v>1733</v>
      </c>
    </row>
    <row r="98" spans="2:17" x14ac:dyDescent="0.3">
      <c r="B98" s="106" t="s">
        <v>195</v>
      </c>
      <c r="C98" s="117">
        <v>167</v>
      </c>
      <c r="D98" s="117">
        <v>63</v>
      </c>
      <c r="E98" s="117">
        <v>0</v>
      </c>
      <c r="F98" s="117">
        <v>54</v>
      </c>
      <c r="G98" s="117">
        <v>67</v>
      </c>
      <c r="H98" s="117">
        <v>60</v>
      </c>
      <c r="I98" s="117">
        <v>109</v>
      </c>
      <c r="J98" s="117">
        <v>177</v>
      </c>
      <c r="K98" s="117">
        <v>82</v>
      </c>
      <c r="L98" s="117">
        <v>15</v>
      </c>
      <c r="M98" s="117">
        <v>261</v>
      </c>
      <c r="N98" s="117">
        <v>86</v>
      </c>
      <c r="O98" s="117">
        <v>176</v>
      </c>
      <c r="P98" s="117">
        <v>288</v>
      </c>
      <c r="Q98" s="119">
        <v>1605</v>
      </c>
    </row>
    <row r="99" spans="2:17" x14ac:dyDescent="0.3">
      <c r="B99" s="106" t="s">
        <v>191</v>
      </c>
      <c r="C99" s="117">
        <v>169</v>
      </c>
      <c r="D99" s="117">
        <v>80</v>
      </c>
      <c r="E99" s="117">
        <v>0</v>
      </c>
      <c r="F99" s="117">
        <v>0</v>
      </c>
      <c r="G99" s="117">
        <v>131</v>
      </c>
      <c r="H99" s="117">
        <v>107</v>
      </c>
      <c r="I99" s="117">
        <v>0</v>
      </c>
      <c r="J99" s="117">
        <v>194</v>
      </c>
      <c r="K99" s="117">
        <v>79</v>
      </c>
      <c r="L99" s="117">
        <v>46</v>
      </c>
      <c r="M99" s="117">
        <v>280</v>
      </c>
      <c r="N99" s="117">
        <v>167</v>
      </c>
      <c r="O99" s="117">
        <v>95</v>
      </c>
      <c r="P99" s="117">
        <v>211</v>
      </c>
      <c r="Q99" s="119">
        <v>1559</v>
      </c>
    </row>
    <row r="100" spans="2:17" x14ac:dyDescent="0.3">
      <c r="B100" s="106" t="s">
        <v>196</v>
      </c>
      <c r="C100" s="117">
        <v>0</v>
      </c>
      <c r="D100" s="117">
        <v>231</v>
      </c>
      <c r="E100" s="117">
        <v>0</v>
      </c>
      <c r="F100" s="117">
        <v>25</v>
      </c>
      <c r="G100" s="117">
        <v>0</v>
      </c>
      <c r="H100" s="117">
        <v>51</v>
      </c>
      <c r="I100" s="117">
        <v>219</v>
      </c>
      <c r="J100" s="117">
        <v>0</v>
      </c>
      <c r="K100" s="117">
        <v>0</v>
      </c>
      <c r="L100" s="117">
        <v>14</v>
      </c>
      <c r="M100" s="117">
        <v>199</v>
      </c>
      <c r="N100" s="117">
        <v>0</v>
      </c>
      <c r="O100" s="117">
        <v>425</v>
      </c>
      <c r="P100" s="117">
        <v>0</v>
      </c>
      <c r="Q100" s="119">
        <v>1164</v>
      </c>
    </row>
    <row r="101" spans="2:17" x14ac:dyDescent="0.3">
      <c r="B101" s="106" t="s">
        <v>197</v>
      </c>
      <c r="C101" s="117">
        <v>31</v>
      </c>
      <c r="D101" s="117">
        <v>35</v>
      </c>
      <c r="E101" s="117">
        <v>0</v>
      </c>
      <c r="F101" s="117">
        <v>16</v>
      </c>
      <c r="G101" s="117">
        <v>61</v>
      </c>
      <c r="H101" s="117">
        <v>5</v>
      </c>
      <c r="I101" s="117">
        <v>46</v>
      </c>
      <c r="J101" s="117">
        <v>87</v>
      </c>
      <c r="K101" s="117">
        <v>14</v>
      </c>
      <c r="L101" s="117">
        <v>21</v>
      </c>
      <c r="M101" s="117">
        <v>73</v>
      </c>
      <c r="N101" s="117">
        <v>126</v>
      </c>
      <c r="O101" s="117">
        <v>176</v>
      </c>
      <c r="P101" s="117">
        <v>244</v>
      </c>
      <c r="Q101" s="119">
        <v>935</v>
      </c>
    </row>
    <row r="102" spans="2:17" x14ac:dyDescent="0.3">
      <c r="B102" s="106" t="s">
        <v>198</v>
      </c>
      <c r="C102" s="117">
        <v>55</v>
      </c>
      <c r="D102" s="117">
        <v>50</v>
      </c>
      <c r="E102" s="117">
        <v>3</v>
      </c>
      <c r="F102" s="117">
        <v>44</v>
      </c>
      <c r="G102" s="117">
        <v>41</v>
      </c>
      <c r="H102" s="117">
        <v>28</v>
      </c>
      <c r="I102" s="117">
        <v>84</v>
      </c>
      <c r="J102" s="117">
        <v>32</v>
      </c>
      <c r="K102" s="117">
        <v>21</v>
      </c>
      <c r="L102" s="117">
        <v>9</v>
      </c>
      <c r="M102" s="117">
        <v>121</v>
      </c>
      <c r="N102" s="117">
        <v>78</v>
      </c>
      <c r="O102" s="117">
        <v>102</v>
      </c>
      <c r="P102" s="117">
        <v>201</v>
      </c>
      <c r="Q102" s="119">
        <v>869</v>
      </c>
    </row>
    <row r="103" spans="2:17" x14ac:dyDescent="0.3">
      <c r="B103" s="106" t="s">
        <v>199</v>
      </c>
      <c r="C103" s="117">
        <v>42</v>
      </c>
      <c r="D103" s="117">
        <v>108</v>
      </c>
      <c r="E103" s="117">
        <v>0</v>
      </c>
      <c r="F103" s="117">
        <v>0</v>
      </c>
      <c r="G103" s="117">
        <v>0</v>
      </c>
      <c r="H103" s="117">
        <v>0</v>
      </c>
      <c r="I103" s="117">
        <v>34</v>
      </c>
      <c r="J103" s="117">
        <v>0</v>
      </c>
      <c r="K103" s="117">
        <v>0</v>
      </c>
      <c r="L103" s="117">
        <v>0</v>
      </c>
      <c r="M103" s="117">
        <v>205</v>
      </c>
      <c r="N103" s="117">
        <v>213</v>
      </c>
      <c r="O103" s="117">
        <v>179</v>
      </c>
      <c r="P103" s="117">
        <v>59</v>
      </c>
      <c r="Q103" s="119">
        <v>840</v>
      </c>
    </row>
    <row r="104" spans="2:17" x14ac:dyDescent="0.3">
      <c r="B104" s="106" t="s">
        <v>200</v>
      </c>
      <c r="C104" s="117">
        <v>11</v>
      </c>
      <c r="D104" s="117">
        <v>84</v>
      </c>
      <c r="E104" s="117">
        <v>24</v>
      </c>
      <c r="F104" s="117">
        <v>186</v>
      </c>
      <c r="G104" s="117">
        <v>0</v>
      </c>
      <c r="H104" s="117">
        <v>33</v>
      </c>
      <c r="I104" s="117">
        <v>43</v>
      </c>
      <c r="J104" s="117">
        <v>5</v>
      </c>
      <c r="K104" s="117">
        <v>16</v>
      </c>
      <c r="L104" s="117">
        <v>82</v>
      </c>
      <c r="M104" s="117">
        <v>0</v>
      </c>
      <c r="N104" s="117">
        <v>17</v>
      </c>
      <c r="O104" s="117">
        <v>0</v>
      </c>
      <c r="P104" s="117">
        <v>262</v>
      </c>
      <c r="Q104" s="119">
        <v>763</v>
      </c>
    </row>
    <row r="105" spans="2:17" x14ac:dyDescent="0.3">
      <c r="B105" s="106" t="s">
        <v>202</v>
      </c>
      <c r="C105" s="117">
        <v>26</v>
      </c>
      <c r="D105" s="117">
        <v>28</v>
      </c>
      <c r="E105" s="117">
        <v>0</v>
      </c>
      <c r="F105" s="117">
        <v>41</v>
      </c>
      <c r="G105" s="117">
        <v>11</v>
      </c>
      <c r="H105" s="117">
        <v>0</v>
      </c>
      <c r="I105" s="117">
        <v>142</v>
      </c>
      <c r="J105" s="117">
        <v>0</v>
      </c>
      <c r="K105" s="117">
        <v>0</v>
      </c>
      <c r="L105" s="117">
        <v>0</v>
      </c>
      <c r="M105" s="117">
        <v>118</v>
      </c>
      <c r="N105" s="117">
        <v>82</v>
      </c>
      <c r="O105" s="117">
        <v>80</v>
      </c>
      <c r="P105" s="117">
        <v>0</v>
      </c>
      <c r="Q105" s="119">
        <v>528</v>
      </c>
    </row>
    <row r="106" spans="2:17" x14ac:dyDescent="0.3">
      <c r="B106" s="106" t="s">
        <v>203</v>
      </c>
      <c r="C106" s="117">
        <v>115</v>
      </c>
      <c r="D106" s="117">
        <v>117</v>
      </c>
      <c r="E106" s="117">
        <v>0</v>
      </c>
      <c r="F106" s="117">
        <v>0</v>
      </c>
      <c r="G106" s="117">
        <v>13</v>
      </c>
      <c r="H106" s="117">
        <v>0</v>
      </c>
      <c r="I106" s="117">
        <v>18</v>
      </c>
      <c r="J106" s="117">
        <v>13</v>
      </c>
      <c r="K106" s="117">
        <v>1</v>
      </c>
      <c r="L106" s="117">
        <v>1</v>
      </c>
      <c r="M106" s="117">
        <v>38</v>
      </c>
      <c r="N106" s="117">
        <v>21</v>
      </c>
      <c r="O106" s="117">
        <v>22</v>
      </c>
      <c r="P106" s="117">
        <v>71</v>
      </c>
      <c r="Q106" s="119">
        <v>430</v>
      </c>
    </row>
    <row r="107" spans="2:17" x14ac:dyDescent="0.3">
      <c r="B107" s="106" t="s">
        <v>205</v>
      </c>
      <c r="C107" s="117">
        <v>0</v>
      </c>
      <c r="D107" s="117">
        <v>118</v>
      </c>
      <c r="E107" s="117">
        <v>0</v>
      </c>
      <c r="F107" s="117">
        <v>9</v>
      </c>
      <c r="G107" s="117">
        <v>0</v>
      </c>
      <c r="H107" s="117">
        <v>0</v>
      </c>
      <c r="I107" s="117">
        <v>0</v>
      </c>
      <c r="J107" s="117">
        <v>95</v>
      </c>
      <c r="K107" s="117">
        <v>0</v>
      </c>
      <c r="L107" s="117">
        <v>38</v>
      </c>
      <c r="M107" s="117">
        <v>11</v>
      </c>
      <c r="N107" s="117">
        <v>51</v>
      </c>
      <c r="O107" s="117">
        <v>0</v>
      </c>
      <c r="P107" s="117">
        <v>0</v>
      </c>
      <c r="Q107" s="119">
        <v>322</v>
      </c>
    </row>
    <row r="108" spans="2:17" x14ac:dyDescent="0.3">
      <c r="B108" s="106" t="s">
        <v>201</v>
      </c>
      <c r="C108" s="117">
        <v>0</v>
      </c>
      <c r="D108" s="117">
        <v>0</v>
      </c>
      <c r="E108" s="117">
        <v>0</v>
      </c>
      <c r="F108" s="117">
        <v>0</v>
      </c>
      <c r="G108" s="117">
        <v>0</v>
      </c>
      <c r="H108" s="117">
        <v>0</v>
      </c>
      <c r="I108" s="117">
        <v>179</v>
      </c>
      <c r="J108" s="117">
        <v>5</v>
      </c>
      <c r="K108" s="117">
        <v>0</v>
      </c>
      <c r="L108" s="117">
        <v>2</v>
      </c>
      <c r="M108" s="117">
        <v>0</v>
      </c>
      <c r="N108" s="117">
        <v>0</v>
      </c>
      <c r="O108" s="117">
        <v>0</v>
      </c>
      <c r="P108" s="117">
        <v>6</v>
      </c>
      <c r="Q108" s="119">
        <v>192</v>
      </c>
    </row>
    <row r="109" spans="2:17" x14ac:dyDescent="0.3">
      <c r="B109" s="106" t="s">
        <v>207</v>
      </c>
      <c r="C109" s="117">
        <v>0</v>
      </c>
      <c r="D109" s="117">
        <v>0</v>
      </c>
      <c r="E109" s="117">
        <v>0</v>
      </c>
      <c r="F109" s="117">
        <v>0</v>
      </c>
      <c r="G109" s="117">
        <v>0</v>
      </c>
      <c r="H109" s="117">
        <v>0</v>
      </c>
      <c r="I109" s="117">
        <v>152</v>
      </c>
      <c r="J109" s="117">
        <v>0</v>
      </c>
      <c r="K109" s="117">
        <v>0</v>
      </c>
      <c r="L109" s="117">
        <v>0</v>
      </c>
      <c r="M109" s="117">
        <v>0</v>
      </c>
      <c r="N109" s="117">
        <v>0</v>
      </c>
      <c r="O109" s="117">
        <v>0</v>
      </c>
      <c r="P109" s="117">
        <v>0</v>
      </c>
      <c r="Q109" s="119">
        <v>152</v>
      </c>
    </row>
    <row r="110" spans="2:17" x14ac:dyDescent="0.3">
      <c r="B110" s="106" t="s">
        <v>206</v>
      </c>
      <c r="C110" s="117">
        <v>0</v>
      </c>
      <c r="D110" s="117">
        <v>0</v>
      </c>
      <c r="E110" s="117">
        <v>0</v>
      </c>
      <c r="F110" s="117">
        <v>0</v>
      </c>
      <c r="G110" s="117">
        <v>0</v>
      </c>
      <c r="H110" s="117">
        <v>0</v>
      </c>
      <c r="I110" s="117">
        <v>143</v>
      </c>
      <c r="J110" s="117">
        <v>0</v>
      </c>
      <c r="K110" s="117">
        <v>0</v>
      </c>
      <c r="L110" s="117">
        <v>0</v>
      </c>
      <c r="M110" s="117">
        <v>0</v>
      </c>
      <c r="N110" s="117">
        <v>0</v>
      </c>
      <c r="O110" s="117">
        <v>0</v>
      </c>
      <c r="P110" s="117">
        <v>0</v>
      </c>
      <c r="Q110" s="119">
        <v>143</v>
      </c>
    </row>
    <row r="111" spans="2:17" x14ac:dyDescent="0.3">
      <c r="B111" s="106" t="s">
        <v>208</v>
      </c>
      <c r="C111" s="117">
        <v>0</v>
      </c>
      <c r="D111" s="117">
        <v>0</v>
      </c>
      <c r="E111" s="117">
        <v>0</v>
      </c>
      <c r="F111" s="117">
        <v>0</v>
      </c>
      <c r="G111" s="117">
        <v>124</v>
      </c>
      <c r="H111" s="117">
        <v>0</v>
      </c>
      <c r="I111" s="117">
        <v>0</v>
      </c>
      <c r="J111" s="117">
        <v>0</v>
      </c>
      <c r="K111" s="117">
        <v>0</v>
      </c>
      <c r="L111" s="117">
        <v>0</v>
      </c>
      <c r="M111" s="117">
        <v>0</v>
      </c>
      <c r="N111" s="117">
        <v>0</v>
      </c>
      <c r="O111" s="117">
        <v>0</v>
      </c>
      <c r="P111" s="117">
        <v>0</v>
      </c>
      <c r="Q111" s="119">
        <v>124</v>
      </c>
    </row>
    <row r="112" spans="2:17" x14ac:dyDescent="0.3">
      <c r="B112" s="113" t="s">
        <v>209</v>
      </c>
      <c r="C112" s="120">
        <v>13</v>
      </c>
      <c r="D112" s="120">
        <v>0</v>
      </c>
      <c r="E112" s="120">
        <v>0</v>
      </c>
      <c r="F112" s="120">
        <v>7</v>
      </c>
      <c r="G112" s="120">
        <v>8</v>
      </c>
      <c r="H112" s="120">
        <v>0</v>
      </c>
      <c r="I112" s="120">
        <v>15</v>
      </c>
      <c r="J112" s="120">
        <v>13</v>
      </c>
      <c r="K112" s="120">
        <v>0</v>
      </c>
      <c r="L112" s="120">
        <v>1</v>
      </c>
      <c r="M112" s="120">
        <v>6</v>
      </c>
      <c r="N112" s="120">
        <v>0</v>
      </c>
      <c r="O112" s="120">
        <v>10</v>
      </c>
      <c r="P112" s="120">
        <v>23</v>
      </c>
      <c r="Q112" s="119">
        <v>96</v>
      </c>
    </row>
    <row r="113" spans="2:17" x14ac:dyDescent="0.3">
      <c r="B113" s="129" t="s">
        <v>211</v>
      </c>
      <c r="C113" s="134">
        <v>0</v>
      </c>
      <c r="D113" s="134">
        <v>73</v>
      </c>
      <c r="E113" s="134">
        <v>0</v>
      </c>
      <c r="F113" s="134">
        <v>0</v>
      </c>
      <c r="G113" s="134">
        <v>0</v>
      </c>
      <c r="H113" s="134">
        <v>0</v>
      </c>
      <c r="I113" s="134">
        <v>0</v>
      </c>
      <c r="J113" s="134">
        <v>0</v>
      </c>
      <c r="K113" s="134">
        <v>0</v>
      </c>
      <c r="L113" s="134">
        <v>0</v>
      </c>
      <c r="M113" s="134">
        <v>0</v>
      </c>
      <c r="N113" s="134">
        <v>0</v>
      </c>
      <c r="O113" s="134">
        <v>0</v>
      </c>
      <c r="P113" s="134">
        <v>0</v>
      </c>
      <c r="Q113" s="135">
        <v>73</v>
      </c>
    </row>
    <row r="114" spans="2:17" x14ac:dyDescent="0.3">
      <c r="B114" s="129" t="s">
        <v>212</v>
      </c>
      <c r="C114" s="134">
        <v>0</v>
      </c>
      <c r="D114" s="134">
        <v>0</v>
      </c>
      <c r="E114" s="134">
        <v>0</v>
      </c>
      <c r="F114" s="134">
        <v>0</v>
      </c>
      <c r="G114" s="134">
        <v>0</v>
      </c>
      <c r="H114" s="134">
        <v>0</v>
      </c>
      <c r="I114" s="134">
        <v>20</v>
      </c>
      <c r="J114" s="134">
        <v>0</v>
      </c>
      <c r="K114" s="134">
        <v>0</v>
      </c>
      <c r="L114" s="134">
        <v>0</v>
      </c>
      <c r="M114" s="134">
        <v>0</v>
      </c>
      <c r="N114" s="134">
        <v>0</v>
      </c>
      <c r="O114" s="134">
        <v>0</v>
      </c>
      <c r="P114" s="134">
        <v>41</v>
      </c>
      <c r="Q114" s="135">
        <v>61</v>
      </c>
    </row>
    <row r="115" spans="2:17" x14ac:dyDescent="0.3">
      <c r="B115" s="129" t="s">
        <v>213</v>
      </c>
      <c r="C115" s="134">
        <v>0</v>
      </c>
      <c r="D115" s="134">
        <v>0</v>
      </c>
      <c r="E115" s="134">
        <v>0</v>
      </c>
      <c r="F115" s="134">
        <v>0</v>
      </c>
      <c r="G115" s="134">
        <v>0</v>
      </c>
      <c r="H115" s="134">
        <v>0</v>
      </c>
      <c r="I115" s="134">
        <v>15</v>
      </c>
      <c r="J115" s="134">
        <v>7</v>
      </c>
      <c r="K115" s="134">
        <v>0</v>
      </c>
      <c r="L115" s="134">
        <v>0</v>
      </c>
      <c r="M115" s="134">
        <v>18</v>
      </c>
      <c r="N115" s="134">
        <v>0</v>
      </c>
      <c r="O115" s="134">
        <v>0</v>
      </c>
      <c r="P115" s="134">
        <v>21</v>
      </c>
      <c r="Q115" s="135">
        <v>61</v>
      </c>
    </row>
    <row r="116" spans="2:17" x14ac:dyDescent="0.3">
      <c r="B116" s="129" t="s">
        <v>210</v>
      </c>
      <c r="C116" s="134">
        <v>0</v>
      </c>
      <c r="D116" s="134">
        <v>34</v>
      </c>
      <c r="E116" s="134">
        <v>0</v>
      </c>
      <c r="F116" s="134">
        <v>16</v>
      </c>
      <c r="G116" s="134">
        <v>0</v>
      </c>
      <c r="H116" s="134">
        <v>0</v>
      </c>
      <c r="I116" s="134">
        <v>0</v>
      </c>
      <c r="J116" s="134">
        <v>0</v>
      </c>
      <c r="K116" s="134">
        <v>0</v>
      </c>
      <c r="L116" s="134">
        <v>0</v>
      </c>
      <c r="M116" s="134">
        <v>0</v>
      </c>
      <c r="N116" s="134">
        <v>0</v>
      </c>
      <c r="O116" s="134">
        <v>0</v>
      </c>
      <c r="P116" s="134">
        <v>0</v>
      </c>
      <c r="Q116" s="135">
        <v>50</v>
      </c>
    </row>
    <row r="117" spans="2:17" x14ac:dyDescent="0.3">
      <c r="B117" s="129" t="s">
        <v>204</v>
      </c>
      <c r="C117" s="134">
        <v>0</v>
      </c>
      <c r="D117" s="134">
        <v>0</v>
      </c>
      <c r="E117" s="134">
        <v>0</v>
      </c>
      <c r="F117" s="134">
        <v>0</v>
      </c>
      <c r="G117" s="134">
        <v>0</v>
      </c>
      <c r="H117" s="134">
        <v>0</v>
      </c>
      <c r="I117" s="134">
        <v>0</v>
      </c>
      <c r="J117" s="134">
        <v>28</v>
      </c>
      <c r="K117" s="134">
        <v>0</v>
      </c>
      <c r="L117" s="134">
        <v>0</v>
      </c>
      <c r="M117" s="134">
        <v>0</v>
      </c>
      <c r="N117" s="134">
        <v>0</v>
      </c>
      <c r="O117" s="134">
        <v>0</v>
      </c>
      <c r="P117" s="134">
        <v>0</v>
      </c>
      <c r="Q117" s="135">
        <v>28</v>
      </c>
    </row>
    <row r="118" spans="2:17" x14ac:dyDescent="0.3">
      <c r="B118" s="129" t="s">
        <v>214</v>
      </c>
      <c r="C118" s="134">
        <v>0</v>
      </c>
      <c r="D118" s="134">
        <v>0</v>
      </c>
      <c r="E118" s="134">
        <v>0</v>
      </c>
      <c r="F118" s="134">
        <v>0</v>
      </c>
      <c r="G118" s="134">
        <v>0</v>
      </c>
      <c r="H118" s="134">
        <v>5</v>
      </c>
      <c r="I118" s="134">
        <v>0</v>
      </c>
      <c r="J118" s="134">
        <v>0</v>
      </c>
      <c r="K118" s="134">
        <v>0</v>
      </c>
      <c r="L118" s="134">
        <v>0</v>
      </c>
      <c r="M118" s="134">
        <v>0</v>
      </c>
      <c r="N118" s="134">
        <v>0</v>
      </c>
      <c r="O118" s="134">
        <v>0</v>
      </c>
      <c r="P118" s="134">
        <v>0</v>
      </c>
      <c r="Q118" s="135">
        <v>5</v>
      </c>
    </row>
    <row r="119" spans="2:17" x14ac:dyDescent="0.3">
      <c r="B119" s="129" t="s">
        <v>215</v>
      </c>
      <c r="C119" s="134">
        <v>524</v>
      </c>
      <c r="D119" s="134">
        <v>52</v>
      </c>
      <c r="E119" s="134">
        <v>84</v>
      </c>
      <c r="F119" s="134">
        <v>96</v>
      </c>
      <c r="G119" s="134">
        <v>264</v>
      </c>
      <c r="H119" s="134">
        <v>68</v>
      </c>
      <c r="I119" s="134">
        <v>479</v>
      </c>
      <c r="J119" s="134">
        <v>339</v>
      </c>
      <c r="K119" s="134">
        <v>95</v>
      </c>
      <c r="L119" s="134">
        <v>144</v>
      </c>
      <c r="M119" s="134">
        <v>177</v>
      </c>
      <c r="N119" s="134">
        <v>762</v>
      </c>
      <c r="O119" s="134">
        <v>277</v>
      </c>
      <c r="P119" s="134">
        <v>968</v>
      </c>
      <c r="Q119" s="135">
        <v>4329</v>
      </c>
    </row>
    <row r="120" spans="2:17" x14ac:dyDescent="0.3">
      <c r="B120" s="113" t="s">
        <v>216</v>
      </c>
      <c r="C120" s="120">
        <v>344</v>
      </c>
      <c r="D120" s="120">
        <v>149</v>
      </c>
      <c r="E120" s="120">
        <v>13</v>
      </c>
      <c r="F120" s="120">
        <v>85</v>
      </c>
      <c r="G120" s="120">
        <v>45</v>
      </c>
      <c r="H120" s="120">
        <v>160</v>
      </c>
      <c r="I120" s="120">
        <v>165</v>
      </c>
      <c r="J120" s="120">
        <v>206</v>
      </c>
      <c r="K120" s="120">
        <v>105</v>
      </c>
      <c r="L120" s="120">
        <v>299</v>
      </c>
      <c r="M120" s="120">
        <v>147</v>
      </c>
      <c r="N120" s="120">
        <v>224</v>
      </c>
      <c r="O120" s="120">
        <v>78</v>
      </c>
      <c r="P120" s="120">
        <v>313</v>
      </c>
      <c r="Q120" s="119">
        <v>2333</v>
      </c>
    </row>
    <row r="121" spans="2:17" x14ac:dyDescent="0.3">
      <c r="B121" s="151" t="s">
        <v>23</v>
      </c>
      <c r="C121" s="158">
        <f>SUBTOTAL(109,'Table 9'!$C$86:$C$120)</f>
        <v>7069</v>
      </c>
      <c r="D121" s="158">
        <f>SUBTOTAL(109,'Table 9'!$D$86:$D$120)</f>
        <v>4466</v>
      </c>
      <c r="E121" s="158">
        <f>SUBTOTAL(109,'Table 9'!$E$86:$E$120)</f>
        <v>642</v>
      </c>
      <c r="F121" s="158">
        <f>SUBTOTAL(109,'Table 9'!$F$86:$F$120)</f>
        <v>3156</v>
      </c>
      <c r="G121" s="158">
        <f>SUBTOTAL(109,'Table 9'!$G$86:$G$120)</f>
        <v>4327</v>
      </c>
      <c r="H121" s="158">
        <f>SUBTOTAL(109,'Table 9'!$H$86:$H$120)</f>
        <v>2939</v>
      </c>
      <c r="I121" s="158">
        <f>SUBTOTAL(109,'Table 9'!$I$86:$I$120)</f>
        <v>7343</v>
      </c>
      <c r="J121" s="158">
        <f>SUBTOTAL(109,'Table 9'!$J$86:$J$120)</f>
        <v>6697</v>
      </c>
      <c r="K121" s="158">
        <f>SUBTOTAL(109,'Table 9'!$K$86:$K$120)</f>
        <v>2466</v>
      </c>
      <c r="L121" s="158">
        <f>SUBTOTAL(109,'Table 9'!$L$86:$L$120)</f>
        <v>1790</v>
      </c>
      <c r="M121" s="158">
        <f>SUBTOTAL(109,'Table 9'!$M$86:$M$120)</f>
        <v>6257</v>
      </c>
      <c r="N121" s="158">
        <f>SUBTOTAL(109,'Table 9'!$N$86:$N$120)</f>
        <v>4901</v>
      </c>
      <c r="O121" s="158">
        <f>SUBTOTAL(109,'Table 9'!$O$86:$O$120)</f>
        <v>6920</v>
      </c>
      <c r="P121" s="158">
        <f>SUBTOTAL(109,'Table 9'!$P$86:$P$120)</f>
        <v>14475</v>
      </c>
      <c r="Q121" s="158">
        <f>SUBTOTAL(109,'Table 9'!$Q$86:$Q$120)</f>
        <v>73448</v>
      </c>
    </row>
    <row r="123" spans="2:17" x14ac:dyDescent="0.3">
      <c r="B123" s="212" t="s">
        <v>110</v>
      </c>
      <c r="C123" s="212"/>
      <c r="D123" s="212"/>
      <c r="E123" s="212"/>
      <c r="F123" s="212"/>
      <c r="G123" s="212"/>
      <c r="H123" s="212"/>
      <c r="I123" s="212"/>
      <c r="J123" s="212"/>
      <c r="K123" s="212"/>
      <c r="L123" s="212"/>
      <c r="M123" s="212"/>
      <c r="N123" s="212"/>
      <c r="O123" s="212"/>
      <c r="P123" s="212"/>
      <c r="Q123" s="212"/>
    </row>
    <row r="124" spans="2:17" x14ac:dyDescent="0.3">
      <c r="B124" s="26" t="s">
        <v>6</v>
      </c>
      <c r="C124" s="39"/>
      <c r="D124" s="89"/>
      <c r="E124" s="89"/>
      <c r="F124" s="89"/>
      <c r="G124" s="89"/>
      <c r="H124" s="89"/>
      <c r="I124" s="89"/>
      <c r="J124" s="89"/>
      <c r="K124" s="89"/>
      <c r="L124" s="89"/>
      <c r="M124" s="89"/>
      <c r="N124" s="89"/>
      <c r="O124" s="89"/>
      <c r="P124" s="89"/>
      <c r="Q124" s="90"/>
    </row>
    <row r="125" spans="2:17" x14ac:dyDescent="0.3">
      <c r="B125" s="26" t="s">
        <v>7</v>
      </c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</row>
    <row r="126" spans="2:17" x14ac:dyDescent="0.3">
      <c r="B126" s="26" t="s">
        <v>107</v>
      </c>
    </row>
  </sheetData>
  <mergeCells count="8">
    <mergeCell ref="B123:Q123"/>
    <mergeCell ref="B84:Q84"/>
    <mergeCell ref="B47:Q47"/>
    <mergeCell ref="B1:Q1"/>
    <mergeCell ref="B3:Q3"/>
    <mergeCell ref="B42:Q42"/>
    <mergeCell ref="B2:Q2"/>
    <mergeCell ref="B79:Q79"/>
  </mergeCells>
  <printOptions horizontalCentered="1"/>
  <pageMargins left="0.5" right="0.5" top="1" bottom="0.5" header="0.3" footer="0.3"/>
  <pageSetup scale="70" fitToHeight="0" orientation="landscape" r:id="rId1"/>
  <headerFooter>
    <oddHeader>&amp;L&amp;"Arial,Regular"&amp;10Pennsylvania's State System of Higher Education | &amp;D
Advanced Data Analytics | Page &amp;P of &amp;N</oddHeader>
  </headerFooter>
  <rowBreaks count="1" manualBreakCount="1">
    <brk id="83" min="1" max="16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port_x0020_Type xmlns="f67a58ea-6193-47f3-87e8-8894d2346c50">
      <Value>Data Sheet/Table</Value>
    </Report_x0020_Type>
    <Sub_x002d_Category xmlns="f67a58ea-6193-47f3-87e8-8894d2346c50">-</Sub_x002d_Category>
    <IconOverlay xmlns="http://schemas.microsoft.com/sharepoint/v4" xsi:nil="true"/>
    <Document_x0020_Type xmlns="f67a58ea-6193-47f3-87e8-8894d2346c50">Excel</Document_x0020_Type>
    <Pillar xmlns="f67a58ea-6193-47f3-87e8-8894d2346c50">
      <Value>Student Access and Enrollment</Value>
    </Pillar>
    <Category xmlns="f67a58ea-6193-47f3-87e8-8894d2346c50">
      <Value>Enrollment</Value>
    </Category>
    <University xmlns="f67a58ea-6193-47f3-87e8-8894d2346c50">
      <Value>System</Value>
    </University>
    <Academic_x0020_Year xmlns="f67a58ea-6193-47f3-87e8-8894d2346c50">2021-2022</Academic_x0020_Yea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56AD10D8FCBC4FA704C3448D7BB26B" ma:contentTypeVersion="16" ma:contentTypeDescription="Create a new document." ma:contentTypeScope="" ma:versionID="eedf2e6c16e189769851f983a5ef8f06">
  <xsd:schema xmlns:xsd="http://www.w3.org/2001/XMLSchema" xmlns:xs="http://www.w3.org/2001/XMLSchema" xmlns:p="http://schemas.microsoft.com/office/2006/metadata/properties" xmlns:ns2="f67a58ea-6193-47f3-87e8-8894d2346c50" xmlns:ns3="http://schemas.microsoft.com/sharepoint/v4" xmlns:ns4="d33a57f1-3749-444e-8a0e-5a2e9a347405" targetNamespace="http://schemas.microsoft.com/office/2006/metadata/properties" ma:root="true" ma:fieldsID="4d77a086034c342b93bd33c588939c77" ns2:_="" ns3:_="" ns4:_="">
    <xsd:import namespace="f67a58ea-6193-47f3-87e8-8894d2346c50"/>
    <xsd:import namespace="http://schemas.microsoft.com/sharepoint/v4"/>
    <xsd:import namespace="d33a57f1-3749-444e-8a0e-5a2e9a3474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Academic_x0020_Year" minOccurs="0"/>
                <xsd:element ref="ns2:Category" minOccurs="0"/>
                <xsd:element ref="ns2:Pillar" minOccurs="0"/>
                <xsd:element ref="ns2:Document_x0020_Type" minOccurs="0"/>
                <xsd:element ref="ns2:Report_x0020_Type" minOccurs="0"/>
                <xsd:element ref="ns2:Sub_x002d_Category" minOccurs="0"/>
                <xsd:element ref="ns2:University" minOccurs="0"/>
                <xsd:element ref="ns3:IconOverlay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4:SharedWithUsers" minOccurs="0"/>
                <xsd:element ref="ns4:SharedWithDetails" minOccurs="0"/>
                <xsd:element ref="ns4:_dlc_DocId" minOccurs="0"/>
                <xsd:element ref="ns4:_dlc_DocIdUrl" minOccurs="0"/>
                <xsd:element ref="ns4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7a58ea-6193-47f3-87e8-8894d2346c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Academic_x0020_Year" ma:index="10" nillable="true" ma:displayName="Academic Year" ma:default="-" ma:format="Dropdown" ma:internalName="Academic_x0020_Year">
      <xsd:simpleType>
        <xsd:restriction base="dms:Choice">
          <xsd:enumeration value="-"/>
          <xsd:enumeration value="2022-2023"/>
          <xsd:enumeration value="2021-2022"/>
          <xsd:enumeration value="2020-2021"/>
          <xsd:enumeration value="2019-2020"/>
          <xsd:enumeration value="2018-2019"/>
          <xsd:enumeration value="2017-2018"/>
          <xsd:enumeration value="2016-2017"/>
          <xsd:enumeration value="2015-2016"/>
          <xsd:enumeration value="2014-2015"/>
          <xsd:enumeration value="2013-2014"/>
          <xsd:enumeration value="2012-2013"/>
          <xsd:enumeration value="2011-2012"/>
          <xsd:enumeration value="2010-2011"/>
          <xsd:enumeration value="2009-2010"/>
          <xsd:enumeration value="2008-2009"/>
          <xsd:enumeration value="2007-2008"/>
          <xsd:enumeration value="2006-2007"/>
          <xsd:enumeration value="2005-2006"/>
          <xsd:enumeration value="2004-2005"/>
          <xsd:enumeration value="2003-2004"/>
          <xsd:enumeration value="2002-2003"/>
          <xsd:enumeration value="2001-2002"/>
        </xsd:restriction>
      </xsd:simpleType>
    </xsd:element>
    <xsd:element name="Category" ma:index="11" nillable="true" ma:displayName="Category" ma:default="-" ma:format="Dropdown" ma:internalName="Category" ma:requiredMultiChoice="tru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-"/>
                    <xsd:enumeration value="Academic Programs"/>
                    <xsd:enumeration value="ADCP"/>
                    <xsd:enumeration value="Admissions"/>
                    <xsd:enumeration value="Alumni"/>
                    <xsd:enumeration value="Assessments"/>
                    <xsd:enumeration value="Completions"/>
                    <xsd:enumeration value="Courses"/>
                    <xsd:enumeration value="Employees"/>
                    <xsd:enumeration value="Enrollment"/>
                    <xsd:enumeration value="Enrolled Student"/>
                    <xsd:enumeration value="Financial Aid"/>
                    <xsd:enumeration value="Graduation Rates"/>
                    <xsd:enumeration value="High School"/>
                    <xsd:enumeration value="Persistence"/>
                    <xsd:enumeration value="SIMS"/>
                    <xsd:enumeration value="Student Costs"/>
                    <xsd:enumeration value="University Information"/>
                    <xsd:enumeration value="Workforce"/>
                  </xsd:restriction>
                </xsd:simpleType>
              </xsd:element>
            </xsd:sequence>
          </xsd:extension>
        </xsd:complexContent>
      </xsd:complexType>
    </xsd:element>
    <xsd:element name="Pillar" ma:index="12" nillable="true" ma:displayName="Pillar" ma:default="-" ma:format="Dropdown" ma:internalName="Pillar" ma:requiredMultiChoice="tru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-"/>
                    <xsd:enumeration value="Contributions to the State"/>
                    <xsd:enumeration value="Student Access and Enrollment"/>
                    <xsd:enumeration value="Student Affordability"/>
                    <xsd:enumeration value="Student Progression and Completion"/>
                    <xsd:enumeration value="University Financial Efficiency and Sustainability"/>
                    <xsd:enumeration value="Data Governance"/>
                  </xsd:restriction>
                </xsd:simpleType>
              </xsd:element>
            </xsd:sequence>
          </xsd:extension>
        </xsd:complexContent>
      </xsd:complexType>
    </xsd:element>
    <xsd:element name="Document_x0020_Type" ma:index="13" nillable="true" ma:displayName="Document Type" ma:default="-" ma:format="Dropdown" ma:internalName="Document_x0020_Type">
      <xsd:simpleType>
        <xsd:restriction base="dms:Choice">
          <xsd:enumeration value="-"/>
          <xsd:enumeration value="Dashboard"/>
          <xsd:enumeration value="Excel"/>
          <xsd:enumeration value="PDF"/>
        </xsd:restriction>
      </xsd:simpleType>
    </xsd:element>
    <xsd:element name="Report_x0020_Type" ma:index="14" nillable="true" ma:displayName="Report Type" ma:default="-" ma:internalName="Report_x0020_Typ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-"/>
                    <xsd:enumeration value="Visualization"/>
                    <xsd:enumeration value="Data Sheet/Table"/>
                    <xsd:enumeration value="Summary Reports"/>
                    <xsd:enumeration value="Maps"/>
                    <xsd:enumeration value="Layouts"/>
                    <xsd:enumeration value="Prefaces"/>
                    <xsd:enumeration value="References"/>
                    <xsd:enumeration value="Templates"/>
                  </xsd:restriction>
                </xsd:simpleType>
              </xsd:element>
            </xsd:sequence>
          </xsd:extension>
        </xsd:complexContent>
      </xsd:complexType>
    </xsd:element>
    <xsd:element name="Sub_x002d_Category" ma:index="15" nillable="true" ma:displayName="Sub-Category" ma:default="-" ma:format="Dropdown" ma:internalName="Sub_x002d_Category">
      <xsd:simpleType>
        <xsd:restriction base="dms:Choice">
          <xsd:enumeration value="-"/>
          <xsd:enumeration value="Academic Calendars"/>
          <xsd:enumeration value="Fact Book"/>
          <xsd:enumeration value="IPEDS"/>
          <xsd:enumeration value="NSSE"/>
        </xsd:restriction>
      </xsd:simpleType>
    </xsd:element>
    <xsd:element name="University" ma:index="16" nillable="true" ma:displayName="University" ma:default="-" ma:internalName="University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-"/>
                    <xsd:enumeration value="Bloomsburg"/>
                    <xsd:enumeration value="California"/>
                    <xsd:enumeration value="Cheyney"/>
                    <xsd:enumeration value="Clarion"/>
                    <xsd:enumeration value="East Stroudsburg"/>
                    <xsd:enumeration value="Edinboro"/>
                    <xsd:enumeration value="Indiana"/>
                    <xsd:enumeration value="Kutztown"/>
                    <xsd:enumeration value="Lock Haven"/>
                    <xsd:enumeration value="Mansfield"/>
                    <xsd:enumeration value="Millersville"/>
                    <xsd:enumeration value="Shippensburg"/>
                    <xsd:enumeration value="Slippery Rock"/>
                    <xsd:enumeration value="West Chester"/>
                    <xsd:enumeration value="System"/>
                    <xsd:enumeration value="OOC"/>
                  </xsd:restriction>
                </xsd:simpleType>
              </xsd:element>
            </xsd:sequence>
          </xsd:extension>
        </xsd:complexContent>
      </xsd:complex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9" nillable="true" ma:displayName="Tags" ma:internalName="MediaServiceAutoTag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7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3a57f1-3749-444e-8a0e-5a2e9a347405" elementFormDefault="qualified">
    <xsd:import namespace="http://schemas.microsoft.com/office/2006/documentManagement/types"/>
    <xsd:import namespace="http://schemas.microsoft.com/office/infopath/2007/PartnerControls"/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23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24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5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displayName="Document 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C5753D-E0A0-48B2-B2C4-975EB3410E69}">
  <ds:schemaRefs>
    <ds:schemaRef ds:uri="http://schemas.microsoft.com/office/2006/documentManagement/types"/>
    <ds:schemaRef ds:uri="http://purl.org/dc/dcmitype/"/>
    <ds:schemaRef ds:uri="http://schemas.microsoft.com/office/2006/metadata/properties"/>
    <ds:schemaRef ds:uri="http://purl.org/dc/elements/1.1/"/>
    <ds:schemaRef ds:uri="d33a57f1-3749-444e-8a0e-5a2e9a347405"/>
    <ds:schemaRef ds:uri="http://schemas.microsoft.com/sharepoint/v4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f67a58ea-6193-47f3-87e8-8894d2346c50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D7CA3A1A-D800-4C8F-9AB0-934863C1DF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CBB7AEC-B302-45A8-BF2D-D38568B04F99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F67F6434-E5BF-4A3E-BB86-AB3FDB78D7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7a58ea-6193-47f3-87e8-8894d2346c50"/>
    <ds:schemaRef ds:uri="http://schemas.microsoft.com/sharepoint/v4"/>
    <ds:schemaRef ds:uri="d33a57f1-3749-444e-8a0e-5a2e9a3474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14</vt:i4>
      </vt:variant>
    </vt:vector>
  </HeadingPairs>
  <TitlesOfParts>
    <vt:vector size="25" baseType="lpstr">
      <vt:lpstr>Table 1</vt:lpstr>
      <vt:lpstr>Table 2</vt:lpstr>
      <vt:lpstr>Table 3</vt:lpstr>
      <vt:lpstr>Table 4</vt:lpstr>
      <vt:lpstr>Table 5</vt:lpstr>
      <vt:lpstr>Table 6</vt:lpstr>
      <vt:lpstr>Table 7</vt:lpstr>
      <vt:lpstr>Table 8</vt:lpstr>
      <vt:lpstr>Table 9</vt:lpstr>
      <vt:lpstr>Table 9 additional</vt:lpstr>
      <vt:lpstr>Parameters</vt:lpstr>
      <vt:lpstr>'Table 1'!Print_Area</vt:lpstr>
      <vt:lpstr>'Table 2'!Print_Area</vt:lpstr>
      <vt:lpstr>'Table 3'!Print_Area</vt:lpstr>
      <vt:lpstr>'Table 4'!Print_Area</vt:lpstr>
      <vt:lpstr>'Table 5'!Print_Area</vt:lpstr>
      <vt:lpstr>'Table 6'!Print_Area</vt:lpstr>
      <vt:lpstr>'Table 7'!Print_Area</vt:lpstr>
      <vt:lpstr>'Table 8'!Print_Area</vt:lpstr>
      <vt:lpstr>'Table 9'!Print_Area</vt:lpstr>
      <vt:lpstr>'Table 9 additional'!Print_Area</vt:lpstr>
      <vt:lpstr>'Table 2'!Print_Titles</vt:lpstr>
      <vt:lpstr>'Table 6'!Print_Titles</vt:lpstr>
      <vt:lpstr>'Table 9'!Print_Titles</vt:lpstr>
      <vt:lpstr>'Table 9 additional'!Print_Titles</vt:lpstr>
    </vt:vector>
  </TitlesOfParts>
  <Company>PASSHE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Best, Christopher</dc:creator>
  <cp:lastModifiedBy>Pyott, Laura</cp:lastModifiedBy>
  <cp:lastPrinted>2021-03-09T13:48:44Z</cp:lastPrinted>
  <dcterms:created xsi:type="dcterms:W3CDTF">2013-07-18T18:58:24Z</dcterms:created>
  <dcterms:modified xsi:type="dcterms:W3CDTF">2022-06-09T19:54:51Z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0x0101005A56AD10D8FCBC4FA704C3448D7BB26B</vt:lpwstr>
  </property>
</Properties>
</file>