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325" yWindow="240" windowWidth="24915" windowHeight="12090" activeTab="1"/>
  </bookViews>
  <sheets>
    <sheet name="Расчет" sheetId="1" r:id="rId1"/>
    <sheet name="Соответствие профилю" sheetId="2" r:id="rId2"/>
    <sheet name="Лист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W23" i="1" l="1"/>
  <c r="D20" i="2"/>
  <c r="D21" i="2"/>
  <c r="E21" i="2" s="1"/>
  <c r="D22" i="2"/>
  <c r="D23" i="2"/>
  <c r="D24" i="2"/>
  <c r="D48" i="2"/>
  <c r="E48" i="2" s="1"/>
  <c r="D49" i="2"/>
  <c r="D50" i="2"/>
  <c r="D51" i="2"/>
  <c r="D52" i="2"/>
  <c r="E22" i="2"/>
  <c r="Q22" i="1"/>
  <c r="Q21" i="1"/>
  <c r="S21" i="1" s="1"/>
  <c r="U21" i="1" s="1"/>
  <c r="Q20" i="1"/>
  <c r="Q19" i="1"/>
  <c r="S19" i="1" s="1"/>
  <c r="U19" i="1" s="1"/>
  <c r="Q18" i="1"/>
  <c r="Q17" i="1"/>
  <c r="S17" i="1" s="1"/>
  <c r="U17" i="1" s="1"/>
  <c r="V23" i="1"/>
  <c r="V22" i="1"/>
  <c r="S22" i="1"/>
  <c r="U22" i="1" s="1"/>
  <c r="P22" i="1"/>
  <c r="V21" i="1"/>
  <c r="P21" i="1"/>
  <c r="V20" i="1"/>
  <c r="S20" i="1"/>
  <c r="U20" i="1" s="1"/>
  <c r="P20" i="1"/>
  <c r="V19" i="1"/>
  <c r="P19" i="1"/>
  <c r="V18" i="1"/>
  <c r="S18" i="1"/>
  <c r="U18" i="1" s="1"/>
  <c r="P18" i="1"/>
  <c r="W17" i="1"/>
  <c r="V17" i="1"/>
  <c r="P17" i="1"/>
  <c r="E52" i="2"/>
  <c r="C49" i="2"/>
  <c r="C50" i="2"/>
  <c r="C51" i="2"/>
  <c r="C52" i="2"/>
  <c r="C53" i="2"/>
  <c r="C54" i="2"/>
  <c r="C48" i="2"/>
  <c r="E50" i="2"/>
  <c r="N31" i="2"/>
  <c r="N32" i="2"/>
  <c r="N33" i="2"/>
  <c r="N34" i="2"/>
  <c r="N30" i="2"/>
  <c r="M31" i="2"/>
  <c r="M32" i="2"/>
  <c r="M33" i="2"/>
  <c r="M34" i="2"/>
  <c r="M35" i="2"/>
  <c r="N35" i="2" s="1"/>
  <c r="D53" i="2" s="1"/>
  <c r="M36" i="2"/>
  <c r="N36" i="2" s="1"/>
  <c r="D54" i="2" s="1"/>
  <c r="M30" i="2"/>
  <c r="E20" i="2"/>
  <c r="N3" i="2"/>
  <c r="N4" i="2"/>
  <c r="N2" i="2"/>
  <c r="M3" i="2"/>
  <c r="M4" i="2"/>
  <c r="M5" i="2"/>
  <c r="N5" i="2" s="1"/>
  <c r="M6" i="2"/>
  <c r="N6" i="2" s="1"/>
  <c r="M7" i="2"/>
  <c r="N7" i="2" s="1"/>
  <c r="D25" i="2" s="1"/>
  <c r="M8" i="2"/>
  <c r="N8" i="2" s="1"/>
  <c r="D26" i="2" s="1"/>
  <c r="M2" i="2"/>
  <c r="C21" i="2"/>
  <c r="C22" i="2"/>
  <c r="C23" i="2"/>
  <c r="C24" i="2"/>
  <c r="C25" i="2"/>
  <c r="C26" i="2"/>
  <c r="C20" i="2"/>
  <c r="K35" i="1"/>
  <c r="K34" i="1"/>
  <c r="K33" i="1"/>
  <c r="K32" i="1"/>
  <c r="K31" i="1"/>
  <c r="K30" i="1"/>
  <c r="K29" i="1"/>
  <c r="E25" i="1"/>
  <c r="F25" i="1" s="1"/>
  <c r="D25" i="1"/>
  <c r="H25" i="1" s="1"/>
  <c r="E24" i="1"/>
  <c r="F24" i="1" s="1"/>
  <c r="D24" i="1"/>
  <c r="H24" i="1" s="1"/>
  <c r="E23" i="1"/>
  <c r="F23" i="1" s="1"/>
  <c r="D23" i="1"/>
  <c r="H23" i="1" s="1"/>
  <c r="E22" i="1"/>
  <c r="F22" i="1" s="1"/>
  <c r="D22" i="1"/>
  <c r="H22" i="1" s="1"/>
  <c r="E21" i="1"/>
  <c r="F21" i="1" s="1"/>
  <c r="D21" i="1"/>
  <c r="H21" i="1" s="1"/>
  <c r="E20" i="1"/>
  <c r="F20" i="1" s="1"/>
  <c r="D20" i="1"/>
  <c r="H20" i="1" s="1"/>
  <c r="E19" i="1"/>
  <c r="F19" i="1" s="1"/>
  <c r="D19" i="1"/>
  <c r="H19" i="1" s="1"/>
  <c r="E18" i="1"/>
  <c r="F18" i="1" s="1"/>
  <c r="D18" i="1"/>
  <c r="H18" i="1" s="1"/>
  <c r="E17" i="1"/>
  <c r="F17" i="1" s="1"/>
  <c r="D17" i="1"/>
  <c r="H17" i="1" s="1"/>
  <c r="E16" i="1"/>
  <c r="F16" i="1" s="1"/>
  <c r="D16" i="1"/>
  <c r="H16" i="1" s="1"/>
  <c r="E15" i="1"/>
  <c r="F15" i="1" s="1"/>
  <c r="D15" i="1"/>
  <c r="H15" i="1" s="1"/>
  <c r="E14" i="1"/>
  <c r="F14" i="1" s="1"/>
  <c r="D14" i="1"/>
  <c r="H14" i="1" s="1"/>
  <c r="E13" i="1"/>
  <c r="F13" i="1" s="1"/>
  <c r="D13" i="1"/>
  <c r="H13" i="1" s="1"/>
  <c r="E12" i="1"/>
  <c r="F12" i="1" s="1"/>
  <c r="D12" i="1"/>
  <c r="H12" i="1" s="1"/>
  <c r="E11" i="1"/>
  <c r="F11" i="1" s="1"/>
  <c r="D11" i="1"/>
  <c r="H11" i="1" s="1"/>
  <c r="E10" i="1"/>
  <c r="F10" i="1" s="1"/>
  <c r="D10" i="1"/>
  <c r="H10" i="1" s="1"/>
  <c r="E9" i="1"/>
  <c r="F9" i="1" s="1"/>
  <c r="D9" i="1"/>
  <c r="H9" i="1" s="1"/>
  <c r="H8" i="1"/>
  <c r="F8" i="1"/>
  <c r="E8" i="1"/>
  <c r="D8" i="1"/>
  <c r="U7" i="1"/>
  <c r="S7" i="1"/>
  <c r="P7" i="1"/>
  <c r="H7" i="1"/>
  <c r="F7" i="1"/>
  <c r="E7" i="1"/>
  <c r="D7" i="1"/>
  <c r="U6" i="1"/>
  <c r="S6" i="1"/>
  <c r="P6" i="1"/>
  <c r="H6" i="1"/>
  <c r="F6" i="1"/>
  <c r="E6" i="1"/>
  <c r="D6" i="1"/>
  <c r="U5" i="1"/>
  <c r="S5" i="1"/>
  <c r="P5" i="1"/>
  <c r="H5" i="1"/>
  <c r="F5" i="1"/>
  <c r="E5" i="1"/>
  <c r="D5" i="1"/>
  <c r="U4" i="1"/>
  <c r="S4" i="1"/>
  <c r="P4" i="1"/>
  <c r="H4" i="1"/>
  <c r="F4" i="1"/>
  <c r="E4" i="1"/>
  <c r="D4" i="1"/>
  <c r="U3" i="1"/>
  <c r="S3" i="1"/>
  <c r="P3" i="1"/>
  <c r="H3" i="1"/>
  <c r="F3" i="1"/>
  <c r="E3" i="1"/>
  <c r="D3" i="1"/>
  <c r="W2" i="1"/>
  <c r="V2" i="1" s="1"/>
  <c r="S2" i="1"/>
  <c r="U2" i="1" s="1"/>
  <c r="U8" i="1" s="1"/>
  <c r="P2" i="1"/>
  <c r="E2" i="1"/>
  <c r="F2" i="1" s="1"/>
  <c r="D2" i="1"/>
  <c r="H2" i="1" s="1"/>
  <c r="J10" i="1"/>
  <c r="C34" i="1"/>
  <c r="C32" i="1"/>
  <c r="C30" i="1"/>
  <c r="C35" i="1"/>
  <c r="C33" i="1"/>
  <c r="C31" i="1"/>
  <c r="C29" i="1"/>
  <c r="E24" i="2" l="1"/>
  <c r="E25" i="2"/>
  <c r="E23" i="2"/>
  <c r="E51" i="2"/>
  <c r="E49" i="2"/>
  <c r="E26" i="2"/>
  <c r="U23" i="1"/>
  <c r="E54" i="2"/>
  <c r="E53" i="2"/>
  <c r="C36" i="1"/>
  <c r="D36" i="1" s="1"/>
  <c r="G29" i="1"/>
  <c r="D29" i="1"/>
  <c r="G31" i="1"/>
  <c r="D31" i="1"/>
  <c r="G33" i="1"/>
  <c r="D33" i="1"/>
  <c r="G35" i="1"/>
  <c r="D35" i="1"/>
  <c r="D30" i="1"/>
  <c r="G30" i="1"/>
  <c r="D32" i="1"/>
  <c r="G32" i="1"/>
  <c r="D34" i="1"/>
  <c r="G34" i="1"/>
  <c r="V3" i="1"/>
  <c r="V8" i="1" s="1"/>
  <c r="V4" i="1"/>
  <c r="V6" i="1"/>
  <c r="V5" i="1"/>
  <c r="V7" i="1"/>
  <c r="L34" i="1" l="1"/>
  <c r="I34" i="1"/>
  <c r="L30" i="1"/>
  <c r="I30" i="1"/>
  <c r="I33" i="1"/>
  <c r="L33" i="1"/>
  <c r="I29" i="1"/>
  <c r="L29" i="1"/>
  <c r="L32" i="1"/>
  <c r="I32" i="1"/>
  <c r="I35" i="1"/>
  <c r="L35" i="1"/>
  <c r="I31" i="1"/>
  <c r="L31" i="1"/>
</calcChain>
</file>

<file path=xl/sharedStrings.xml><?xml version="1.0" encoding="utf-8"?>
<sst xmlns="http://schemas.openxmlformats.org/spreadsheetml/2006/main" count="249" uniqueCount="76">
  <si>
    <t>script name</t>
  </si>
  <si>
    <t>Покупка билета (+квитанции)</t>
  </si>
  <si>
    <t>Поиск билета</t>
  </si>
  <si>
    <t>Отмена брони</t>
  </si>
  <si>
    <t>Покупка билета</t>
  </si>
  <si>
    <t>Выбор рейса</t>
  </si>
  <si>
    <t>Вход и выход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</si>
  <si>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</si>
  <si>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</si>
  <si>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</si>
  <si>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</si>
  <si>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</si>
  <si>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</si>
  <si>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</si>
  <si>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Статистика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</si>
  <si>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</si>
  <si>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</si>
  <si>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</si>
  <si>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</si>
  <si>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</si>
  <si>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</si>
  <si>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</si>
  <si>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Названия строк</t>
  </si>
  <si>
    <t>Сумма по полю Итого</t>
  </si>
  <si>
    <t>Общий итог</t>
  </si>
  <si>
    <t>Операция (бизнес процесс)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</si>
  <si>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</si>
  <si>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</si>
  <si>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</si>
  <si>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</si>
  <si>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</si>
  <si>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</si>
  <si>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</si>
  <si>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</si>
  <si>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</si>
  <si>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Запросов в час</t>
  </si>
  <si>
    <t>Соответсвие профилю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</si>
  <si>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</si>
  <si>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</si>
  <si>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</si>
  <si>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</si>
  <si>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</si>
  <si>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</si>
  <si>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</si>
  <si>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</si>
  <si>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</si>
  <si>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</si>
  <si>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cancel_flight</t>
  </si>
  <si>
    <t>No Data</t>
  </si>
  <si>
    <t>choose_flight</t>
  </si>
  <si>
    <t>click_itinerary</t>
  </si>
  <si>
    <t>find_flight_continue</t>
  </si>
  <si>
    <t>login</t>
  </si>
  <si>
    <t>logout</t>
  </si>
  <si>
    <t>payment_details</t>
  </si>
  <si>
    <t>01_BuyTicketsCheckItinerary</t>
  </si>
  <si>
    <t>02_FindFlight</t>
  </si>
  <si>
    <t>03_CancelFlight</t>
  </si>
  <si>
    <t>04_BuyTicket</t>
  </si>
  <si>
    <t>05_ChooseFlight</t>
  </si>
  <si>
    <t>06_LoginLogout</t>
  </si>
  <si>
    <t>Транзакция</t>
  </si>
  <si>
    <t>Имя в скрипте</t>
  </si>
  <si>
    <t>Интенсивность по профилю</t>
  </si>
  <si>
    <t>Интенсивность по факту</t>
  </si>
  <si>
    <t>Отклонение</t>
  </si>
  <si>
    <t>Поиск максимума, третья ступень</t>
  </si>
  <si>
    <t>393%, 30 вузеров</t>
  </si>
  <si>
    <t>Интенсивность для 10 вузеров</t>
  </si>
  <si>
    <t>Интенсивность для 30 вузеров</t>
  </si>
  <si>
    <t>20 минут</t>
  </si>
  <si>
    <t>131% от профиля 20 минут</t>
  </si>
  <si>
    <t>соответсвие профилю</t>
  </si>
  <si>
    <t>Подтверждение максимума час стабильной нагрузки</t>
  </si>
  <si>
    <t>131% от профиля час</t>
  </si>
  <si>
    <t>Расчет интенсивности для 75% пейсинга для использования в тесте поиска максимальной производительности ввиду ограниченного количества вузеров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</si>
</sst>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</cellStyleXfs>
  <cellXfs count="7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Alignment="1">
      <alignment vertical="center"/>
    </xf>
    <xf numFmtId="2" fontId="0" fillId="0" borderId="12" xfId="0" applyNumberFormat="1" applyBorder="1"/>
    <xf numFmtId="10" fontId="22" fillId="0" borderId="19" xfId="0" applyNumberFormat="1" applyFont="1" applyBorder="1"/>
    <xf numFmtId="0" fontId="22" fillId="0" borderId="12" xfId="0" applyFont="1" applyBorder="1"/>
    <xf numFmtId="0" fontId="6" fillId="2" borderId="11" xfId="2" applyBorder="1"/>
    <xf numFmtId="0" fontId="0" fillId="0" borderId="0" xfId="0" applyBorder="1" applyAlignment="1">
      <alignment horizontal="center"/>
    </xf>
    <xf numFmtId="10" fontId="22" fillId="0" borderId="17" xfId="0" applyNumberFormat="1" applyFont="1" applyBorder="1"/>
    <xf numFmtId="0" fontId="0" fillId="0" borderId="15" xfId="0" applyBorder="1" applyAlignment="1">
      <alignment horizontal="center" wrapText="1"/>
    </xf>
    <xf numFmtId="0" fontId="0" fillId="0" borderId="12" xfId="0" applyBorder="1" applyAlignment="1">
      <alignment horizontal="center"/>
    </xf>
    <xf numFmtId="10" fontId="22" fillId="0" borderId="0" xfId="0" applyNumberFormat="1" applyFont="1"/>
    <xf numFmtId="0" fontId="0" fillId="0" borderId="0" xfId="0" applyAlignment="1">
      <alignment horizontal="left" wrapText="1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0" xfId="0"/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0" xfId="0" applyFont="1"/>
    <xf numFmtId="0" fontId="0" fillId="0" borderId="0" xfId="0" applyBorder="1"/>
    <xf numFmtId="0" fontId="22" fillId="0" borderId="0" xfId="0" applyFont="1" applyFill="1" applyBorder="1"/>
    <xf numFmtId="0" fontId="0" fillId="0" borderId="18" xfId="0" applyBorder="1"/>
    <xf numFmtId="0" fontId="22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7" xfId="0" applyNumberFormat="1" applyBorder="1"/>
    <xf numFmtId="2" fontId="0" fillId="0" borderId="20" xfId="0" applyNumberFormat="1" applyBorder="1"/>
    <xf numFmtId="0" fontId="22" fillId="0" borderId="0" xfId="0" applyFont="1" applyBorder="1"/>
    <xf numFmtId="0" fontId="0" fillId="0" borderId="13" xfId="0" applyBorder="1" applyAlignment="1">
      <alignment horizontal="center" vertical="center"/>
    </xf>
    <xf numFmtId="0" fontId="0" fillId="0" borderId="16" xfId="0" applyBorder="1"/>
    <xf numFmtId="0" fontId="0" fillId="0" borderId="14" xfId="0" applyBorder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1" xfId="0" applyFill="1" applyBorder="1"/>
    <xf numFmtId="2" fontId="0" fillId="0" borderId="0" xfId="0" applyNumberFormat="1"/>
    <xf numFmtId="9" fontId="0" fillId="0" borderId="0" xfId="1" applyFont="1"/>
    <xf numFmtId="2" fontId="6" fillId="2" borderId="11" xfId="2" applyNumberFormat="1" applyBorder="1"/>
    <xf numFmtId="0" fontId="0" fillId="0" borderId="0" xfId="0"/>
    <xf numFmtId="0" fontId="6" fillId="2" borderId="0" xfId="2" applyAlignment="1">
      <alignment horizontal="center" vertical="center"/>
    </xf>
    <xf numFmtId="0" fontId="6" fillId="2" borderId="11" xfId="2" applyBorder="1" applyAlignment="1">
      <alignment horizontal="center" vertical="center" wrapText="1"/>
    </xf>
    <xf numFmtId="1" fontId="0" fillId="33" borderId="11" xfId="0" applyNumberFormat="1" applyFill="1" applyBorder="1"/>
    <xf numFmtId="0" fontId="3" fillId="0" borderId="18" xfId="0" applyFont="1" applyBorder="1" applyAlignment="1">
      <alignment horizontal="left" vertical="center" wrapText="1"/>
    </xf>
    <xf numFmtId="0" fontId="6" fillId="2" borderId="11" xfId="2" applyBorder="1" applyAlignment="1">
      <alignment horizontal="center"/>
    </xf>
    <xf numFmtId="0" fontId="0" fillId="0" borderId="11" xfId="0" applyBorder="1"/>
    <xf numFmtId="1" fontId="0" fillId="0" borderId="11" xfId="0" applyNumberFormat="1" applyBorder="1"/>
    <xf numFmtId="0" fontId="3" fillId="0" borderId="21" xfId="0" applyFont="1" applyBorder="1" applyAlignment="1">
      <alignment horizontal="left" vertical="center" wrapText="1"/>
    </xf>
    <xf numFmtId="0" fontId="39" fillId="2" borderId="17" xfId="2" applyFont="1" applyBorder="1" applyAlignment="1">
      <alignment horizontal="center" vertical="center" wrapText="1"/>
    </xf>
    <xf numFmtId="0" fontId="0" fillId="0" borderId="0" xfId="0"/>
    <xf numFmtId="2" fontId="0" fillId="0" borderId="11" xfId="0" applyNumberFormat="1" applyBorder="1"/>
    <xf numFmtId="0" fontId="0" fillId="0" borderId="11" xfId="0" applyNumberFormat="1" applyBorder="1"/>
    <xf numFmtId="9" fontId="0" fillId="0" borderId="11" xfId="1" applyFont="1" applyBorder="1"/>
    <xf numFmtId="0" fontId="0" fillId="0" borderId="0" xfId="0"/>
    <xf numFmtId="3" fontId="0" fillId="0" borderId="0" xfId="0" applyNumberFormat="1"/>
  </cellXfs>
  <cellStyles count="86">
    <cellStyle name="20% - Акцент1" xfId="63" builtinId="30" customBuiltin="1"/>
    <cellStyle name="20% - Акцент1 2" xfId="20"/>
    <cellStyle name="20% - Акцент2" xfId="67" builtinId="34" customBuiltin="1"/>
    <cellStyle name="20% - Акцент2 2" xfId="24"/>
    <cellStyle name="20% - Акцент3" xfId="71" builtinId="38" customBuiltin="1"/>
    <cellStyle name="20% - Акцент3 2" xfId="28"/>
    <cellStyle name="20% - Акцент4" xfId="75" builtinId="42" customBuiltin="1"/>
    <cellStyle name="20% - Акцент4 2" xfId="32"/>
    <cellStyle name="20% - Акцент5" xfId="79" builtinId="46" customBuiltin="1"/>
    <cellStyle name="20% - Акцент5 2" xfId="36"/>
    <cellStyle name="20% - Акцент6" xfId="83" builtinId="50" customBuiltin="1"/>
    <cellStyle name="20% - Акцент6 2" xfId="40"/>
    <cellStyle name="40% - Акцент1" xfId="64" builtinId="31" customBuiltin="1"/>
    <cellStyle name="40% - Акцент1 2" xfId="21"/>
    <cellStyle name="40% - Акцент2" xfId="68" builtinId="35" customBuiltin="1"/>
    <cellStyle name="40% - Акцент2 2" xfId="25"/>
    <cellStyle name="40% - Акцент3" xfId="72" builtinId="39" customBuiltin="1"/>
    <cellStyle name="40% - Акцент3 2" xfId="29"/>
    <cellStyle name="40% - Акцент4" xfId="76" builtinId="43" customBuiltin="1"/>
    <cellStyle name="40% - Акцент4 2" xfId="33"/>
    <cellStyle name="40% - Акцент5" xfId="80" builtinId="47" customBuiltin="1"/>
    <cellStyle name="40% - Акцент5 2" xfId="37"/>
    <cellStyle name="40% - Акцент6" xfId="84" builtinId="51" customBuiltin="1"/>
    <cellStyle name="40% - Акцент6 2" xfId="41"/>
    <cellStyle name="60% - Акцент1" xfId="65" builtinId="32" customBuiltin="1"/>
    <cellStyle name="60% - Акцент1 2" xfId="22"/>
    <cellStyle name="60% - Акцент2" xfId="69" builtinId="36" customBuiltin="1"/>
    <cellStyle name="60% - Акцент2 2" xfId="26"/>
    <cellStyle name="60% - Акцент3" xfId="73" builtinId="40" customBuiltin="1"/>
    <cellStyle name="60% - Акцент3 2" xfId="30"/>
    <cellStyle name="60% - Акцент4" xfId="77" builtinId="44" customBuiltin="1"/>
    <cellStyle name="60% - Акцент4 2" xfId="34"/>
    <cellStyle name="60% - Акцент5" xfId="81" builtinId="48" customBuiltin="1"/>
    <cellStyle name="60% - Акцент5 2" xfId="38"/>
    <cellStyle name="60% - Акцент6" xfId="85" builtinId="52" customBuiltin="1"/>
    <cellStyle name="60% - Акцент6 2" xfId="42"/>
    <cellStyle name="Акцент1" xfId="62" builtinId="29" customBuiltin="1"/>
    <cellStyle name="Акцент1 2" xfId="19"/>
    <cellStyle name="Акцент2" xfId="66" builtinId="33" customBuiltin="1"/>
    <cellStyle name="Акцент2 2" xfId="23"/>
    <cellStyle name="Акцент3" xfId="70" builtinId="37" customBuiltin="1"/>
    <cellStyle name="Акцент3 2" xfId="27"/>
    <cellStyle name="Акцент4" xfId="74" builtinId="41" customBuiltin="1"/>
    <cellStyle name="Акцент4 2" xfId="31"/>
    <cellStyle name="Акцент5" xfId="78" builtinId="45" customBuiltin="1"/>
    <cellStyle name="Акцент5 2" xfId="35"/>
    <cellStyle name="Акцент6" xfId="82" builtinId="49" customBuiltin="1"/>
    <cellStyle name="Акцент6 2" xfId="39"/>
    <cellStyle name="Ввод " xfId="53" builtinId="20" customBuiltin="1"/>
    <cellStyle name="Ввод  2" xfId="11"/>
    <cellStyle name="Вывод" xfId="54" builtinId="21" customBuiltin="1"/>
    <cellStyle name="Вывод 2" xfId="12"/>
    <cellStyle name="Вычисление" xfId="55" builtinId="22" customBuiltin="1"/>
    <cellStyle name="Вычисление 2" xfId="13"/>
    <cellStyle name="Заголовок 1" xfId="46" builtinId="16" customBuiltin="1"/>
    <cellStyle name="Заголовок 1 2" xfId="7"/>
    <cellStyle name="Заголовок 2" xfId="47" builtinId="17" customBuiltin="1"/>
    <cellStyle name="Заголовок 2 2" xfId="8"/>
    <cellStyle name="Заголовок 3" xfId="48" builtinId="18" customBuiltin="1"/>
    <cellStyle name="Заголовок 3 2" xfId="9"/>
    <cellStyle name="Заголовок 4" xfId="49" builtinId="19" customBuiltin="1"/>
    <cellStyle name="Заголовок 4 2" xfId="10"/>
    <cellStyle name="Итог" xfId="61" builtinId="25" customBuiltin="1"/>
    <cellStyle name="Итог 2" xfId="18"/>
    <cellStyle name="Контрольная ячейка" xfId="57" builtinId="23" customBuiltin="1"/>
    <cellStyle name="Контрольная ячейка 2" xfId="15"/>
    <cellStyle name="Название" xfId="45" builtinId="15" customBuiltin="1"/>
    <cellStyle name="Название 2" xfId="6"/>
    <cellStyle name="Нейтральный" xfId="52" builtinId="28" customBuiltin="1"/>
    <cellStyle name="Нейтральный 2" xfId="4"/>
    <cellStyle name="Обычный" xfId="0" builtinId="0"/>
    <cellStyle name="Обычный 2" xfId="5"/>
    <cellStyle name="Обычный 3" xfId="43"/>
    <cellStyle name="Плохой" xfId="51" builtinId="27" customBuiltin="1"/>
    <cellStyle name="Плохой 2" xfId="3"/>
    <cellStyle name="Пояснение" xfId="60" builtinId="53" customBuiltin="1"/>
    <cellStyle name="Пояснение 2" xfId="17"/>
    <cellStyle name="Примечание" xfId="59" builtinId="10" customBuiltin="1"/>
    <cellStyle name="Примечание 2" xfId="44"/>
    <cellStyle name="Процентный" xfId="1" builtinId="5"/>
    <cellStyle name="Связанная ячейка" xfId="56" builtinId="24" customBuiltin="1"/>
    <cellStyle name="Связанная ячейка 2" xfId="14"/>
    <cellStyle name="Текст предупреждения" xfId="58" builtinId="11" customBuiltin="1"/>
    <cellStyle name="Текст предупреждения 2" xfId="16"/>
    <cellStyle name="Хороший" xfId="50" builtinId="26" customBuiltin="1"/>
    <cellStyle name="Хороши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91.662231481481" createdVersion="4" refreshedVersion="4" minRefreshableVersion="3" recordCount="24">
  <cacheSource type="worksheet">
    <worksheetSource ref="A1:H25" sheet="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63" maxValue="99"/>
    </cacheField>
    <cacheField name="одним пользователем в минуту" numFmtId="2">
      <sharedItems containsSemiMixedTypes="0" containsString="0" containsNumber="1" minValue="0.60606060606060608" maxValue="0.95238095238095233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2">
      <sharedItems containsSemiMixedTypes="0" containsString="0" containsNumber="1" minValue="41.379310344827587" maxValue="88.88888888888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Покупка билета (+квитанции)"/>
    <x v="0"/>
    <n v="1"/>
    <n v="2"/>
    <n v="84"/>
    <n v="0.7142857142857143"/>
    <n v="60"/>
    <n v="85.714285714285722"/>
  </r>
  <r>
    <s v="Покупка билета (+квитанции)"/>
    <x v="1"/>
    <n v="1"/>
    <n v="2"/>
    <n v="84"/>
    <n v="0.7142857142857143"/>
    <n v="60"/>
    <n v="85.714285714285722"/>
  </r>
  <r>
    <s v="Покупка билета (+квитанции)"/>
    <x v="2"/>
    <n v="1"/>
    <n v="2"/>
    <n v="84"/>
    <n v="0.7142857142857143"/>
    <n v="60"/>
    <n v="85.714285714285722"/>
  </r>
  <r>
    <s v="Покупка билета (+квитанции)"/>
    <x v="3"/>
    <n v="1"/>
    <n v="2"/>
    <n v="84"/>
    <n v="0.7142857142857143"/>
    <n v="60"/>
    <n v="85.714285714285722"/>
  </r>
  <r>
    <s v="Покупка билета (+квитанции)"/>
    <x v="4"/>
    <n v="1"/>
    <n v="2"/>
    <n v="84"/>
    <n v="0.7142857142857143"/>
    <n v="60"/>
    <n v="85.714285714285722"/>
  </r>
  <r>
    <s v="Покупка билета (+квитанции)"/>
    <x v="5"/>
    <n v="1"/>
    <n v="2"/>
    <n v="84"/>
    <n v="0.7142857142857143"/>
    <n v="60"/>
    <n v="85.714285714285722"/>
  </r>
  <r>
    <s v="Поиск билета"/>
    <x v="0"/>
    <n v="1"/>
    <n v="1"/>
    <n v="63"/>
    <n v="0.95238095238095233"/>
    <n v="60"/>
    <n v="57.142857142857139"/>
  </r>
  <r>
    <s v="Поиск билета"/>
    <x v="1"/>
    <n v="1"/>
    <n v="1"/>
    <n v="63"/>
    <n v="0.95238095238095233"/>
    <n v="60"/>
    <n v="57.142857142857139"/>
  </r>
  <r>
    <s v="Поиск билета"/>
    <x v="5"/>
    <n v="1"/>
    <n v="1"/>
    <n v="63"/>
    <n v="0.95238095238095233"/>
    <n v="60"/>
    <n v="57.142857142857139"/>
  </r>
  <r>
    <s v="Отмена брони"/>
    <x v="0"/>
    <n v="1"/>
    <n v="2"/>
    <n v="99"/>
    <n v="0.60606060606060608"/>
    <n v="60"/>
    <n v="72.727272727272734"/>
  </r>
  <r>
    <s v="Отмена брони"/>
    <x v="4"/>
    <n v="1"/>
    <n v="2"/>
    <n v="99"/>
    <n v="0.60606060606060608"/>
    <n v="60"/>
    <n v="72.727272727272734"/>
  </r>
  <r>
    <s v="Отмена брони"/>
    <x v="6"/>
    <n v="1"/>
    <n v="2"/>
    <n v="99"/>
    <n v="0.60606060606060608"/>
    <n v="60"/>
    <n v="72.727272727272734"/>
  </r>
  <r>
    <s v="Отмена брони"/>
    <x v="5"/>
    <n v="1"/>
    <n v="2"/>
    <n v="99"/>
    <n v="0.60606060606060608"/>
    <n v="60"/>
    <n v="72.727272727272734"/>
  </r>
  <r>
    <s v="Покупка билета"/>
    <x v="0"/>
    <n v="1"/>
    <n v="2"/>
    <n v="81"/>
    <n v="0.7407407407407407"/>
    <n v="60"/>
    <n v="88.888888888888886"/>
  </r>
  <r>
    <s v="Покупка билета"/>
    <x v="1"/>
    <n v="1"/>
    <n v="2"/>
    <n v="81"/>
    <n v="0.7407407407407407"/>
    <n v="60"/>
    <n v="88.888888888888886"/>
  </r>
  <r>
    <s v="Покупка билета"/>
    <x v="2"/>
    <n v="1"/>
    <n v="2"/>
    <n v="81"/>
    <n v="0.7407407407407407"/>
    <n v="60"/>
    <n v="88.888888888888886"/>
  </r>
  <r>
    <s v="Покупка билета"/>
    <x v="3"/>
    <n v="1"/>
    <n v="2"/>
    <n v="81"/>
    <n v="0.7407407407407407"/>
    <n v="60"/>
    <n v="88.888888888888886"/>
  </r>
  <r>
    <s v="Покупка билета"/>
    <x v="5"/>
    <n v="1"/>
    <n v="2"/>
    <n v="81"/>
    <n v="0.7407407407407407"/>
    <n v="60"/>
    <n v="88.888888888888886"/>
  </r>
  <r>
    <s v="Выбор рейса"/>
    <x v="0"/>
    <n v="1"/>
    <n v="2"/>
    <n v="96"/>
    <n v="0.625"/>
    <n v="60"/>
    <n v="75"/>
  </r>
  <r>
    <s v="Выбор рейса"/>
    <x v="1"/>
    <n v="1"/>
    <n v="2"/>
    <n v="96"/>
    <n v="0.625"/>
    <n v="60"/>
    <n v="75"/>
  </r>
  <r>
    <s v="Выбор рейса"/>
    <x v="2"/>
    <n v="1"/>
    <n v="2"/>
    <n v="96"/>
    <n v="0.625"/>
    <n v="60"/>
    <n v="75"/>
  </r>
  <r>
    <s v="Выбор рейса"/>
    <x v="5"/>
    <n v="1"/>
    <n v="2"/>
    <n v="96"/>
    <n v="0.625"/>
    <n v="60"/>
    <n v="75"/>
  </r>
  <r>
    <s v="Вход и выход"/>
    <x v="0"/>
    <n v="1"/>
    <n v="1"/>
    <n v="87"/>
    <n v="0.68965517241379315"/>
    <n v="60"/>
    <n v="41.379310344827587"/>
  </r>
  <r>
    <s v="Вход и выход"/>
    <x v="5"/>
    <n v="1"/>
    <n v="1"/>
    <n v="87"/>
    <n v="0.68965517241379315"/>
    <n v="60"/>
    <n v="41.3793103448275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13" workbookViewId="0">
      <selection activeCell="U27" sqref="U27"/>
    </sheetView>
  </sheetViews>
  <sheetFormatPr defaultRowHeight="15" x14ac:dyDescent="0.25"/>
  <cols>
    <col min="1" max="1" width="28.42578125" bestFit="1" customWidth="1"/>
    <col min="2" max="2" width="26.42578125" bestFit="1" customWidth="1"/>
    <col min="6" max="6" width="15.28515625" customWidth="1"/>
    <col min="7" max="7" width="14" customWidth="1"/>
    <col min="9" max="9" width="35.42578125" customWidth="1"/>
    <col min="10" max="10" width="21.5703125" customWidth="1"/>
    <col min="11" max="11" width="22" bestFit="1" customWidth="1"/>
    <col min="13" max="13" width="40.85546875" customWidth="1"/>
    <col min="15" max="15" width="15.5703125" customWidth="1"/>
    <col min="16" max="16" width="13.85546875" customWidth="1"/>
    <col min="19" max="19" width="24.42578125" customWidth="1"/>
    <col min="20" max="20" width="14.85546875" customWidth="1"/>
    <col min="21" max="21" width="15" customWidth="1"/>
    <col min="22" max="22" width="19.42578125" customWidth="1"/>
    <col min="23" max="23" width="15.42578125" customWidth="1"/>
  </cols>
  <sheetData>
    <row r="1" spans="1:24" ht="61.5" customHeight="1" x14ac:dyDescent="0.25">
      <c r="A1" s="19" t="s">
        <v>0</v>
      </c>
      <c r="B1" s="19" t="s">
        <v>7</v>
      </c>
      <c r="C1" s="19" t="s">
        <v>8</v>
      </c>
      <c r="D1" s="19" t="s">
        <v>9</v>
      </c>
      <c r="E1" s="19" t="s">
        <v>10</v>
      </c>
      <c r="F1" s="20" t="s">
        <v>11</v>
      </c>
      <c r="G1" s="20" t="s">
        <v>12</v>
      </c>
      <c r="H1" s="19" t="s">
        <v>13</v>
      </c>
      <c r="I1" s="55" t="s">
        <v>22</v>
      </c>
      <c r="J1" t="s">
        <v>23</v>
      </c>
      <c r="M1" s="50" t="s">
        <v>25</v>
      </c>
      <c r="N1" s="46" t="s">
        <v>26</v>
      </c>
      <c r="O1" s="46" t="s">
        <v>27</v>
      </c>
      <c r="P1" s="52" t="s">
        <v>28</v>
      </c>
      <c r="Q1" s="46" t="s">
        <v>29</v>
      </c>
      <c r="R1" s="46" t="s">
        <v>9</v>
      </c>
      <c r="S1" s="31" t="s">
        <v>30</v>
      </c>
      <c r="T1" s="21" t="s">
        <v>31</v>
      </c>
      <c r="U1" s="21" t="s">
        <v>32</v>
      </c>
      <c r="V1" s="45" t="s">
        <v>33</v>
      </c>
      <c r="W1" s="20" t="s">
        <v>34</v>
      </c>
      <c r="X1" s="20"/>
    </row>
    <row r="2" spans="1:24" ht="23.25" customHeight="1" x14ac:dyDescent="0.25">
      <c r="A2" s="1" t="s">
        <v>1</v>
      </c>
      <c r="B2" t="s">
        <v>15</v>
      </c>
      <c r="C2" s="24">
        <v>1</v>
      </c>
      <c r="D2">
        <f>VLOOKUP(A2,$M$1:$W$8,6,FALSE)</f>
        <v>2</v>
      </c>
      <c r="E2">
        <f>VLOOKUP(A2,$M$1:$W$8,5,FALSE)</f>
        <v>84</v>
      </c>
      <c r="F2" s="58">
        <f>60/E2</f>
        <v>0.7142857142857143</v>
      </c>
      <c r="G2">
        <v>60</v>
      </c>
      <c r="H2" s="58">
        <f>D2*F2*G2</f>
        <v>85.714285714285722</v>
      </c>
      <c r="I2" s="56" t="s">
        <v>15</v>
      </c>
      <c r="J2" s="54">
        <v>420.852614818132</v>
      </c>
      <c r="M2" s="51" t="s">
        <v>1</v>
      </c>
      <c r="N2" s="29">
        <v>2.4329000000000001</v>
      </c>
      <c r="O2" s="29">
        <v>35.002099999999999</v>
      </c>
      <c r="P2" s="42">
        <f t="shared" ref="P2:P7" si="0">N2+O2</f>
        <v>37.435000000000002</v>
      </c>
      <c r="Q2" s="57">
        <v>84</v>
      </c>
      <c r="R2" s="57">
        <v>2</v>
      </c>
      <c r="S2" s="47">
        <f>60/Q2</f>
        <v>0.7142857142857143</v>
      </c>
      <c r="T2" s="49">
        <v>20</v>
      </c>
      <c r="U2" s="49">
        <f>ROUND(R2*S2*T2,0)</f>
        <v>29</v>
      </c>
      <c r="V2" s="30">
        <f>R2/W$2</f>
        <v>0.2</v>
      </c>
      <c r="W2">
        <f>SUM(R2:R7)</f>
        <v>10</v>
      </c>
    </row>
    <row r="3" spans="1:24" ht="34.5" customHeight="1" x14ac:dyDescent="0.25">
      <c r="A3" s="2" t="s">
        <v>1</v>
      </c>
      <c r="B3" s="34" t="s">
        <v>16</v>
      </c>
      <c r="C3" s="24">
        <v>1</v>
      </c>
      <c r="D3" s="53">
        <f t="shared" ref="D3:D25" si="1">VLOOKUP(A3,$M$1:$W$8,6,FALSE)</f>
        <v>2</v>
      </c>
      <c r="E3" s="53">
        <f t="shared" ref="E3:E25" si="2">VLOOKUP(A3,$M$1:$W$8,5,FALSE)</f>
        <v>84</v>
      </c>
      <c r="F3" s="58">
        <f t="shared" ref="F3:F25" si="3">60/E3</f>
        <v>0.7142857142857143</v>
      </c>
      <c r="G3" s="53">
        <v>60</v>
      </c>
      <c r="H3" s="58">
        <f t="shared" ref="H3:H25" si="4">D3*F3*G3</f>
        <v>85.714285714285722</v>
      </c>
      <c r="I3" s="56" t="s">
        <v>17</v>
      </c>
      <c r="J3" s="54">
        <v>249.60317460317461</v>
      </c>
      <c r="M3" s="51" t="s">
        <v>2</v>
      </c>
      <c r="N3" s="29">
        <v>1.7417</v>
      </c>
      <c r="O3" s="29">
        <v>20.002600000000001</v>
      </c>
      <c r="P3" s="42">
        <f t="shared" si="0"/>
        <v>21.744300000000003</v>
      </c>
      <c r="Q3" s="57">
        <v>63</v>
      </c>
      <c r="R3" s="57">
        <v>1</v>
      </c>
      <c r="S3" s="47">
        <f t="shared" ref="S3:S7" si="5">60/Q3</f>
        <v>0.95238095238095233</v>
      </c>
      <c r="T3" s="49">
        <v>20</v>
      </c>
      <c r="U3" s="49">
        <f t="shared" ref="U3:U7" si="6">ROUND(R3*S3*T3,0)</f>
        <v>19</v>
      </c>
      <c r="V3" s="30">
        <f t="shared" ref="V3:V7" si="7">R3/W$2</f>
        <v>0.1</v>
      </c>
    </row>
    <row r="4" spans="1:24" x14ac:dyDescent="0.25">
      <c r="A4" s="3" t="s">
        <v>1</v>
      </c>
      <c r="B4" s="22" t="s">
        <v>17</v>
      </c>
      <c r="C4" s="24">
        <v>1</v>
      </c>
      <c r="D4" s="53">
        <f t="shared" si="1"/>
        <v>2</v>
      </c>
      <c r="E4" s="53">
        <f t="shared" si="2"/>
        <v>84</v>
      </c>
      <c r="F4" s="58">
        <f t="shared" si="3"/>
        <v>0.7142857142857143</v>
      </c>
      <c r="G4" s="53">
        <v>60</v>
      </c>
      <c r="H4" s="58">
        <f t="shared" si="4"/>
        <v>85.714285714285722</v>
      </c>
      <c r="I4" s="56" t="s">
        <v>21</v>
      </c>
      <c r="J4" s="54">
        <v>420.852614818132</v>
      </c>
      <c r="M4" s="51" t="s">
        <v>3</v>
      </c>
      <c r="N4" s="29">
        <v>1.5378000000000001</v>
      </c>
      <c r="O4" s="29">
        <v>20.001799999999999</v>
      </c>
      <c r="P4" s="42">
        <f t="shared" si="0"/>
        <v>21.5396</v>
      </c>
      <c r="Q4" s="57">
        <v>99</v>
      </c>
      <c r="R4" s="57">
        <v>2</v>
      </c>
      <c r="S4" s="47">
        <f t="shared" si="5"/>
        <v>0.60606060606060608</v>
      </c>
      <c r="T4" s="49">
        <v>20</v>
      </c>
      <c r="U4" s="49">
        <f t="shared" si="6"/>
        <v>24</v>
      </c>
      <c r="V4" s="30">
        <f t="shared" si="7"/>
        <v>0.2</v>
      </c>
    </row>
    <row r="5" spans="1:24" x14ac:dyDescent="0.25">
      <c r="A5" s="4" t="s">
        <v>1</v>
      </c>
      <c r="B5" t="s">
        <v>18</v>
      </c>
      <c r="C5" s="24">
        <v>1</v>
      </c>
      <c r="D5" s="53">
        <f t="shared" si="1"/>
        <v>2</v>
      </c>
      <c r="E5" s="53">
        <f t="shared" si="2"/>
        <v>84</v>
      </c>
      <c r="F5" s="58">
        <f t="shared" si="3"/>
        <v>0.7142857142857143</v>
      </c>
      <c r="G5" s="53">
        <v>60</v>
      </c>
      <c r="H5" s="58">
        <f t="shared" si="4"/>
        <v>85.714285714285722</v>
      </c>
      <c r="I5" s="56" t="s">
        <v>16</v>
      </c>
      <c r="J5" s="54">
        <v>306.74603174603175</v>
      </c>
      <c r="M5" s="51" t="s">
        <v>4</v>
      </c>
      <c r="N5" s="29">
        <v>2.8203999999999998</v>
      </c>
      <c r="O5" s="29">
        <v>30.004799999999999</v>
      </c>
      <c r="P5" s="42">
        <f t="shared" si="0"/>
        <v>32.825200000000002</v>
      </c>
      <c r="Q5" s="57">
        <v>81</v>
      </c>
      <c r="R5" s="57">
        <v>2</v>
      </c>
      <c r="S5" s="47">
        <f t="shared" si="5"/>
        <v>0.7407407407407407</v>
      </c>
      <c r="T5" s="49">
        <v>20</v>
      </c>
      <c r="U5" s="49">
        <f t="shared" si="6"/>
        <v>30</v>
      </c>
      <c r="V5" s="30">
        <f t="shared" si="7"/>
        <v>0.2</v>
      </c>
    </row>
    <row r="6" spans="1:24" x14ac:dyDescent="0.25">
      <c r="A6" s="5" t="s">
        <v>1</v>
      </c>
      <c r="B6" t="s">
        <v>19</v>
      </c>
      <c r="C6" s="24">
        <v>1</v>
      </c>
      <c r="D6" s="53">
        <f t="shared" si="1"/>
        <v>2</v>
      </c>
      <c r="E6" s="53">
        <f t="shared" si="2"/>
        <v>84</v>
      </c>
      <c r="F6" s="58">
        <f t="shared" si="3"/>
        <v>0.7142857142857143</v>
      </c>
      <c r="G6" s="53">
        <v>60</v>
      </c>
      <c r="H6" s="58">
        <f t="shared" si="4"/>
        <v>85.714285714285722</v>
      </c>
      <c r="I6" s="56" t="s">
        <v>18</v>
      </c>
      <c r="J6" s="54">
        <v>174.60317460317461</v>
      </c>
      <c r="M6" s="51" t="s">
        <v>5</v>
      </c>
      <c r="N6" s="29">
        <v>2.1722000000000001</v>
      </c>
      <c r="O6" s="29">
        <v>25.002199999999998</v>
      </c>
      <c r="P6" s="23">
        <f t="shared" si="0"/>
        <v>27.174399999999999</v>
      </c>
      <c r="Q6" s="57">
        <v>96</v>
      </c>
      <c r="R6" s="57">
        <v>2</v>
      </c>
      <c r="S6" s="47">
        <f t="shared" si="5"/>
        <v>0.625</v>
      </c>
      <c r="T6" s="49">
        <v>20</v>
      </c>
      <c r="U6" s="49">
        <f t="shared" si="6"/>
        <v>25</v>
      </c>
      <c r="V6" s="30">
        <f t="shared" si="7"/>
        <v>0.2</v>
      </c>
    </row>
    <row r="7" spans="1:24" x14ac:dyDescent="0.25">
      <c r="A7" s="36" t="s">
        <v>1</v>
      </c>
      <c r="B7" s="36" t="s">
        <v>21</v>
      </c>
      <c r="C7" s="35">
        <v>1</v>
      </c>
      <c r="D7" s="36">
        <f t="shared" si="1"/>
        <v>2</v>
      </c>
      <c r="E7" s="36">
        <f t="shared" si="2"/>
        <v>84</v>
      </c>
      <c r="F7" s="25">
        <f t="shared" si="3"/>
        <v>0.7142857142857143</v>
      </c>
      <c r="G7" s="36">
        <v>60</v>
      </c>
      <c r="H7" s="25">
        <f t="shared" si="4"/>
        <v>85.714285714285722</v>
      </c>
      <c r="I7" s="56" t="s">
        <v>20</v>
      </c>
      <c r="J7" s="54">
        <v>72.727272727272734</v>
      </c>
      <c r="M7" s="44" t="s">
        <v>6</v>
      </c>
      <c r="N7" s="32">
        <v>1.7867999999999999</v>
      </c>
      <c r="O7" s="32">
        <v>10.001200000000001</v>
      </c>
      <c r="P7" s="36">
        <f t="shared" si="0"/>
        <v>11.788</v>
      </c>
      <c r="Q7" s="57">
        <v>87</v>
      </c>
      <c r="R7" s="57">
        <v>1</v>
      </c>
      <c r="S7" s="48">
        <f t="shared" si="5"/>
        <v>0.68965517241379315</v>
      </c>
      <c r="T7" s="27">
        <v>20</v>
      </c>
      <c r="U7" s="27">
        <f t="shared" si="6"/>
        <v>14</v>
      </c>
      <c r="V7" s="26">
        <f t="shared" si="7"/>
        <v>0.1</v>
      </c>
    </row>
    <row r="8" spans="1:24" x14ac:dyDescent="0.25">
      <c r="A8" s="6" t="s">
        <v>2</v>
      </c>
      <c r="B8" t="s">
        <v>15</v>
      </c>
      <c r="C8" s="24">
        <v>1</v>
      </c>
      <c r="D8" s="53">
        <f t="shared" si="1"/>
        <v>1</v>
      </c>
      <c r="E8" s="53">
        <f t="shared" si="2"/>
        <v>63</v>
      </c>
      <c r="F8" s="58">
        <f t="shared" si="3"/>
        <v>0.95238095238095233</v>
      </c>
      <c r="G8" s="53">
        <v>60</v>
      </c>
      <c r="H8" s="58">
        <f t="shared" si="4"/>
        <v>57.142857142857139</v>
      </c>
      <c r="I8" s="56" t="s">
        <v>19</v>
      </c>
      <c r="J8" s="54">
        <v>158.44155844155847</v>
      </c>
      <c r="U8" s="43">
        <f>SUM(U2:U7)</f>
        <v>141</v>
      </c>
      <c r="V8" s="33">
        <f>SUM(V2:V7)</f>
        <v>0.99999999999999989</v>
      </c>
    </row>
    <row r="9" spans="1:24" ht="30" x14ac:dyDescent="0.25">
      <c r="A9" s="7" t="s">
        <v>2</v>
      </c>
      <c r="B9" s="34" t="s">
        <v>16</v>
      </c>
      <c r="C9" s="24">
        <v>1</v>
      </c>
      <c r="D9" s="53">
        <f t="shared" si="1"/>
        <v>1</v>
      </c>
      <c r="E9" s="53">
        <f t="shared" si="2"/>
        <v>63</v>
      </c>
      <c r="F9" s="58">
        <f t="shared" si="3"/>
        <v>0.95238095238095233</v>
      </c>
      <c r="G9" s="53">
        <v>60</v>
      </c>
      <c r="H9" s="58">
        <f t="shared" si="4"/>
        <v>57.142857142857139</v>
      </c>
      <c r="I9" s="56" t="s">
        <v>24</v>
      </c>
      <c r="J9" s="54">
        <v>1803.8264417574762</v>
      </c>
    </row>
    <row r="10" spans="1:24" x14ac:dyDescent="0.25">
      <c r="A10" s="36" t="s">
        <v>2</v>
      </c>
      <c r="B10" s="36" t="s">
        <v>21</v>
      </c>
      <c r="C10" s="35">
        <v>1</v>
      </c>
      <c r="D10" s="36">
        <f t="shared" si="1"/>
        <v>1</v>
      </c>
      <c r="E10" s="36">
        <f t="shared" si="2"/>
        <v>63</v>
      </c>
      <c r="F10" s="25">
        <f t="shared" si="3"/>
        <v>0.95238095238095233</v>
      </c>
      <c r="G10" s="36">
        <v>60</v>
      </c>
      <c r="H10" s="25">
        <f t="shared" si="4"/>
        <v>57.142857142857139</v>
      </c>
      <c r="J10">
        <f>GETPIVOTDATA("Итого",$I$1)/3</f>
        <v>601.27548058582545</v>
      </c>
    </row>
    <row r="11" spans="1:24" x14ac:dyDescent="0.25">
      <c r="A11" s="8" t="s">
        <v>3</v>
      </c>
      <c r="B11" t="s">
        <v>15</v>
      </c>
      <c r="C11" s="24">
        <v>1</v>
      </c>
      <c r="D11" s="53">
        <f t="shared" si="1"/>
        <v>2</v>
      </c>
      <c r="E11" s="53">
        <f t="shared" si="2"/>
        <v>99</v>
      </c>
      <c r="F11" s="58">
        <f t="shared" si="3"/>
        <v>0.60606060606060608</v>
      </c>
      <c r="G11" s="53">
        <v>60</v>
      </c>
      <c r="H11" s="58">
        <f t="shared" si="4"/>
        <v>72.727272727272734</v>
      </c>
    </row>
    <row r="12" spans="1:24" x14ac:dyDescent="0.25">
      <c r="A12" s="9" t="s">
        <v>3</v>
      </c>
      <c r="B12" s="53" t="s">
        <v>19</v>
      </c>
      <c r="C12" s="24">
        <v>1</v>
      </c>
      <c r="D12" s="53">
        <f t="shared" si="1"/>
        <v>2</v>
      </c>
      <c r="E12" s="53">
        <f t="shared" si="2"/>
        <v>99</v>
      </c>
      <c r="F12" s="58">
        <f t="shared" si="3"/>
        <v>0.60606060606060608</v>
      </c>
      <c r="G12" s="53">
        <v>60</v>
      </c>
      <c r="H12" s="58">
        <f t="shared" si="4"/>
        <v>72.727272727272734</v>
      </c>
    </row>
    <row r="13" spans="1:24" x14ac:dyDescent="0.25">
      <c r="A13" s="10" t="s">
        <v>3</v>
      </c>
      <c r="B13" t="s">
        <v>20</v>
      </c>
      <c r="C13" s="24">
        <v>1</v>
      </c>
      <c r="D13" s="53">
        <f t="shared" si="1"/>
        <v>2</v>
      </c>
      <c r="E13" s="53">
        <f t="shared" si="2"/>
        <v>99</v>
      </c>
      <c r="F13" s="58">
        <f t="shared" si="3"/>
        <v>0.60606060606060608</v>
      </c>
      <c r="G13" s="53">
        <v>60</v>
      </c>
      <c r="H13" s="58">
        <f t="shared" si="4"/>
        <v>72.727272727272734</v>
      </c>
    </row>
    <row r="14" spans="1:24" x14ac:dyDescent="0.25">
      <c r="A14" s="36" t="s">
        <v>3</v>
      </c>
      <c r="B14" s="36" t="s">
        <v>21</v>
      </c>
      <c r="C14" s="35">
        <v>1</v>
      </c>
      <c r="D14" s="36">
        <f t="shared" si="1"/>
        <v>2</v>
      </c>
      <c r="E14" s="36">
        <f t="shared" si="2"/>
        <v>99</v>
      </c>
      <c r="F14" s="25">
        <f t="shared" si="3"/>
        <v>0.60606060606060608</v>
      </c>
      <c r="G14" s="36">
        <v>60</v>
      </c>
      <c r="H14" s="25">
        <f t="shared" si="4"/>
        <v>72.727272727272734</v>
      </c>
    </row>
    <row r="15" spans="1:24" x14ac:dyDescent="0.25">
      <c r="A15" s="11" t="s">
        <v>4</v>
      </c>
      <c r="B15" t="s">
        <v>15</v>
      </c>
      <c r="C15" s="24">
        <v>1</v>
      </c>
      <c r="D15" s="53">
        <f t="shared" si="1"/>
        <v>2</v>
      </c>
      <c r="E15" s="53">
        <f t="shared" si="2"/>
        <v>81</v>
      </c>
      <c r="F15" s="58">
        <f t="shared" si="3"/>
        <v>0.7407407407407407</v>
      </c>
      <c r="G15" s="53">
        <v>60</v>
      </c>
      <c r="H15" s="58">
        <f t="shared" si="4"/>
        <v>88.888888888888886</v>
      </c>
      <c r="M15" s="66" t="s">
        <v>75</v>
      </c>
      <c r="N15" s="66"/>
      <c r="O15" s="66"/>
      <c r="P15" s="66"/>
      <c r="Q15" s="66"/>
      <c r="R15" s="66"/>
      <c r="S15" s="66"/>
      <c r="T15" s="66"/>
      <c r="U15" s="66"/>
      <c r="V15" s="66"/>
    </row>
    <row r="16" spans="1:24" ht="45" x14ac:dyDescent="0.25">
      <c r="A16" s="12" t="s">
        <v>4</v>
      </c>
      <c r="B16" s="34" t="s">
        <v>16</v>
      </c>
      <c r="C16" s="24">
        <v>1</v>
      </c>
      <c r="D16" s="53">
        <f t="shared" si="1"/>
        <v>2</v>
      </c>
      <c r="E16" s="53">
        <f t="shared" si="2"/>
        <v>81</v>
      </c>
      <c r="F16" s="58">
        <f t="shared" si="3"/>
        <v>0.7407407407407407</v>
      </c>
      <c r="G16" s="53">
        <v>60</v>
      </c>
      <c r="H16" s="58">
        <f t="shared" si="4"/>
        <v>88.888888888888886</v>
      </c>
      <c r="M16" s="50" t="s">
        <v>25</v>
      </c>
      <c r="N16" s="46" t="s">
        <v>26</v>
      </c>
      <c r="O16" s="46" t="s">
        <v>27</v>
      </c>
      <c r="P16" s="52" t="s">
        <v>28</v>
      </c>
      <c r="Q16" s="46" t="s">
        <v>29</v>
      </c>
      <c r="R16" s="46" t="s">
        <v>9</v>
      </c>
      <c r="S16" s="31" t="s">
        <v>30</v>
      </c>
      <c r="T16" s="21" t="s">
        <v>31</v>
      </c>
      <c r="U16" s="21" t="s">
        <v>32</v>
      </c>
      <c r="V16" s="45" t="s">
        <v>33</v>
      </c>
      <c r="W16" s="20" t="s">
        <v>34</v>
      </c>
    </row>
    <row r="17" spans="1:23" x14ac:dyDescent="0.25">
      <c r="A17" s="13" t="s">
        <v>4</v>
      </c>
      <c r="B17" s="22" t="s">
        <v>17</v>
      </c>
      <c r="C17" s="24">
        <v>1</v>
      </c>
      <c r="D17" s="53">
        <f t="shared" si="1"/>
        <v>2</v>
      </c>
      <c r="E17" s="53">
        <f t="shared" si="2"/>
        <v>81</v>
      </c>
      <c r="F17" s="58">
        <f t="shared" si="3"/>
        <v>0.7407407407407407</v>
      </c>
      <c r="G17" s="53">
        <v>60</v>
      </c>
      <c r="H17" s="58">
        <f t="shared" si="4"/>
        <v>88.888888888888886</v>
      </c>
      <c r="M17" s="51" t="s">
        <v>1</v>
      </c>
      <c r="N17" s="29">
        <v>2.4329000000000001</v>
      </c>
      <c r="O17" s="29">
        <v>35.002099999999999</v>
      </c>
      <c r="P17" s="42">
        <f t="shared" ref="P17:P22" si="8">N17+O17</f>
        <v>37.435000000000002</v>
      </c>
      <c r="Q17" s="57">
        <f>84*75%</f>
        <v>63</v>
      </c>
      <c r="R17" s="57">
        <v>2</v>
      </c>
      <c r="S17" s="47">
        <f>60/Q17</f>
        <v>0.95238095238095233</v>
      </c>
      <c r="T17" s="49">
        <v>20</v>
      </c>
      <c r="U17" s="49">
        <f>ROUND(R17*S17*T17,0)</f>
        <v>38</v>
      </c>
      <c r="V17" s="30">
        <f>R17/W$2</f>
        <v>0.2</v>
      </c>
      <c r="W17" s="75">
        <f>SUM(R17:R22)</f>
        <v>10</v>
      </c>
    </row>
    <row r="18" spans="1:23" x14ac:dyDescent="0.25">
      <c r="A18" s="14" t="s">
        <v>4</v>
      </c>
      <c r="B18" s="37" t="s">
        <v>18</v>
      </c>
      <c r="C18" s="24">
        <v>1</v>
      </c>
      <c r="D18" s="53">
        <f t="shared" si="1"/>
        <v>2</v>
      </c>
      <c r="E18" s="53">
        <f t="shared" si="2"/>
        <v>81</v>
      </c>
      <c r="F18" s="58">
        <f t="shared" si="3"/>
        <v>0.7407407407407407</v>
      </c>
      <c r="G18" s="53">
        <v>60</v>
      </c>
      <c r="H18" s="58">
        <f t="shared" si="4"/>
        <v>88.888888888888886</v>
      </c>
      <c r="M18" s="51" t="s">
        <v>2</v>
      </c>
      <c r="N18" s="29">
        <v>1.7417</v>
      </c>
      <c r="O18" s="29">
        <v>20.002600000000001</v>
      </c>
      <c r="P18" s="42">
        <f t="shared" si="8"/>
        <v>21.744300000000003</v>
      </c>
      <c r="Q18" s="64">
        <f>63*75%</f>
        <v>47.25</v>
      </c>
      <c r="R18" s="57">
        <v>1</v>
      </c>
      <c r="S18" s="47">
        <f t="shared" ref="S18:S22" si="9">60/Q18</f>
        <v>1.2698412698412698</v>
      </c>
      <c r="T18" s="49">
        <v>20</v>
      </c>
      <c r="U18" s="49">
        <f t="shared" ref="U18:U22" si="10">ROUND(R18*S18*T18,0)</f>
        <v>25</v>
      </c>
      <c r="V18" s="30">
        <f t="shared" ref="V18:V22" si="11">R18/W$2</f>
        <v>0.1</v>
      </c>
      <c r="W18" s="75"/>
    </row>
    <row r="19" spans="1:23" x14ac:dyDescent="0.25">
      <c r="A19" s="36" t="s">
        <v>4</v>
      </c>
      <c r="B19" s="36" t="s">
        <v>21</v>
      </c>
      <c r="C19" s="35">
        <v>1</v>
      </c>
      <c r="D19" s="36">
        <f t="shared" si="1"/>
        <v>2</v>
      </c>
      <c r="E19" s="36">
        <f t="shared" si="2"/>
        <v>81</v>
      </c>
      <c r="F19" s="25">
        <f t="shared" si="3"/>
        <v>0.7407407407407407</v>
      </c>
      <c r="G19" s="36">
        <v>60</v>
      </c>
      <c r="H19" s="25">
        <f t="shared" si="4"/>
        <v>88.888888888888886</v>
      </c>
      <c r="M19" s="51" t="s">
        <v>3</v>
      </c>
      <c r="N19" s="29">
        <v>1.5378000000000001</v>
      </c>
      <c r="O19" s="29">
        <v>20.001799999999999</v>
      </c>
      <c r="P19" s="42">
        <f t="shared" si="8"/>
        <v>21.5396</v>
      </c>
      <c r="Q19" s="64">
        <f>99*75%</f>
        <v>74.25</v>
      </c>
      <c r="R19" s="57">
        <v>2</v>
      </c>
      <c r="S19" s="47">
        <f t="shared" si="9"/>
        <v>0.80808080808080807</v>
      </c>
      <c r="T19" s="49">
        <v>20</v>
      </c>
      <c r="U19" s="49">
        <f t="shared" si="10"/>
        <v>32</v>
      </c>
      <c r="V19" s="30">
        <f t="shared" si="11"/>
        <v>0.2</v>
      </c>
      <c r="W19" s="75"/>
    </row>
    <row r="20" spans="1:23" x14ac:dyDescent="0.25">
      <c r="A20" s="15" t="s">
        <v>5</v>
      </c>
      <c r="B20" t="s">
        <v>15</v>
      </c>
      <c r="C20" s="24">
        <v>1</v>
      </c>
      <c r="D20" s="53">
        <f t="shared" si="1"/>
        <v>2</v>
      </c>
      <c r="E20" s="53">
        <f t="shared" si="2"/>
        <v>96</v>
      </c>
      <c r="F20" s="58">
        <f t="shared" si="3"/>
        <v>0.625</v>
      </c>
      <c r="G20" s="53">
        <v>60</v>
      </c>
      <c r="H20" s="58">
        <f t="shared" si="4"/>
        <v>75</v>
      </c>
      <c r="M20" s="51" t="s">
        <v>4</v>
      </c>
      <c r="N20" s="29">
        <v>2.8203999999999998</v>
      </c>
      <c r="O20" s="29">
        <v>30.004799999999999</v>
      </c>
      <c r="P20" s="42">
        <f t="shared" si="8"/>
        <v>32.825200000000002</v>
      </c>
      <c r="Q20" s="64">
        <f>81*75%</f>
        <v>60.75</v>
      </c>
      <c r="R20" s="57">
        <v>2</v>
      </c>
      <c r="S20" s="47">
        <f t="shared" si="9"/>
        <v>0.98765432098765427</v>
      </c>
      <c r="T20" s="49">
        <v>20</v>
      </c>
      <c r="U20" s="49">
        <f t="shared" si="10"/>
        <v>40</v>
      </c>
      <c r="V20" s="30">
        <f t="shared" si="11"/>
        <v>0.2</v>
      </c>
      <c r="W20" s="75"/>
    </row>
    <row r="21" spans="1:23" ht="30" x14ac:dyDescent="0.25">
      <c r="A21" s="16" t="s">
        <v>5</v>
      </c>
      <c r="B21" s="34" t="s">
        <v>16</v>
      </c>
      <c r="C21" s="24">
        <v>1</v>
      </c>
      <c r="D21" s="53">
        <f t="shared" si="1"/>
        <v>2</v>
      </c>
      <c r="E21" s="53">
        <f t="shared" si="2"/>
        <v>96</v>
      </c>
      <c r="F21" s="58">
        <f t="shared" si="3"/>
        <v>0.625</v>
      </c>
      <c r="G21" s="53">
        <v>60</v>
      </c>
      <c r="H21" s="58">
        <f t="shared" si="4"/>
        <v>75</v>
      </c>
      <c r="M21" s="51" t="s">
        <v>5</v>
      </c>
      <c r="N21" s="29">
        <v>2.1722000000000001</v>
      </c>
      <c r="O21" s="29">
        <v>25.002199999999998</v>
      </c>
      <c r="P21" s="23">
        <f t="shared" si="8"/>
        <v>27.174399999999999</v>
      </c>
      <c r="Q21" s="57">
        <f>96*75%</f>
        <v>72</v>
      </c>
      <c r="R21" s="57">
        <v>2</v>
      </c>
      <c r="S21" s="47">
        <f t="shared" si="9"/>
        <v>0.83333333333333337</v>
      </c>
      <c r="T21" s="49">
        <v>20</v>
      </c>
      <c r="U21" s="49">
        <f t="shared" si="10"/>
        <v>33</v>
      </c>
      <c r="V21" s="30">
        <f t="shared" si="11"/>
        <v>0.2</v>
      </c>
      <c r="W21" s="75"/>
    </row>
    <row r="22" spans="1:23" x14ac:dyDescent="0.25">
      <c r="A22" s="17" t="s">
        <v>5</v>
      </c>
      <c r="B22" s="22" t="s">
        <v>17</v>
      </c>
      <c r="C22" s="24">
        <v>1</v>
      </c>
      <c r="D22" s="53">
        <f t="shared" si="1"/>
        <v>2</v>
      </c>
      <c r="E22" s="53">
        <f t="shared" si="2"/>
        <v>96</v>
      </c>
      <c r="F22" s="58">
        <f t="shared" si="3"/>
        <v>0.625</v>
      </c>
      <c r="G22" s="53">
        <v>60</v>
      </c>
      <c r="H22" s="58">
        <f t="shared" si="4"/>
        <v>75</v>
      </c>
      <c r="M22" s="44" t="s">
        <v>6</v>
      </c>
      <c r="N22" s="32">
        <v>1.7867999999999999</v>
      </c>
      <c r="O22" s="32">
        <v>10.001200000000001</v>
      </c>
      <c r="P22" s="36">
        <f t="shared" si="8"/>
        <v>11.788</v>
      </c>
      <c r="Q22" s="64">
        <f>87*75%</f>
        <v>65.25</v>
      </c>
      <c r="R22" s="57">
        <v>1</v>
      </c>
      <c r="S22" s="48">
        <f t="shared" si="9"/>
        <v>0.91954022988505746</v>
      </c>
      <c r="T22" s="27">
        <v>20</v>
      </c>
      <c r="U22" s="27">
        <f t="shared" si="10"/>
        <v>18</v>
      </c>
      <c r="V22" s="26">
        <f t="shared" si="11"/>
        <v>0.1</v>
      </c>
      <c r="W22" s="75"/>
    </row>
    <row r="23" spans="1:23" x14ac:dyDescent="0.25">
      <c r="A23" s="36" t="s">
        <v>5</v>
      </c>
      <c r="B23" s="36" t="s">
        <v>21</v>
      </c>
      <c r="C23" s="35">
        <v>1</v>
      </c>
      <c r="D23" s="36">
        <f t="shared" si="1"/>
        <v>2</v>
      </c>
      <c r="E23" s="36">
        <f t="shared" si="2"/>
        <v>96</v>
      </c>
      <c r="F23" s="25">
        <f t="shared" si="3"/>
        <v>0.625</v>
      </c>
      <c r="G23" s="36">
        <v>60</v>
      </c>
      <c r="H23" s="25">
        <f t="shared" si="4"/>
        <v>75</v>
      </c>
      <c r="M23" s="75"/>
      <c r="N23" s="75"/>
      <c r="O23" s="75"/>
      <c r="P23" s="75"/>
      <c r="Q23" s="75"/>
      <c r="R23" s="75"/>
      <c r="S23" s="75"/>
      <c r="T23" s="75"/>
      <c r="U23" s="43">
        <f>SUM(U17:U22)</f>
        <v>186</v>
      </c>
      <c r="V23" s="33">
        <f>SUM(V17:V22)</f>
        <v>0.99999999999999989</v>
      </c>
      <c r="W23" s="59">
        <f>U23/U8</f>
        <v>1.3191489361702127</v>
      </c>
    </row>
    <row r="24" spans="1:23" x14ac:dyDescent="0.25">
      <c r="A24" s="18" t="s">
        <v>6</v>
      </c>
      <c r="B24" s="37" t="s">
        <v>15</v>
      </c>
      <c r="C24" s="24">
        <v>1</v>
      </c>
      <c r="D24" s="53">
        <f t="shared" si="1"/>
        <v>1</v>
      </c>
      <c r="E24" s="53">
        <f t="shared" si="2"/>
        <v>87</v>
      </c>
      <c r="F24" s="58">
        <f t="shared" si="3"/>
        <v>0.68965517241379315</v>
      </c>
      <c r="G24" s="53">
        <v>60</v>
      </c>
      <c r="H24" s="58">
        <f t="shared" si="4"/>
        <v>41.379310344827587</v>
      </c>
    </row>
    <row r="25" spans="1:23" x14ac:dyDescent="0.25">
      <c r="A25" s="36" t="s">
        <v>6</v>
      </c>
      <c r="B25" s="36" t="s">
        <v>21</v>
      </c>
      <c r="C25" s="35">
        <v>1</v>
      </c>
      <c r="D25" s="36">
        <f t="shared" si="1"/>
        <v>1</v>
      </c>
      <c r="E25" s="36">
        <f t="shared" si="2"/>
        <v>87</v>
      </c>
      <c r="F25" s="25">
        <f t="shared" si="3"/>
        <v>0.68965517241379315</v>
      </c>
      <c r="G25" s="36">
        <v>60</v>
      </c>
      <c r="H25" s="25">
        <f t="shared" si="4"/>
        <v>41.379310344827587</v>
      </c>
    </row>
    <row r="28" spans="1:23" ht="18.75" x14ac:dyDescent="0.3">
      <c r="A28" s="41" t="s">
        <v>14</v>
      </c>
      <c r="B28" s="37"/>
      <c r="C28" t="s">
        <v>35</v>
      </c>
      <c r="G28" t="s">
        <v>36</v>
      </c>
    </row>
    <row r="29" spans="1:23" ht="19.5" thickBot="1" x14ac:dyDescent="0.3">
      <c r="A29" s="38" t="s">
        <v>15</v>
      </c>
      <c r="B29" s="39">
        <v>422</v>
      </c>
      <c r="C29">
        <f>GETPIVOTDATA("Итого",$I$1,"transaction rq",A29)</f>
        <v>420.852614818132</v>
      </c>
      <c r="D29" s="59">
        <f>1-B29/C29</f>
        <v>-2.7263349245527646E-3</v>
      </c>
      <c r="G29" s="60">
        <f>C29/3</f>
        <v>140.28420493937733</v>
      </c>
      <c r="H29" s="28">
        <v>142</v>
      </c>
      <c r="I29" s="59">
        <f>1-G29/H29</f>
        <v>1.2083063807201921E-2</v>
      </c>
      <c r="J29">
        <v>561</v>
      </c>
      <c r="K29">
        <f>J29/4</f>
        <v>140.25</v>
      </c>
      <c r="L29" s="59">
        <f>1-G29/K29</f>
        <v>-2.4388548575648983E-4</v>
      </c>
    </row>
    <row r="30" spans="1:23" ht="38.25" thickBot="1" x14ac:dyDescent="0.3">
      <c r="A30" s="38" t="s">
        <v>16</v>
      </c>
      <c r="B30" s="39">
        <v>282</v>
      </c>
      <c r="C30" s="53">
        <f t="shared" ref="C30:C35" si="12">GETPIVOTDATA("Итого",$I$1,"transaction rq",A30)</f>
        <v>306.74603174603175</v>
      </c>
      <c r="D30" s="59">
        <f t="shared" ref="D30:D36" si="13">1-B30/C30</f>
        <v>8.0672703751617059E-2</v>
      </c>
      <c r="G30" s="60">
        <f t="shared" ref="G30:G35" si="14">C30/3</f>
        <v>102.24867724867725</v>
      </c>
      <c r="H30" s="28">
        <v>104</v>
      </c>
      <c r="I30" s="59">
        <f t="shared" ref="I30:I35" si="15">1-G30/H30</f>
        <v>1.6839641839641817E-2</v>
      </c>
      <c r="J30">
        <v>407</v>
      </c>
      <c r="K30" s="61">
        <f t="shared" ref="K30:K35" si="16">J30/4</f>
        <v>101.75</v>
      </c>
      <c r="L30" s="59">
        <f t="shared" ref="L30:L35" si="17">1-G30/K30</f>
        <v>-4.9010049010049794E-3</v>
      </c>
    </row>
    <row r="31" spans="1:23" ht="38.25" thickBot="1" x14ac:dyDescent="0.3">
      <c r="A31" s="38" t="s">
        <v>17</v>
      </c>
      <c r="B31" s="39">
        <v>251</v>
      </c>
      <c r="C31" s="53">
        <f t="shared" si="12"/>
        <v>249.60317460317461</v>
      </c>
      <c r="D31" s="59">
        <f t="shared" si="13"/>
        <v>-5.5961844197138788E-3</v>
      </c>
      <c r="G31" s="60">
        <f t="shared" si="14"/>
        <v>83.201058201058203</v>
      </c>
      <c r="H31" s="28">
        <v>85</v>
      </c>
      <c r="I31" s="59">
        <f t="shared" si="15"/>
        <v>2.1164021164021163E-2</v>
      </c>
      <c r="J31">
        <v>333</v>
      </c>
      <c r="K31" s="61">
        <f t="shared" si="16"/>
        <v>83.25</v>
      </c>
      <c r="L31" s="59">
        <f t="shared" si="17"/>
        <v>5.8788947677834713E-4</v>
      </c>
    </row>
    <row r="32" spans="1:23" ht="19.5" thickBot="1" x14ac:dyDescent="0.3">
      <c r="A32" s="38" t="s">
        <v>18</v>
      </c>
      <c r="B32" s="39">
        <v>175</v>
      </c>
      <c r="C32" s="53">
        <f t="shared" si="12"/>
        <v>174.60317460317461</v>
      </c>
      <c r="D32" s="59">
        <f t="shared" si="13"/>
        <v>-2.2727272727272041E-3</v>
      </c>
      <c r="G32" s="60">
        <f t="shared" si="14"/>
        <v>58.201058201058203</v>
      </c>
      <c r="H32" s="28">
        <v>59</v>
      </c>
      <c r="I32" s="59">
        <f t="shared" si="15"/>
        <v>1.3541386422742274E-2</v>
      </c>
      <c r="J32">
        <v>232</v>
      </c>
      <c r="K32" s="61">
        <f t="shared" si="16"/>
        <v>58</v>
      </c>
      <c r="L32" s="59">
        <f t="shared" si="17"/>
        <v>-3.4665207079001004E-3</v>
      </c>
    </row>
    <row r="33" spans="1:12" ht="19.5" thickBot="1" x14ac:dyDescent="0.3">
      <c r="A33" s="38" t="s">
        <v>19</v>
      </c>
      <c r="B33" s="39">
        <v>159</v>
      </c>
      <c r="C33" s="53">
        <f t="shared" si="12"/>
        <v>158.44155844155847</v>
      </c>
      <c r="D33" s="59">
        <f t="shared" si="13"/>
        <v>-3.5245901639342492E-3</v>
      </c>
      <c r="G33" s="60">
        <f t="shared" si="14"/>
        <v>52.813852813852826</v>
      </c>
      <c r="H33" s="28">
        <v>52</v>
      </c>
      <c r="I33" s="59">
        <f t="shared" si="15"/>
        <v>-1.5651015651015898E-2</v>
      </c>
      <c r="J33">
        <v>213</v>
      </c>
      <c r="K33" s="61">
        <f t="shared" si="16"/>
        <v>53.25</v>
      </c>
      <c r="L33" s="59">
        <f t="shared" si="17"/>
        <v>8.1905574863319064E-3</v>
      </c>
    </row>
    <row r="34" spans="1:12" ht="19.5" thickBot="1" x14ac:dyDescent="0.3">
      <c r="A34" s="38" t="s">
        <v>20</v>
      </c>
      <c r="B34" s="39">
        <v>73</v>
      </c>
      <c r="C34" s="53">
        <f t="shared" si="12"/>
        <v>72.727272727272734</v>
      </c>
      <c r="D34" s="59">
        <f t="shared" si="13"/>
        <v>-3.7499999999999201E-3</v>
      </c>
      <c r="G34" s="60">
        <f t="shared" si="14"/>
        <v>24.242424242424246</v>
      </c>
      <c r="H34" s="28">
        <v>23</v>
      </c>
      <c r="I34" s="59">
        <f t="shared" si="15"/>
        <v>-5.4018445322793207E-2</v>
      </c>
      <c r="J34">
        <v>97</v>
      </c>
      <c r="K34" s="61">
        <f t="shared" si="16"/>
        <v>24.25</v>
      </c>
      <c r="L34" s="59">
        <f t="shared" si="17"/>
        <v>3.1240237425789186E-4</v>
      </c>
    </row>
    <row r="35" spans="1:12" ht="19.5" thickBot="1" x14ac:dyDescent="0.3">
      <c r="A35" s="38" t="s">
        <v>21</v>
      </c>
      <c r="B35" s="39">
        <v>422</v>
      </c>
      <c r="C35" s="53">
        <f t="shared" si="12"/>
        <v>420.852614818132</v>
      </c>
      <c r="D35" s="59">
        <f t="shared" si="13"/>
        <v>-2.7263349245527646E-3</v>
      </c>
      <c r="G35" s="60">
        <f t="shared" si="14"/>
        <v>140.28420493937733</v>
      </c>
      <c r="H35" s="28">
        <v>139</v>
      </c>
      <c r="I35" s="59">
        <f t="shared" si="15"/>
        <v>-9.2388844559521122E-3</v>
      </c>
      <c r="J35">
        <v>562</v>
      </c>
      <c r="K35" s="61">
        <f t="shared" si="16"/>
        <v>140.5</v>
      </c>
      <c r="L35" s="59">
        <f t="shared" si="17"/>
        <v>1.5359079047876367E-3</v>
      </c>
    </row>
    <row r="36" spans="1:12" ht="19.5" thickBot="1" x14ac:dyDescent="0.3">
      <c r="A36" s="40" t="s">
        <v>13</v>
      </c>
      <c r="B36" s="39">
        <v>1784</v>
      </c>
      <c r="C36" s="53">
        <f>SUM(C29:C35)</f>
        <v>1803.8264417574762</v>
      </c>
      <c r="D36" s="59">
        <f t="shared" si="13"/>
        <v>1.099132449691731E-2</v>
      </c>
    </row>
  </sheetData>
  <mergeCells count="1">
    <mergeCell ref="M15:V1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N22" sqref="N22"/>
    </sheetView>
  </sheetViews>
  <sheetFormatPr defaultRowHeight="15" x14ac:dyDescent="0.25"/>
  <cols>
    <col min="1" max="1" width="26.85546875" bestFit="1" customWidth="1"/>
    <col min="2" max="2" width="19.42578125" bestFit="1" customWidth="1"/>
    <col min="3" max="3" width="21.140625" customWidth="1"/>
    <col min="4" max="4" width="16.28515625" customWidth="1"/>
    <col min="5" max="5" width="12.42578125" customWidth="1"/>
    <col min="6" max="6" width="13.5703125" bestFit="1" customWidth="1"/>
    <col min="7" max="7" width="10.28515625" bestFit="1" customWidth="1"/>
    <col min="8" max="8" width="5.5703125" bestFit="1" customWidth="1"/>
    <col min="9" max="9" width="4.140625" bestFit="1" customWidth="1"/>
    <col min="10" max="10" width="5" bestFit="1" customWidth="1"/>
    <col min="12" max="12" width="19.42578125" bestFit="1" customWidth="1"/>
    <col min="13" max="13" width="17.140625" customWidth="1"/>
    <col min="14" max="14" width="15.5703125" customWidth="1"/>
  </cols>
  <sheetData>
    <row r="1" spans="1:14" ht="30" x14ac:dyDescent="0.25">
      <c r="A1" s="70" t="s">
        <v>66</v>
      </c>
      <c r="B1" s="62" t="s">
        <v>67</v>
      </c>
      <c r="C1" s="19" t="s">
        <v>70</v>
      </c>
      <c r="L1" s="63" t="s">
        <v>71</v>
      </c>
      <c r="M1" s="63" t="s">
        <v>69</v>
      </c>
      <c r="N1" s="63" t="s">
        <v>68</v>
      </c>
    </row>
    <row r="2" spans="1:14" x14ac:dyDescent="0.25">
      <c r="A2" s="71" t="s">
        <v>37</v>
      </c>
      <c r="B2" s="71" t="s">
        <v>38</v>
      </c>
      <c r="C2" s="71" t="s">
        <v>39</v>
      </c>
      <c r="D2" s="71" t="s">
        <v>40</v>
      </c>
      <c r="E2" s="71" t="s">
        <v>41</v>
      </c>
      <c r="F2" s="71" t="s">
        <v>42</v>
      </c>
      <c r="G2" s="71" t="s">
        <v>43</v>
      </c>
      <c r="H2" s="71" t="s">
        <v>44</v>
      </c>
      <c r="I2" s="71" t="s">
        <v>45</v>
      </c>
      <c r="J2" s="71" t="s">
        <v>46</v>
      </c>
      <c r="L2" s="67" t="s">
        <v>52</v>
      </c>
      <c r="M2" s="67">
        <f>VLOOKUP(L2,A2:J15,8)</f>
        <v>567</v>
      </c>
      <c r="N2" s="72">
        <f>M2/3</f>
        <v>189</v>
      </c>
    </row>
    <row r="3" spans="1:14" x14ac:dyDescent="0.25">
      <c r="A3" s="71" t="s">
        <v>55</v>
      </c>
      <c r="B3" s="71" t="s">
        <v>48</v>
      </c>
      <c r="C3" s="71">
        <v>0.69799999999999995</v>
      </c>
      <c r="D3" s="71">
        <v>0.98899999999999999</v>
      </c>
      <c r="E3" s="71">
        <v>3.097</v>
      </c>
      <c r="F3" s="71">
        <v>0.438</v>
      </c>
      <c r="G3" s="71">
        <v>1.504</v>
      </c>
      <c r="H3" s="71">
        <v>114</v>
      </c>
      <c r="I3" s="71">
        <v>0</v>
      </c>
      <c r="J3" s="71">
        <v>0</v>
      </c>
      <c r="L3" s="67" t="s">
        <v>51</v>
      </c>
      <c r="M3" s="67">
        <f t="shared" ref="M3:M8" si="0">VLOOKUP(L3,A3:J16,8)</f>
        <v>413</v>
      </c>
      <c r="N3" s="72">
        <f t="shared" ref="N3:N8" si="1">M3/3</f>
        <v>137.66666666666666</v>
      </c>
    </row>
    <row r="4" spans="1:14" x14ac:dyDescent="0.25">
      <c r="A4" s="71" t="s">
        <v>56</v>
      </c>
      <c r="B4" s="71" t="s">
        <v>48</v>
      </c>
      <c r="C4" s="71">
        <v>0.41699999999999998</v>
      </c>
      <c r="D4" s="71">
        <v>0.60199999999999998</v>
      </c>
      <c r="E4" s="71">
        <v>2.5539999999999998</v>
      </c>
      <c r="F4" s="71">
        <v>0.39500000000000002</v>
      </c>
      <c r="G4" s="71">
        <v>1.2929999999999999</v>
      </c>
      <c r="H4" s="71">
        <v>78</v>
      </c>
      <c r="I4" s="71">
        <v>0</v>
      </c>
      <c r="J4" s="71">
        <v>0</v>
      </c>
      <c r="L4" s="67" t="s">
        <v>49</v>
      </c>
      <c r="M4" s="67">
        <f t="shared" si="0"/>
        <v>334</v>
      </c>
      <c r="N4" s="72">
        <f t="shared" si="1"/>
        <v>111.33333333333333</v>
      </c>
    </row>
    <row r="5" spans="1:14" x14ac:dyDescent="0.25">
      <c r="A5" s="71" t="s">
        <v>57</v>
      </c>
      <c r="B5" s="71" t="s">
        <v>48</v>
      </c>
      <c r="C5" s="71">
        <v>0.63600000000000001</v>
      </c>
      <c r="D5" s="71">
        <v>1.0720000000000001</v>
      </c>
      <c r="E5" s="71">
        <v>3.5920000000000001</v>
      </c>
      <c r="F5" s="71">
        <v>0.54700000000000004</v>
      </c>
      <c r="G5" s="71">
        <v>1.613</v>
      </c>
      <c r="H5" s="71">
        <v>96</v>
      </c>
      <c r="I5" s="71">
        <v>0</v>
      </c>
      <c r="J5" s="71">
        <v>0</v>
      </c>
      <c r="L5" s="67" t="s">
        <v>54</v>
      </c>
      <c r="M5" s="67">
        <f t="shared" si="0"/>
        <v>232</v>
      </c>
      <c r="N5" s="72">
        <f t="shared" si="1"/>
        <v>77.333333333333329</v>
      </c>
    </row>
    <row r="6" spans="1:14" x14ac:dyDescent="0.25">
      <c r="A6" s="71" t="s">
        <v>58</v>
      </c>
      <c r="B6" s="71" t="s">
        <v>48</v>
      </c>
      <c r="C6" s="71">
        <v>0.53500000000000003</v>
      </c>
      <c r="D6" s="71">
        <v>0.80100000000000005</v>
      </c>
      <c r="E6" s="71">
        <v>2.6779999999999999</v>
      </c>
      <c r="F6" s="71">
        <v>0.48299999999999998</v>
      </c>
      <c r="G6" s="71">
        <v>1.55</v>
      </c>
      <c r="H6" s="71">
        <v>119</v>
      </c>
      <c r="I6" s="71">
        <v>0</v>
      </c>
      <c r="J6" s="71">
        <v>0</v>
      </c>
      <c r="L6" s="67" t="s">
        <v>50</v>
      </c>
      <c r="M6" s="67">
        <f t="shared" si="0"/>
        <v>212</v>
      </c>
      <c r="N6" s="72">
        <f t="shared" si="1"/>
        <v>70.666666666666671</v>
      </c>
    </row>
    <row r="7" spans="1:14" x14ac:dyDescent="0.25">
      <c r="A7" s="71" t="s">
        <v>59</v>
      </c>
      <c r="B7" s="71" t="s">
        <v>48</v>
      </c>
      <c r="C7" s="71">
        <v>0.46899999999999997</v>
      </c>
      <c r="D7" s="71">
        <v>0.74</v>
      </c>
      <c r="E7" s="71">
        <v>2.5369999999999999</v>
      </c>
      <c r="F7" s="71">
        <v>0.51400000000000001</v>
      </c>
      <c r="G7" s="71">
        <v>1.5780000000000001</v>
      </c>
      <c r="H7" s="71">
        <v>99</v>
      </c>
      <c r="I7" s="71">
        <v>0</v>
      </c>
      <c r="J7" s="71">
        <v>0</v>
      </c>
      <c r="L7" s="67" t="s">
        <v>47</v>
      </c>
      <c r="M7" s="67">
        <f t="shared" si="0"/>
        <v>98</v>
      </c>
      <c r="N7" s="72">
        <f t="shared" si="1"/>
        <v>32.666666666666664</v>
      </c>
    </row>
    <row r="8" spans="1:14" x14ac:dyDescent="0.25">
      <c r="A8" s="71" t="s">
        <v>60</v>
      </c>
      <c r="B8" s="71" t="s">
        <v>48</v>
      </c>
      <c r="C8" s="71">
        <v>0.27200000000000002</v>
      </c>
      <c r="D8" s="71">
        <v>0.58599999999999997</v>
      </c>
      <c r="E8" s="71">
        <v>2.5049999999999999</v>
      </c>
      <c r="F8" s="71">
        <v>0.52300000000000002</v>
      </c>
      <c r="G8" s="71">
        <v>1.502</v>
      </c>
      <c r="H8" s="71">
        <v>57</v>
      </c>
      <c r="I8" s="71">
        <v>0</v>
      </c>
      <c r="J8" s="71">
        <v>0</v>
      </c>
      <c r="L8" s="67" t="s">
        <v>53</v>
      </c>
      <c r="M8" s="67">
        <f t="shared" si="0"/>
        <v>563</v>
      </c>
      <c r="N8" s="72">
        <f t="shared" si="1"/>
        <v>187.66666666666666</v>
      </c>
    </row>
    <row r="9" spans="1:14" x14ac:dyDescent="0.25">
      <c r="A9" s="71" t="s">
        <v>47</v>
      </c>
      <c r="B9" s="71" t="s">
        <v>48</v>
      </c>
      <c r="C9" s="71">
        <v>0.19</v>
      </c>
      <c r="D9" s="71">
        <v>0.39100000000000001</v>
      </c>
      <c r="E9" s="71">
        <v>2.0390000000000001</v>
      </c>
      <c r="F9" s="71">
        <v>0.26200000000000001</v>
      </c>
      <c r="G9" s="71">
        <v>0.60299999999999998</v>
      </c>
      <c r="H9" s="71">
        <v>98</v>
      </c>
      <c r="I9" s="71">
        <v>0</v>
      </c>
      <c r="J9" s="71">
        <v>0</v>
      </c>
    </row>
    <row r="10" spans="1:14" x14ac:dyDescent="0.25">
      <c r="A10" s="71" t="s">
        <v>49</v>
      </c>
      <c r="B10" s="71" t="s">
        <v>48</v>
      </c>
      <c r="C10" s="71">
        <v>5.0999999999999997E-2</v>
      </c>
      <c r="D10" s="71">
        <v>5.7000000000000002E-2</v>
      </c>
      <c r="E10" s="71">
        <v>9.9000000000000005E-2</v>
      </c>
      <c r="F10" s="71">
        <v>5.0000000000000001E-3</v>
      </c>
      <c r="G10" s="71">
        <v>5.8999999999999997E-2</v>
      </c>
      <c r="H10" s="71">
        <v>334</v>
      </c>
      <c r="I10" s="71">
        <v>0</v>
      </c>
      <c r="J10" s="71">
        <v>0</v>
      </c>
    </row>
    <row r="11" spans="1:14" x14ac:dyDescent="0.25">
      <c r="A11" s="71" t="s">
        <v>50</v>
      </c>
      <c r="B11" s="71" t="s">
        <v>48</v>
      </c>
      <c r="C11" s="71">
        <v>0.158</v>
      </c>
      <c r="D11" s="71">
        <v>0.26800000000000002</v>
      </c>
      <c r="E11" s="71">
        <v>1.7490000000000001</v>
      </c>
      <c r="F11" s="71">
        <v>0.23499999999999999</v>
      </c>
      <c r="G11" s="71">
        <v>0.36</v>
      </c>
      <c r="H11" s="71">
        <v>212</v>
      </c>
      <c r="I11" s="71">
        <v>0</v>
      </c>
      <c r="J11" s="71">
        <v>0</v>
      </c>
    </row>
    <row r="12" spans="1:14" x14ac:dyDescent="0.25">
      <c r="A12" s="71" t="s">
        <v>51</v>
      </c>
      <c r="B12" s="71" t="s">
        <v>48</v>
      </c>
      <c r="C12" s="71">
        <v>5.1999999999999998E-2</v>
      </c>
      <c r="D12" s="71">
        <v>6.3E-2</v>
      </c>
      <c r="E12" s="71">
        <v>1.1890000000000001</v>
      </c>
      <c r="F12" s="71">
        <v>8.1000000000000003E-2</v>
      </c>
      <c r="G12" s="71">
        <v>5.8999999999999997E-2</v>
      </c>
      <c r="H12" s="71">
        <v>413</v>
      </c>
      <c r="I12" s="71">
        <v>0</v>
      </c>
      <c r="J12" s="71">
        <v>0</v>
      </c>
    </row>
    <row r="13" spans="1:14" x14ac:dyDescent="0.25">
      <c r="A13" s="71" t="s">
        <v>52</v>
      </c>
      <c r="B13" s="71" t="s">
        <v>48</v>
      </c>
      <c r="C13" s="71">
        <v>0.09</v>
      </c>
      <c r="D13" s="71">
        <v>0.16800000000000001</v>
      </c>
      <c r="E13" s="71">
        <v>2.323</v>
      </c>
      <c r="F13" s="71">
        <v>0.27500000000000002</v>
      </c>
      <c r="G13" s="71">
        <v>0.17499999999999999</v>
      </c>
      <c r="H13" s="71">
        <v>567</v>
      </c>
      <c r="I13" s="71">
        <v>0</v>
      </c>
      <c r="J13" s="71">
        <v>0</v>
      </c>
    </row>
    <row r="14" spans="1:14" x14ac:dyDescent="0.25">
      <c r="A14" s="71" t="s">
        <v>53</v>
      </c>
      <c r="B14" s="71" t="s">
        <v>48</v>
      </c>
      <c r="C14" s="71">
        <v>8.3000000000000004E-2</v>
      </c>
      <c r="D14" s="71">
        <v>0.113</v>
      </c>
      <c r="E14" s="71">
        <v>1.4430000000000001</v>
      </c>
      <c r="F14" s="71">
        <v>0.126</v>
      </c>
      <c r="G14" s="71">
        <v>9.8000000000000004E-2</v>
      </c>
      <c r="H14" s="71">
        <v>563</v>
      </c>
      <c r="I14" s="71">
        <v>0</v>
      </c>
      <c r="J14" s="71">
        <v>0</v>
      </c>
    </row>
    <row r="15" spans="1:14" x14ac:dyDescent="0.25">
      <c r="A15" s="71" t="s">
        <v>54</v>
      </c>
      <c r="B15" s="71" t="s">
        <v>48</v>
      </c>
      <c r="C15" s="71">
        <v>5.2999999999999999E-2</v>
      </c>
      <c r="D15" s="71">
        <v>8.1000000000000003E-2</v>
      </c>
      <c r="E15" s="71">
        <v>1.3340000000000001</v>
      </c>
      <c r="F15" s="71">
        <v>0.11700000000000001</v>
      </c>
      <c r="G15" s="71">
        <v>6.9000000000000006E-2</v>
      </c>
      <c r="H15" s="71">
        <v>232</v>
      </c>
      <c r="I15" s="71">
        <v>0</v>
      </c>
      <c r="J15" s="71">
        <v>0</v>
      </c>
    </row>
    <row r="18" spans="1:14" x14ac:dyDescent="0.25">
      <c r="A18" s="66" t="s">
        <v>72</v>
      </c>
      <c r="B18" s="66"/>
      <c r="C18" s="66"/>
      <c r="D18" s="66"/>
      <c r="E18" s="66"/>
    </row>
    <row r="19" spans="1:14" ht="35.25" customHeight="1" x14ac:dyDescent="0.25">
      <c r="A19" s="63" t="s">
        <v>61</v>
      </c>
      <c r="B19" s="63" t="s">
        <v>62</v>
      </c>
      <c r="C19" s="63" t="s">
        <v>63</v>
      </c>
      <c r="D19" s="63" t="s">
        <v>64</v>
      </c>
      <c r="E19" s="63" t="s">
        <v>65</v>
      </c>
    </row>
    <row r="20" spans="1:14" ht="19.5" thickBot="1" x14ac:dyDescent="0.3">
      <c r="A20" s="69" t="s">
        <v>15</v>
      </c>
      <c r="B20" s="67" t="s">
        <v>52</v>
      </c>
      <c r="C20" s="68">
        <f>Расчет!C29</f>
        <v>420.852614818132</v>
      </c>
      <c r="D20" s="68">
        <f>N2/131%*3</f>
        <v>432.82442748091597</v>
      </c>
      <c r="E20" s="74">
        <f>1-C20/D20</f>
        <v>2.7659743541881832E-2</v>
      </c>
    </row>
    <row r="21" spans="1:14" ht="38.25" thickBot="1" x14ac:dyDescent="0.3">
      <c r="A21" s="69" t="s">
        <v>16</v>
      </c>
      <c r="B21" s="67" t="s">
        <v>51</v>
      </c>
      <c r="C21" s="68">
        <f>Расчет!C30</f>
        <v>306.74603174603175</v>
      </c>
      <c r="D21" s="68">
        <f t="shared" ref="D21:D26" si="2">N3/131%*3</f>
        <v>315.26717557251902</v>
      </c>
      <c r="E21" s="74">
        <f t="shared" ref="E21:E26" si="3">1-C21/D21</f>
        <v>2.7028325454475421E-2</v>
      </c>
    </row>
    <row r="22" spans="1:14" ht="38.25" thickBot="1" x14ac:dyDescent="0.3">
      <c r="A22" s="69" t="s">
        <v>17</v>
      </c>
      <c r="B22" s="67" t="s">
        <v>49</v>
      </c>
      <c r="C22" s="68">
        <f>Расчет!C31</f>
        <v>249.60317460317461</v>
      </c>
      <c r="D22" s="68">
        <f t="shared" si="2"/>
        <v>254.96183206106869</v>
      </c>
      <c r="E22" s="74">
        <f t="shared" si="3"/>
        <v>2.1017488831860054E-2</v>
      </c>
    </row>
    <row r="23" spans="1:14" ht="19.5" thickBot="1" x14ac:dyDescent="0.3">
      <c r="A23" s="69" t="s">
        <v>18</v>
      </c>
      <c r="B23" s="67" t="s">
        <v>54</v>
      </c>
      <c r="C23" s="68">
        <f>Расчет!C32</f>
        <v>174.60317460317461</v>
      </c>
      <c r="D23" s="68">
        <f t="shared" si="2"/>
        <v>177.09923664122135</v>
      </c>
      <c r="E23" s="74">
        <f t="shared" si="3"/>
        <v>1.4094143404488113E-2</v>
      </c>
    </row>
    <row r="24" spans="1:14" ht="19.5" thickBot="1" x14ac:dyDescent="0.3">
      <c r="A24" s="69" t="s">
        <v>19</v>
      </c>
      <c r="B24" s="67" t="s">
        <v>50</v>
      </c>
      <c r="C24" s="68">
        <f>Расчет!C33</f>
        <v>158.44155844155847</v>
      </c>
      <c r="D24" s="68">
        <f t="shared" si="2"/>
        <v>161.8320610687023</v>
      </c>
      <c r="E24" s="74">
        <f t="shared" si="3"/>
        <v>2.0950747365841571E-2</v>
      </c>
    </row>
    <row r="25" spans="1:14" ht="38.25" thickBot="1" x14ac:dyDescent="0.3">
      <c r="A25" s="69" t="s">
        <v>20</v>
      </c>
      <c r="B25" s="67" t="s">
        <v>47</v>
      </c>
      <c r="C25" s="68">
        <f>Расчет!C34</f>
        <v>72.727272727272734</v>
      </c>
      <c r="D25" s="68">
        <f t="shared" si="2"/>
        <v>74.809160305343511</v>
      </c>
      <c r="E25" s="74">
        <f t="shared" si="3"/>
        <v>2.7829313543599188E-2</v>
      </c>
    </row>
    <row r="26" spans="1:14" ht="18.75" x14ac:dyDescent="0.25">
      <c r="A26" s="65" t="s">
        <v>21</v>
      </c>
      <c r="B26" s="67" t="s">
        <v>53</v>
      </c>
      <c r="C26" s="68">
        <f>Расчет!C35</f>
        <v>420.852614818132</v>
      </c>
      <c r="D26" s="68">
        <f t="shared" si="2"/>
        <v>429.7709923664122</v>
      </c>
      <c r="E26" s="74">
        <f t="shared" si="3"/>
        <v>2.075146463276567E-2</v>
      </c>
    </row>
    <row r="29" spans="1:14" ht="45" x14ac:dyDescent="0.25">
      <c r="A29" s="70" t="s">
        <v>73</v>
      </c>
      <c r="B29" s="62" t="s">
        <v>67</v>
      </c>
      <c r="L29" s="63" t="s">
        <v>74</v>
      </c>
      <c r="M29" s="63" t="s">
        <v>69</v>
      </c>
      <c r="N29" s="63" t="s">
        <v>68</v>
      </c>
    </row>
    <row r="30" spans="1:14" x14ac:dyDescent="0.25">
      <c r="A30" s="75" t="s">
        <v>37</v>
      </c>
      <c r="B30" s="75" t="s">
        <v>38</v>
      </c>
      <c r="C30" s="75" t="s">
        <v>39</v>
      </c>
      <c r="D30" s="75" t="s">
        <v>40</v>
      </c>
      <c r="E30" s="75" t="s">
        <v>41</v>
      </c>
      <c r="F30" s="75" t="s">
        <v>42</v>
      </c>
      <c r="G30" s="75" t="s">
        <v>43</v>
      </c>
      <c r="H30" s="75" t="s">
        <v>44</v>
      </c>
      <c r="I30" s="75" t="s">
        <v>45</v>
      </c>
      <c r="J30" s="75" t="s">
        <v>46</v>
      </c>
      <c r="L30" s="67" t="s">
        <v>52</v>
      </c>
      <c r="M30" s="73">
        <f>VLOOKUP(L30,A30:J43,8)</f>
        <v>1689</v>
      </c>
      <c r="N30" s="72">
        <f>M30/3</f>
        <v>563</v>
      </c>
    </row>
    <row r="31" spans="1:14" x14ac:dyDescent="0.25">
      <c r="A31" s="75" t="s">
        <v>55</v>
      </c>
      <c r="B31" s="75" t="s">
        <v>48</v>
      </c>
      <c r="C31" s="75">
        <v>0.69899999999999995</v>
      </c>
      <c r="D31" s="75">
        <v>0.83199999999999996</v>
      </c>
      <c r="E31" s="75">
        <v>2.9460000000000002</v>
      </c>
      <c r="F31" s="75">
        <v>0.221</v>
      </c>
      <c r="G31" s="75">
        <v>0.94399999999999995</v>
      </c>
      <c r="H31" s="75">
        <v>342</v>
      </c>
      <c r="I31" s="75">
        <v>0</v>
      </c>
      <c r="J31" s="75">
        <v>0</v>
      </c>
      <c r="L31" s="67" t="s">
        <v>51</v>
      </c>
      <c r="M31" s="73">
        <f t="shared" ref="M31:M36" si="4">VLOOKUP(L31,A31:J44,8)</f>
        <v>1232</v>
      </c>
      <c r="N31" s="72">
        <f t="shared" ref="N31:N36" si="5">M31/3</f>
        <v>410.66666666666669</v>
      </c>
    </row>
    <row r="32" spans="1:14" x14ac:dyDescent="0.25">
      <c r="A32" s="75" t="s">
        <v>56</v>
      </c>
      <c r="B32" s="75" t="s">
        <v>48</v>
      </c>
      <c r="C32" s="75">
        <v>0.41499999999999998</v>
      </c>
      <c r="D32" s="75">
        <v>0.54600000000000004</v>
      </c>
      <c r="E32" s="75">
        <v>1.58</v>
      </c>
      <c r="F32" s="75">
        <v>0.26</v>
      </c>
      <c r="G32" s="75">
        <v>0.94199999999999995</v>
      </c>
      <c r="H32" s="75">
        <v>236</v>
      </c>
      <c r="I32" s="75">
        <v>0</v>
      </c>
      <c r="J32" s="75">
        <v>0</v>
      </c>
      <c r="L32" s="67" t="s">
        <v>49</v>
      </c>
      <c r="M32" s="73">
        <f t="shared" si="4"/>
        <v>998</v>
      </c>
      <c r="N32" s="72">
        <f t="shared" si="5"/>
        <v>332.66666666666669</v>
      </c>
    </row>
    <row r="33" spans="1:14" x14ac:dyDescent="0.25">
      <c r="A33" s="75" t="s">
        <v>57</v>
      </c>
      <c r="B33" s="75" t="s">
        <v>48</v>
      </c>
      <c r="C33" s="75">
        <v>0.64</v>
      </c>
      <c r="D33" s="75">
        <v>0.89600000000000002</v>
      </c>
      <c r="E33" s="75">
        <v>2.9540000000000002</v>
      </c>
      <c r="F33" s="75">
        <v>0.246</v>
      </c>
      <c r="G33" s="75">
        <v>1.27</v>
      </c>
      <c r="H33" s="75">
        <v>292</v>
      </c>
      <c r="I33" s="75">
        <v>0</v>
      </c>
      <c r="J33" s="75">
        <v>0</v>
      </c>
      <c r="L33" s="67" t="s">
        <v>54</v>
      </c>
      <c r="M33" s="73">
        <f t="shared" si="4"/>
        <v>697</v>
      </c>
      <c r="N33" s="72">
        <f t="shared" si="5"/>
        <v>232.33333333333334</v>
      </c>
    </row>
    <row r="34" spans="1:14" x14ac:dyDescent="0.25">
      <c r="A34" s="75" t="s">
        <v>58</v>
      </c>
      <c r="B34" s="75" t="s">
        <v>48</v>
      </c>
      <c r="C34" s="75">
        <v>0.52800000000000002</v>
      </c>
      <c r="D34" s="75">
        <v>0.60499999999999998</v>
      </c>
      <c r="E34" s="75">
        <v>2.226</v>
      </c>
      <c r="F34" s="75">
        <v>0.19600000000000001</v>
      </c>
      <c r="G34" s="75">
        <v>0.71099999999999997</v>
      </c>
      <c r="H34" s="75">
        <v>354</v>
      </c>
      <c r="I34" s="75">
        <v>0</v>
      </c>
      <c r="J34" s="75">
        <v>0</v>
      </c>
      <c r="L34" s="67" t="s">
        <v>50</v>
      </c>
      <c r="M34" s="73">
        <f t="shared" si="4"/>
        <v>634</v>
      </c>
      <c r="N34" s="72">
        <f t="shared" si="5"/>
        <v>211.33333333333334</v>
      </c>
    </row>
    <row r="35" spans="1:14" x14ac:dyDescent="0.25">
      <c r="A35" s="75" t="s">
        <v>59</v>
      </c>
      <c r="B35" s="75" t="s">
        <v>48</v>
      </c>
      <c r="C35" s="75">
        <v>0.47</v>
      </c>
      <c r="D35" s="75">
        <v>0.54100000000000004</v>
      </c>
      <c r="E35" s="75">
        <v>2.7309999999999999</v>
      </c>
      <c r="F35" s="75">
        <v>0.20499999999999999</v>
      </c>
      <c r="G35" s="75">
        <v>0.59099999999999997</v>
      </c>
      <c r="H35" s="75">
        <v>300</v>
      </c>
      <c r="I35" s="75">
        <v>0</v>
      </c>
      <c r="J35" s="75">
        <v>0</v>
      </c>
      <c r="L35" s="67" t="s">
        <v>47</v>
      </c>
      <c r="M35" s="73">
        <f t="shared" si="4"/>
        <v>291</v>
      </c>
      <c r="N35" s="72">
        <f t="shared" si="5"/>
        <v>97</v>
      </c>
    </row>
    <row r="36" spans="1:14" x14ac:dyDescent="0.25">
      <c r="A36" s="75" t="s">
        <v>60</v>
      </c>
      <c r="B36" s="75" t="s">
        <v>48</v>
      </c>
      <c r="C36" s="75">
        <v>0.26600000000000001</v>
      </c>
      <c r="D36" s="75">
        <v>0.30599999999999999</v>
      </c>
      <c r="E36" s="75">
        <v>1.3120000000000001</v>
      </c>
      <c r="F36" s="75">
        <v>0.13400000000000001</v>
      </c>
      <c r="G36" s="75">
        <v>0.316</v>
      </c>
      <c r="H36" s="75">
        <v>166</v>
      </c>
      <c r="I36" s="75">
        <v>0</v>
      </c>
      <c r="J36" s="75">
        <v>0</v>
      </c>
      <c r="L36" s="67" t="s">
        <v>53</v>
      </c>
      <c r="M36" s="73">
        <f t="shared" si="4"/>
        <v>1690</v>
      </c>
      <c r="N36" s="72">
        <f t="shared" si="5"/>
        <v>563.33333333333337</v>
      </c>
    </row>
    <row r="37" spans="1:14" ht="33" customHeight="1" x14ac:dyDescent="0.25">
      <c r="A37" s="75" t="s">
        <v>47</v>
      </c>
      <c r="B37" s="75" t="s">
        <v>48</v>
      </c>
      <c r="C37" s="75">
        <v>0.183</v>
      </c>
      <c r="D37" s="75">
        <v>0.35399999999999998</v>
      </c>
      <c r="E37" s="75">
        <v>1.121</v>
      </c>
      <c r="F37" s="75">
        <v>0.11799999999999999</v>
      </c>
      <c r="G37" s="75">
        <v>0.438</v>
      </c>
      <c r="H37" s="75">
        <v>291</v>
      </c>
      <c r="I37" s="75">
        <v>0</v>
      </c>
      <c r="J37" s="75">
        <v>0</v>
      </c>
    </row>
    <row r="38" spans="1:14" x14ac:dyDescent="0.25">
      <c r="A38" s="75" t="s">
        <v>49</v>
      </c>
      <c r="B38" s="75" t="s">
        <v>48</v>
      </c>
      <c r="C38" s="75">
        <v>5.1999999999999998E-2</v>
      </c>
      <c r="D38" s="75">
        <v>5.7000000000000002E-2</v>
      </c>
      <c r="E38" s="75">
        <v>0.29499999999999998</v>
      </c>
      <c r="F38" s="75">
        <v>1.2E-2</v>
      </c>
      <c r="G38" s="75">
        <v>5.8999999999999997E-2</v>
      </c>
      <c r="H38" s="75">
        <v>998</v>
      </c>
      <c r="I38" s="75">
        <v>0</v>
      </c>
      <c r="J38" s="75">
        <v>0</v>
      </c>
    </row>
    <row r="39" spans="1:14" x14ac:dyDescent="0.25">
      <c r="A39" s="75" t="s">
        <v>50</v>
      </c>
      <c r="B39" s="75" t="s">
        <v>48</v>
      </c>
      <c r="C39" s="75">
        <v>0.16200000000000001</v>
      </c>
      <c r="D39" s="75">
        <v>0.22800000000000001</v>
      </c>
      <c r="E39" s="75">
        <v>1.044</v>
      </c>
      <c r="F39" s="75">
        <v>8.1000000000000003E-2</v>
      </c>
      <c r="G39" s="75">
        <v>0.34200000000000003</v>
      </c>
      <c r="H39" s="75">
        <v>634</v>
      </c>
      <c r="I39" s="75">
        <v>0</v>
      </c>
      <c r="J39" s="75">
        <v>0</v>
      </c>
    </row>
    <row r="40" spans="1:14" x14ac:dyDescent="0.25">
      <c r="A40" s="75" t="s">
        <v>51</v>
      </c>
      <c r="B40" s="75" t="s">
        <v>48</v>
      </c>
      <c r="C40" s="75">
        <v>5.0999999999999997E-2</v>
      </c>
      <c r="D40" s="75">
        <v>5.7000000000000002E-2</v>
      </c>
      <c r="E40" s="75">
        <v>0.33</v>
      </c>
      <c r="F40" s="75">
        <v>1.6E-2</v>
      </c>
      <c r="G40" s="75">
        <v>5.8000000000000003E-2</v>
      </c>
      <c r="H40" s="76">
        <v>1232</v>
      </c>
      <c r="I40" s="75">
        <v>0</v>
      </c>
      <c r="J40" s="75">
        <v>0</v>
      </c>
    </row>
    <row r="41" spans="1:14" x14ac:dyDescent="0.25">
      <c r="A41" s="75" t="s">
        <v>52</v>
      </c>
      <c r="B41" s="75" t="s">
        <v>48</v>
      </c>
      <c r="C41" s="75">
        <v>8.8999999999999996E-2</v>
      </c>
      <c r="D41" s="75">
        <v>0.11899999999999999</v>
      </c>
      <c r="E41" s="75">
        <v>2.3359999999999999</v>
      </c>
      <c r="F41" s="75">
        <v>0.13</v>
      </c>
      <c r="G41" s="75">
        <v>0.11600000000000001</v>
      </c>
      <c r="H41" s="76">
        <v>1689</v>
      </c>
      <c r="I41" s="75">
        <v>0</v>
      </c>
      <c r="J41" s="75">
        <v>0</v>
      </c>
    </row>
    <row r="42" spans="1:14" x14ac:dyDescent="0.25">
      <c r="A42" s="75" t="s">
        <v>53</v>
      </c>
      <c r="B42" s="75" t="s">
        <v>48</v>
      </c>
      <c r="C42" s="75">
        <v>8.2000000000000003E-2</v>
      </c>
      <c r="D42" s="75">
        <v>9.5000000000000001E-2</v>
      </c>
      <c r="E42" s="75">
        <v>0.85399999999999998</v>
      </c>
      <c r="F42" s="75">
        <v>5.5E-2</v>
      </c>
      <c r="G42" s="75">
        <v>9.4E-2</v>
      </c>
      <c r="H42" s="76">
        <v>1690</v>
      </c>
      <c r="I42" s="75">
        <v>0</v>
      </c>
      <c r="J42" s="75">
        <v>0</v>
      </c>
    </row>
    <row r="43" spans="1:14" x14ac:dyDescent="0.25">
      <c r="A43" s="75" t="s">
        <v>54</v>
      </c>
      <c r="B43" s="75" t="s">
        <v>48</v>
      </c>
      <c r="C43" s="75">
        <v>5.2999999999999999E-2</v>
      </c>
      <c r="D43" s="75">
        <v>7.1999999999999995E-2</v>
      </c>
      <c r="E43" s="75">
        <v>1.738</v>
      </c>
      <c r="F43" s="75">
        <v>0.108</v>
      </c>
      <c r="G43" s="75">
        <v>6.5000000000000002E-2</v>
      </c>
      <c r="H43" s="75">
        <v>697</v>
      </c>
      <c r="I43" s="75">
        <v>0</v>
      </c>
      <c r="J43" s="75">
        <v>0</v>
      </c>
    </row>
    <row r="46" spans="1:14" x14ac:dyDescent="0.25">
      <c r="A46" s="66" t="s">
        <v>72</v>
      </c>
      <c r="B46" s="66"/>
      <c r="C46" s="66"/>
      <c r="D46" s="66"/>
      <c r="E46" s="66"/>
    </row>
    <row r="47" spans="1:14" ht="30" x14ac:dyDescent="0.25">
      <c r="A47" s="63" t="s">
        <v>61</v>
      </c>
      <c r="B47" s="63" t="s">
        <v>62</v>
      </c>
      <c r="C47" s="63" t="s">
        <v>63</v>
      </c>
      <c r="D47" s="63" t="s">
        <v>64</v>
      </c>
      <c r="E47" s="63" t="s">
        <v>65</v>
      </c>
    </row>
    <row r="48" spans="1:14" ht="19.5" thickBot="1" x14ac:dyDescent="0.3">
      <c r="A48" s="69" t="s">
        <v>15</v>
      </c>
      <c r="B48" s="67" t="s">
        <v>52</v>
      </c>
      <c r="C48" s="68">
        <f>Расчет!C29</f>
        <v>420.852614818132</v>
      </c>
      <c r="D48" s="68">
        <f>N30/131%</f>
        <v>429.7709923664122</v>
      </c>
      <c r="E48" s="74">
        <f>1-C48/D48</f>
        <v>2.075146463276567E-2</v>
      </c>
    </row>
    <row r="49" spans="1:5" ht="38.25" thickBot="1" x14ac:dyDescent="0.3">
      <c r="A49" s="69" t="s">
        <v>16</v>
      </c>
      <c r="B49" s="67" t="s">
        <v>51</v>
      </c>
      <c r="C49" s="68">
        <f>Расчет!C30</f>
        <v>306.74603174603175</v>
      </c>
      <c r="D49" s="68">
        <f t="shared" ref="D49:D54" si="6">N31/131%</f>
        <v>313.48600508905855</v>
      </c>
      <c r="E49" s="74">
        <f t="shared" ref="E49:E54" si="7">1-C49/D49</f>
        <v>2.1500077303648779E-2</v>
      </c>
    </row>
    <row r="50" spans="1:5" ht="38.25" thickBot="1" x14ac:dyDescent="0.3">
      <c r="A50" s="69" t="s">
        <v>17</v>
      </c>
      <c r="B50" s="67" t="s">
        <v>49</v>
      </c>
      <c r="C50" s="68">
        <f>Расчет!C31</f>
        <v>249.60317460317461</v>
      </c>
      <c r="D50" s="68">
        <f t="shared" si="6"/>
        <v>253.94402035623409</v>
      </c>
      <c r="E50" s="74">
        <f t="shared" si="7"/>
        <v>1.7093711231987774E-2</v>
      </c>
    </row>
    <row r="51" spans="1:5" ht="19.5" thickBot="1" x14ac:dyDescent="0.3">
      <c r="A51" s="69" t="s">
        <v>18</v>
      </c>
      <c r="B51" s="67" t="s">
        <v>54</v>
      </c>
      <c r="C51" s="68">
        <f>Расчет!C32</f>
        <v>174.60317460317461</v>
      </c>
      <c r="D51" s="68">
        <f t="shared" si="6"/>
        <v>177.35368956743002</v>
      </c>
      <c r="E51" s="74">
        <f t="shared" si="7"/>
        <v>1.5508642481382728E-2</v>
      </c>
    </row>
    <row r="52" spans="1:5" ht="19.5" thickBot="1" x14ac:dyDescent="0.3">
      <c r="A52" s="69" t="s">
        <v>19</v>
      </c>
      <c r="B52" s="67" t="s">
        <v>50</v>
      </c>
      <c r="C52" s="68">
        <f>Расчет!C33</f>
        <v>158.44155844155847</v>
      </c>
      <c r="D52" s="68">
        <f t="shared" si="6"/>
        <v>161.32315521628499</v>
      </c>
      <c r="E52" s="74">
        <f t="shared" si="7"/>
        <v>1.7862263919046106E-2</v>
      </c>
    </row>
    <row r="53" spans="1:5" ht="38.25" thickBot="1" x14ac:dyDescent="0.3">
      <c r="A53" s="69" t="s">
        <v>20</v>
      </c>
      <c r="B53" s="67" t="s">
        <v>47</v>
      </c>
      <c r="C53" s="68">
        <f>Расчет!C34</f>
        <v>72.727272727272734</v>
      </c>
      <c r="D53" s="68">
        <f t="shared" si="6"/>
        <v>74.045801526717554</v>
      </c>
      <c r="E53" s="74">
        <f t="shared" si="7"/>
        <v>1.7806935332708385E-2</v>
      </c>
    </row>
    <row r="54" spans="1:5" ht="18.75" x14ac:dyDescent="0.25">
      <c r="A54" s="65" t="s">
        <v>21</v>
      </c>
      <c r="B54" s="67" t="s">
        <v>53</v>
      </c>
      <c r="C54" s="68">
        <f>Расчет!C35</f>
        <v>420.852614818132</v>
      </c>
      <c r="D54" s="68">
        <f t="shared" si="6"/>
        <v>430.02544529262087</v>
      </c>
      <c r="E54" s="74">
        <f t="shared" si="7"/>
        <v>2.1330901635941535E-2</v>
      </c>
    </row>
  </sheetData>
  <mergeCells count="2">
    <mergeCell ref="A18:E18"/>
    <mergeCell ref="A46:E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Соответствие профилю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2020-09-17T10:29:19Z</dcterms:created>
  <dcterms:modified xsi:type="dcterms:W3CDTF">2020-09-27T14:18:45Z</dcterms:modified>
</cp:coreProperties>
</file>