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Klu\Box Sync\LRCFS\A_Projects\PublicExt_Consultancy\JaneOfficerSPA\OutputWork\Alexandra\"/>
    </mc:Choice>
  </mc:AlternateContent>
  <bookViews>
    <workbookView xWindow="0" yWindow="0" windowWidth="22728" windowHeight="9396" tabRatio="827" activeTab="5"/>
  </bookViews>
  <sheets>
    <sheet name="Summary" sheetId="2" r:id="rId1"/>
    <sheet name="Note" sheetId="16" r:id="rId2"/>
    <sheet name="Raw Data" sheetId="1" r:id="rId3"/>
    <sheet name="Precision Uncertainty" sheetId="3" r:id="rId4"/>
    <sheet name="Std Solution &amp; Spike Prep" sheetId="4" r:id="rId5"/>
    <sheet name="Calibration and Measurement" sheetId="12" r:id="rId6"/>
    <sheet name="Combined UM" sheetId="13" r:id="rId7"/>
    <sheet name="Effective DF" sheetId="14" r:id="rId8"/>
    <sheet name="Expanded UM" sheetId="15" r:id="rId9"/>
  </sheets>
  <externalReferences>
    <externalReference r:id="rId10"/>
    <externalReference r:id="rId11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" i="12" l="1"/>
  <c r="J74" i="12" l="1"/>
  <c r="F74" i="12"/>
  <c r="B74" i="12"/>
  <c r="J93" i="12"/>
  <c r="F93" i="12"/>
  <c r="B93" i="12"/>
  <c r="J36" i="12" l="1"/>
  <c r="N36" i="12" s="1"/>
  <c r="O36" i="12" s="1"/>
  <c r="L77" i="12" s="1"/>
  <c r="J35" i="12"/>
  <c r="N35" i="12" s="1"/>
  <c r="O35" i="12" s="1"/>
  <c r="H77" i="12" s="1"/>
  <c r="J34" i="12"/>
  <c r="N34" i="12" s="1"/>
  <c r="O34" i="12" s="1"/>
  <c r="D77" i="12" s="1"/>
  <c r="J79" i="12" l="1"/>
  <c r="F79" i="12"/>
  <c r="F83" i="12"/>
  <c r="J81" i="12"/>
  <c r="K83" i="12" s="1"/>
  <c r="B82" i="12"/>
  <c r="B83" i="12"/>
  <c r="F81" i="12"/>
  <c r="G83" i="12" s="1"/>
  <c r="J82" i="12"/>
  <c r="B79" i="12"/>
  <c r="B81" i="12"/>
  <c r="C83" i="12" s="1"/>
  <c r="F82" i="12"/>
  <c r="J83" i="12"/>
  <c r="O6" i="1"/>
  <c r="E157" i="4" l="1"/>
  <c r="E156" i="4" l="1"/>
  <c r="E155" i="4"/>
  <c r="E153" i="4"/>
  <c r="E145" i="4"/>
  <c r="H129" i="4"/>
  <c r="H128" i="4"/>
  <c r="L67" i="4"/>
  <c r="H119" i="4"/>
  <c r="H120" i="4"/>
  <c r="B133" i="4" l="1"/>
  <c r="Y28" i="1" l="1"/>
  <c r="Y26" i="1"/>
  <c r="G45" i="3" s="1"/>
  <c r="W28" i="1"/>
  <c r="W26" i="1"/>
  <c r="U28" i="1"/>
  <c r="U26" i="1"/>
  <c r="S28" i="1"/>
  <c r="S26" i="1"/>
  <c r="Q28" i="1"/>
  <c r="Q26" i="1"/>
  <c r="G41" i="3" s="1"/>
  <c r="O28" i="1"/>
  <c r="O26" i="1"/>
  <c r="M28" i="1"/>
  <c r="M26" i="1"/>
  <c r="K28" i="1"/>
  <c r="K26" i="1"/>
  <c r="I28" i="1"/>
  <c r="I26" i="1"/>
  <c r="G28" i="1"/>
  <c r="G26" i="1"/>
  <c r="E28" i="1"/>
  <c r="E26" i="1"/>
  <c r="Y18" i="1"/>
  <c r="Y16" i="1"/>
  <c r="W18" i="1"/>
  <c r="W16" i="1"/>
  <c r="W21" i="1" s="1"/>
  <c r="U18" i="1"/>
  <c r="U16" i="1"/>
  <c r="S18" i="1"/>
  <c r="S16" i="1"/>
  <c r="Q18" i="1"/>
  <c r="Q16" i="1"/>
  <c r="O18" i="1"/>
  <c r="O16" i="1"/>
  <c r="M18" i="1"/>
  <c r="M16" i="1"/>
  <c r="K18" i="1"/>
  <c r="K16" i="1"/>
  <c r="K21" i="1" s="1"/>
  <c r="I18" i="1"/>
  <c r="I16" i="1"/>
  <c r="G18" i="1"/>
  <c r="G16" i="1"/>
  <c r="E18" i="1"/>
  <c r="E16" i="1"/>
  <c r="Y8" i="1"/>
  <c r="Y6" i="1"/>
  <c r="W8" i="1"/>
  <c r="W6" i="1"/>
  <c r="U8" i="1"/>
  <c r="U6" i="1"/>
  <c r="S8" i="1"/>
  <c r="S6" i="1"/>
  <c r="Q8" i="1"/>
  <c r="Q6" i="1"/>
  <c r="G11" i="3" s="1"/>
  <c r="O8" i="1"/>
  <c r="M8" i="1"/>
  <c r="M6" i="1"/>
  <c r="K8" i="1"/>
  <c r="K6" i="1"/>
  <c r="I8" i="1"/>
  <c r="I6" i="1"/>
  <c r="G8" i="1"/>
  <c r="G6" i="1"/>
  <c r="E8" i="1"/>
  <c r="E6" i="1"/>
  <c r="O11" i="1" l="1"/>
  <c r="O10" i="1"/>
  <c r="E10" i="3" s="1"/>
  <c r="C38" i="1"/>
  <c r="G20" i="3"/>
  <c r="G31" i="1"/>
  <c r="F36" i="3" s="1"/>
  <c r="I11" i="1"/>
  <c r="F7" i="3" s="1"/>
  <c r="G7" i="3"/>
  <c r="S31" i="1"/>
  <c r="F42" i="3" s="1"/>
  <c r="U10" i="1"/>
  <c r="E13" i="3" s="1"/>
  <c r="G13" i="3"/>
  <c r="K10" i="1"/>
  <c r="E8" i="3" s="1"/>
  <c r="G8" i="3"/>
  <c r="E11" i="1"/>
  <c r="F5" i="3" s="1"/>
  <c r="G5" i="3"/>
  <c r="M10" i="1"/>
  <c r="E9" i="3" s="1"/>
  <c r="G9" i="3"/>
  <c r="Y10" i="1"/>
  <c r="E15" i="3" s="1"/>
  <c r="G15" i="3"/>
  <c r="G10" i="1"/>
  <c r="E6" i="3" s="1"/>
  <c r="G6" i="3"/>
  <c r="G10" i="3"/>
  <c r="S11" i="1"/>
  <c r="F12" i="3" s="1"/>
  <c r="G12" i="3"/>
  <c r="W10" i="1"/>
  <c r="E14" i="3" s="1"/>
  <c r="G14" i="3"/>
  <c r="U21" i="1"/>
  <c r="F28" i="3" s="1"/>
  <c r="Y31" i="1"/>
  <c r="F45" i="3" s="1"/>
  <c r="W30" i="1"/>
  <c r="E44" i="3" s="1"/>
  <c r="G44" i="3"/>
  <c r="U30" i="1"/>
  <c r="E43" i="3" s="1"/>
  <c r="G43" i="3"/>
  <c r="S30" i="1"/>
  <c r="E42" i="3" s="1"/>
  <c r="G42" i="3"/>
  <c r="Q31" i="1"/>
  <c r="F41" i="3" s="1"/>
  <c r="O30" i="1"/>
  <c r="E40" i="3" s="1"/>
  <c r="G40" i="3"/>
  <c r="M30" i="1"/>
  <c r="E39" i="3" s="1"/>
  <c r="G39" i="3"/>
  <c r="K30" i="1"/>
  <c r="E38" i="3" s="1"/>
  <c r="G38" i="3"/>
  <c r="I30" i="1"/>
  <c r="E37" i="3" s="1"/>
  <c r="G37" i="3"/>
  <c r="I31" i="1"/>
  <c r="G30" i="1"/>
  <c r="E36" i="3" s="1"/>
  <c r="G36" i="3"/>
  <c r="E30" i="1"/>
  <c r="E35" i="3" s="1"/>
  <c r="G35" i="3"/>
  <c r="Y20" i="1"/>
  <c r="E30" i="3" s="1"/>
  <c r="G30" i="3"/>
  <c r="W20" i="1"/>
  <c r="E29" i="3" s="1"/>
  <c r="G29" i="3"/>
  <c r="F29" i="3"/>
  <c r="U20" i="1"/>
  <c r="E28" i="3" s="1"/>
  <c r="G28" i="3"/>
  <c r="S20" i="1"/>
  <c r="E27" i="3" s="1"/>
  <c r="G27" i="3"/>
  <c r="Q20" i="1"/>
  <c r="E26" i="3" s="1"/>
  <c r="G26" i="3"/>
  <c r="O21" i="1"/>
  <c r="F25" i="3" s="1"/>
  <c r="G25" i="3"/>
  <c r="M21" i="1"/>
  <c r="F24" i="3" s="1"/>
  <c r="G24" i="3"/>
  <c r="F23" i="3"/>
  <c r="K20" i="1"/>
  <c r="E23" i="3" s="1"/>
  <c r="G23" i="3"/>
  <c r="I20" i="1"/>
  <c r="E22" i="3" s="1"/>
  <c r="G22" i="3"/>
  <c r="G20" i="1"/>
  <c r="E21" i="3" s="1"/>
  <c r="G21" i="3"/>
  <c r="E21" i="1"/>
  <c r="F20" i="3" s="1"/>
  <c r="W11" i="1"/>
  <c r="F14" i="3" s="1"/>
  <c r="Q10" i="1"/>
  <c r="E11" i="3" s="1"/>
  <c r="S21" i="1"/>
  <c r="Y21" i="1"/>
  <c r="F30" i="3" s="1"/>
  <c r="W31" i="1"/>
  <c r="U31" i="1"/>
  <c r="O31" i="1"/>
  <c r="M31" i="1"/>
  <c r="K31" i="1"/>
  <c r="E31" i="1"/>
  <c r="Q30" i="1"/>
  <c r="D40" i="1"/>
  <c r="C40" i="1"/>
  <c r="Q21" i="1"/>
  <c r="I21" i="1"/>
  <c r="G21" i="1"/>
  <c r="C39" i="1"/>
  <c r="D39" i="1"/>
  <c r="E20" i="1"/>
  <c r="Q11" i="1"/>
  <c r="F11" i="3" s="1"/>
  <c r="K11" i="1"/>
  <c r="F8" i="3" s="1"/>
  <c r="I10" i="1"/>
  <c r="E7" i="3" s="1"/>
  <c r="G11" i="1"/>
  <c r="F6" i="3" s="1"/>
  <c r="E10" i="1"/>
  <c r="D38" i="1"/>
  <c r="Y30" i="1"/>
  <c r="O20" i="1"/>
  <c r="M20" i="1"/>
  <c r="Y11" i="1"/>
  <c r="U11" i="1"/>
  <c r="S10" i="1"/>
  <c r="M11" i="1"/>
  <c r="H17" i="15"/>
  <c r="E17" i="15"/>
  <c r="B17" i="15"/>
  <c r="E2" i="15"/>
  <c r="O12" i="1" l="1"/>
  <c r="Y22" i="1"/>
  <c r="K12" i="1"/>
  <c r="G12" i="1"/>
  <c r="I12" i="1"/>
  <c r="Y12" i="1"/>
  <c r="F15" i="3"/>
  <c r="S12" i="1"/>
  <c r="E12" i="3"/>
  <c r="F10" i="3"/>
  <c r="H10" i="3" s="1"/>
  <c r="U12" i="1"/>
  <c r="F13" i="3"/>
  <c r="M12" i="1"/>
  <c r="F9" i="3"/>
  <c r="W12" i="1"/>
  <c r="E12" i="1"/>
  <c r="E5" i="3"/>
  <c r="Y32" i="1"/>
  <c r="E45" i="3"/>
  <c r="W32" i="1"/>
  <c r="F44" i="3"/>
  <c r="U32" i="1"/>
  <c r="F43" i="3"/>
  <c r="S32" i="1"/>
  <c r="Q32" i="1"/>
  <c r="E41" i="3"/>
  <c r="O32" i="1"/>
  <c r="F40" i="3"/>
  <c r="M32" i="1"/>
  <c r="F39" i="3"/>
  <c r="K32" i="1"/>
  <c r="F38" i="3"/>
  <c r="I32" i="1"/>
  <c r="F37" i="3"/>
  <c r="G32" i="1"/>
  <c r="E32" i="1"/>
  <c r="F35" i="3"/>
  <c r="W22" i="1"/>
  <c r="U22" i="1"/>
  <c r="S22" i="1"/>
  <c r="F27" i="3"/>
  <c r="Q22" i="1"/>
  <c r="F26" i="3"/>
  <c r="O22" i="1"/>
  <c r="E25" i="3"/>
  <c r="M22" i="1"/>
  <c r="E24" i="3"/>
  <c r="K22" i="1"/>
  <c r="I22" i="1"/>
  <c r="F22" i="3"/>
  <c r="G22" i="1"/>
  <c r="F21" i="3"/>
  <c r="E22" i="1"/>
  <c r="E20" i="3"/>
  <c r="Q12" i="1"/>
  <c r="G38" i="1"/>
  <c r="F43" i="14"/>
  <c r="F31" i="14"/>
  <c r="F19" i="14"/>
  <c r="F2" i="14"/>
  <c r="D38" i="13" l="1"/>
  <c r="D40" i="13" s="1"/>
  <c r="C37" i="13"/>
  <c r="D29" i="13"/>
  <c r="D31" i="13" s="1"/>
  <c r="C28" i="13"/>
  <c r="D20" i="13"/>
  <c r="D22" i="13" s="1"/>
  <c r="C19" i="13"/>
  <c r="E2" i="13"/>
  <c r="C4" i="12" l="1"/>
  <c r="D25" i="12" s="1"/>
  <c r="B17" i="12"/>
  <c r="C35" i="12" s="1"/>
  <c r="B16" i="12"/>
  <c r="C34" i="12" s="1"/>
  <c r="B15" i="12"/>
  <c r="C33" i="12" s="1"/>
  <c r="B14" i="12"/>
  <c r="C32" i="12" s="1"/>
  <c r="B13" i="12"/>
  <c r="C31" i="12" s="1"/>
  <c r="B12" i="12"/>
  <c r="C30" i="12" s="1"/>
  <c r="B11" i="12"/>
  <c r="B10" i="12"/>
  <c r="D2" i="12"/>
  <c r="C25" i="12"/>
  <c r="B4" i="12" s="1"/>
  <c r="C7" i="12"/>
  <c r="B7" i="12"/>
  <c r="C219" i="12" l="1"/>
  <c r="L198" i="12"/>
  <c r="C198" i="12"/>
  <c r="C29" i="12"/>
  <c r="E29" i="12" s="1"/>
  <c r="L156" i="12"/>
  <c r="C156" i="12"/>
  <c r="L136" i="12"/>
  <c r="L177" i="12"/>
  <c r="C177" i="12"/>
  <c r="L115" i="12"/>
  <c r="C136" i="12"/>
  <c r="C28" i="12"/>
  <c r="C51" i="12" s="1"/>
  <c r="C115" i="12"/>
  <c r="E32" i="12"/>
  <c r="E33" i="12"/>
  <c r="E30" i="12"/>
  <c r="E34" i="12"/>
  <c r="E31" i="12"/>
  <c r="E35" i="12"/>
  <c r="F96" i="12"/>
  <c r="J96" i="12"/>
  <c r="B96" i="12"/>
  <c r="F34" i="12" l="1"/>
  <c r="H34" i="12"/>
  <c r="F32" i="12"/>
  <c r="H32" i="12"/>
  <c r="J28" i="12"/>
  <c r="K28" i="12" s="1"/>
  <c r="K22" i="14" s="1"/>
  <c r="F30" i="12"/>
  <c r="H30" i="12"/>
  <c r="E28" i="12"/>
  <c r="H35" i="12"/>
  <c r="F33" i="12"/>
  <c r="H33" i="12"/>
  <c r="F31" i="12"/>
  <c r="H31" i="12"/>
  <c r="F29" i="12"/>
  <c r="H29" i="12"/>
  <c r="F35" i="12"/>
  <c r="D78" i="12"/>
  <c r="R121" i="12" a="1"/>
  <c r="I204" i="12" a="1"/>
  <c r="R204" i="12" a="1"/>
  <c r="R162" i="12" a="1"/>
  <c r="I142" i="12" a="1"/>
  <c r="I162" i="12" a="1"/>
  <c r="R183" i="12" a="1"/>
  <c r="I225" i="12" a="1"/>
  <c r="R142" i="12" a="1"/>
  <c r="I121" i="12" a="1"/>
  <c r="I183" i="12" a="1"/>
  <c r="I57" i="12" a="1"/>
  <c r="I57" i="12" l="1"/>
  <c r="R204" i="12"/>
  <c r="I225" i="12"/>
  <c r="I204" i="12"/>
  <c r="I183" i="12"/>
  <c r="R142" i="12"/>
  <c r="R162" i="12"/>
  <c r="R183" i="12"/>
  <c r="I162" i="12"/>
  <c r="R121" i="12"/>
  <c r="I142" i="12"/>
  <c r="I121" i="12"/>
  <c r="K34" i="14"/>
  <c r="F28" i="12"/>
  <c r="O28" i="12" s="1"/>
  <c r="H28" i="12"/>
  <c r="H37" i="12" s="1"/>
  <c r="H78" i="12"/>
  <c r="K46" i="14"/>
  <c r="L78" i="12"/>
  <c r="P58" i="1"/>
  <c r="M9" i="12" s="1"/>
  <c r="O58" i="1"/>
  <c r="M8" i="12" s="1"/>
  <c r="M58" i="1"/>
  <c r="L9" i="12" s="1"/>
  <c r="L58" i="1"/>
  <c r="L8" i="12" s="1"/>
  <c r="J58" i="1"/>
  <c r="K9" i="12" s="1"/>
  <c r="I58" i="1"/>
  <c r="K8" i="12" s="1"/>
  <c r="G58" i="1"/>
  <c r="J9" i="12" s="1"/>
  <c r="F58" i="1"/>
  <c r="J8" i="12" s="1"/>
  <c r="D58" i="1"/>
  <c r="I9" i="12" s="1"/>
  <c r="C58" i="1"/>
  <c r="I8" i="12" s="1"/>
  <c r="S46" i="1"/>
  <c r="H9" i="12" s="1"/>
  <c r="R46" i="1"/>
  <c r="H8" i="12" s="1"/>
  <c r="P46" i="1"/>
  <c r="G9" i="12" s="1"/>
  <c r="O46" i="1"/>
  <c r="G8" i="12" s="1"/>
  <c r="M46" i="1"/>
  <c r="F9" i="12" s="1"/>
  <c r="L46" i="1"/>
  <c r="F8" i="12" s="1"/>
  <c r="J46" i="1"/>
  <c r="E9" i="12" s="1"/>
  <c r="I46" i="1"/>
  <c r="E8" i="12" s="1"/>
  <c r="G46" i="1"/>
  <c r="D9" i="12" s="1"/>
  <c r="F46" i="1"/>
  <c r="D8" i="12" s="1"/>
  <c r="D46" i="1"/>
  <c r="C9" i="12" s="1"/>
  <c r="C46" i="1"/>
  <c r="C8" i="12" s="1"/>
  <c r="K68" i="1"/>
  <c r="K17" i="12" s="1"/>
  <c r="K67" i="1"/>
  <c r="K16" i="12" s="1"/>
  <c r="K66" i="1"/>
  <c r="K15" i="12" s="1"/>
  <c r="K65" i="1"/>
  <c r="K14" i="12" s="1"/>
  <c r="K64" i="1"/>
  <c r="K13" i="12" s="1"/>
  <c r="K63" i="1"/>
  <c r="K12" i="12" s="1"/>
  <c r="K62" i="1"/>
  <c r="K11" i="12" s="1"/>
  <c r="K61" i="1"/>
  <c r="K10" i="12" s="1"/>
  <c r="Q59" i="1"/>
  <c r="N59" i="1"/>
  <c r="K59" i="1"/>
  <c r="H59" i="1"/>
  <c r="E59" i="1"/>
  <c r="K56" i="1"/>
  <c r="E17" i="12" s="1"/>
  <c r="K55" i="1"/>
  <c r="E16" i="12" s="1"/>
  <c r="B55" i="1"/>
  <c r="K54" i="1"/>
  <c r="E15" i="12" s="1"/>
  <c r="K53" i="1"/>
  <c r="E14" i="12" s="1"/>
  <c r="K52" i="1"/>
  <c r="E13" i="12" s="1"/>
  <c r="K51" i="1"/>
  <c r="E12" i="12" s="1"/>
  <c r="K50" i="1"/>
  <c r="E11" i="12" s="1"/>
  <c r="K49" i="1"/>
  <c r="E10" i="12" s="1"/>
  <c r="T47" i="1"/>
  <c r="Q47" i="1"/>
  <c r="N47" i="1"/>
  <c r="K47" i="1"/>
  <c r="H47" i="1"/>
  <c r="E47" i="1"/>
  <c r="N25" i="1"/>
  <c r="N24" i="1"/>
  <c r="N15" i="1"/>
  <c r="N14" i="1"/>
  <c r="P60" i="1"/>
  <c r="O60" i="1"/>
  <c r="M60" i="1"/>
  <c r="L60" i="1"/>
  <c r="J60" i="1"/>
  <c r="I60" i="1"/>
  <c r="G60" i="1"/>
  <c r="F60" i="1"/>
  <c r="D60" i="1"/>
  <c r="C60" i="1"/>
  <c r="S48" i="1"/>
  <c r="R48" i="1"/>
  <c r="P48" i="1"/>
  <c r="O48" i="1"/>
  <c r="M48" i="1"/>
  <c r="L48" i="1"/>
  <c r="J48" i="1"/>
  <c r="I48" i="1"/>
  <c r="G48" i="1"/>
  <c r="F48" i="1"/>
  <c r="D48" i="1"/>
  <c r="C48" i="1"/>
  <c r="C141" i="12" a="1"/>
  <c r="C203" i="12" a="1"/>
  <c r="D204" i="12" l="1"/>
  <c r="C203" i="12"/>
  <c r="D203" i="12"/>
  <c r="C204" i="12"/>
  <c r="C194" i="12"/>
  <c r="C200" i="12" s="1"/>
  <c r="C199" i="12" s="1"/>
  <c r="D200" i="12"/>
  <c r="D141" i="12"/>
  <c r="D142" i="12"/>
  <c r="C142" i="12"/>
  <c r="C141" i="12"/>
  <c r="D138" i="12"/>
  <c r="C132" i="12"/>
  <c r="C138" i="12" s="1"/>
  <c r="C137" i="12" s="1"/>
  <c r="F37" i="12"/>
  <c r="E19" i="12"/>
  <c r="K19" i="12"/>
  <c r="G204" i="12" l="1"/>
  <c r="E204" i="12"/>
  <c r="F204" i="12" s="1"/>
  <c r="H204" i="12"/>
  <c r="G203" i="12"/>
  <c r="E203" i="12"/>
  <c r="F203" i="12" s="1"/>
  <c r="H203" i="12"/>
  <c r="G141" i="12"/>
  <c r="E141" i="12"/>
  <c r="F141" i="12" s="1"/>
  <c r="H141" i="12"/>
  <c r="G142" i="12"/>
  <c r="H142" i="12"/>
  <c r="E142" i="12"/>
  <c r="F142" i="12" s="1"/>
  <c r="B24" i="1" l="1"/>
  <c r="B14" i="1"/>
  <c r="B4" i="1"/>
  <c r="C2" i="1"/>
  <c r="P112" i="4" l="1"/>
  <c r="L112" i="4"/>
  <c r="H112" i="4"/>
  <c r="D112" i="4"/>
  <c r="P93" i="4"/>
  <c r="L93" i="4"/>
  <c r="H93" i="4"/>
  <c r="H14" i="4" l="1"/>
  <c r="D14" i="4"/>
  <c r="M26" i="4" l="1"/>
  <c r="B26" i="4"/>
  <c r="L14" i="2" l="1"/>
  <c r="J14" i="2"/>
  <c r="H14" i="2"/>
  <c r="H20" i="4" l="1"/>
  <c r="H17" i="4"/>
  <c r="D20" i="4"/>
  <c r="D17" i="4"/>
  <c r="D22" i="4" l="1"/>
  <c r="D21" i="4" s="1"/>
  <c r="H22" i="4"/>
  <c r="H21" i="4" s="1"/>
  <c r="D119" i="4" s="1"/>
  <c r="G2" i="4"/>
  <c r="T67" i="4" l="1"/>
  <c r="L105" i="4"/>
  <c r="H105" i="4"/>
  <c r="L86" i="4"/>
  <c r="H86" i="4"/>
  <c r="P86" i="4"/>
  <c r="D105" i="4"/>
  <c r="P105" i="4"/>
  <c r="D86" i="4"/>
  <c r="D67" i="4"/>
  <c r="H67" i="4"/>
  <c r="P67" i="4"/>
  <c r="D35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D20" i="3"/>
  <c r="D5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5" i="3"/>
  <c r="C14" i="3"/>
  <c r="C13" i="3"/>
  <c r="C12" i="3"/>
  <c r="C11" i="3"/>
  <c r="C10" i="3"/>
  <c r="C9" i="3"/>
  <c r="C8" i="3"/>
  <c r="C7" i="3"/>
  <c r="C6" i="3"/>
  <c r="C5" i="3"/>
  <c r="B15" i="3"/>
  <c r="B14" i="3"/>
  <c r="B13" i="3"/>
  <c r="B12" i="3"/>
  <c r="B11" i="3"/>
  <c r="B10" i="3"/>
  <c r="B9" i="3"/>
  <c r="B8" i="3"/>
  <c r="B7" i="3"/>
  <c r="B6" i="3"/>
  <c r="B5" i="3"/>
  <c r="F25" i="1"/>
  <c r="H25" i="1"/>
  <c r="J25" i="1"/>
  <c r="L25" i="1"/>
  <c r="P25" i="1"/>
  <c r="R25" i="1"/>
  <c r="T25" i="1"/>
  <c r="V25" i="1"/>
  <c r="X25" i="1"/>
  <c r="D25" i="1"/>
  <c r="F15" i="1"/>
  <c r="H15" i="1"/>
  <c r="J15" i="1"/>
  <c r="L15" i="1"/>
  <c r="P15" i="1"/>
  <c r="R15" i="1"/>
  <c r="T15" i="1"/>
  <c r="V15" i="1"/>
  <c r="X15" i="1"/>
  <c r="D15" i="1"/>
  <c r="D2" i="3"/>
  <c r="C44" i="1"/>
  <c r="Q68" i="1"/>
  <c r="M17" i="12" s="1"/>
  <c r="Q67" i="1"/>
  <c r="M16" i="12" s="1"/>
  <c r="Q66" i="1"/>
  <c r="M15" i="12" s="1"/>
  <c r="Q65" i="1"/>
  <c r="M14" i="12" s="1"/>
  <c r="Q64" i="1"/>
  <c r="M13" i="12" s="1"/>
  <c r="Q63" i="1"/>
  <c r="M12" i="12" s="1"/>
  <c r="Q62" i="1"/>
  <c r="M11" i="12" s="1"/>
  <c r="Q61" i="1"/>
  <c r="M10" i="12" s="1"/>
  <c r="N68" i="1"/>
  <c r="L17" i="12" s="1"/>
  <c r="N67" i="1"/>
  <c r="L16" i="12" s="1"/>
  <c r="N66" i="1"/>
  <c r="L15" i="12" s="1"/>
  <c r="N65" i="1"/>
  <c r="L14" i="12" s="1"/>
  <c r="N64" i="1"/>
  <c r="L13" i="12" s="1"/>
  <c r="N63" i="1"/>
  <c r="L12" i="12" s="1"/>
  <c r="N62" i="1"/>
  <c r="L11" i="12" s="1"/>
  <c r="N61" i="1"/>
  <c r="L10" i="12" s="1"/>
  <c r="H68" i="1"/>
  <c r="J17" i="12" s="1"/>
  <c r="H67" i="1"/>
  <c r="J16" i="12" s="1"/>
  <c r="H66" i="1"/>
  <c r="J15" i="12" s="1"/>
  <c r="H65" i="1"/>
  <c r="J14" i="12" s="1"/>
  <c r="H64" i="1"/>
  <c r="J13" i="12" s="1"/>
  <c r="H63" i="1"/>
  <c r="J12" i="12" s="1"/>
  <c r="H62" i="1"/>
  <c r="J11" i="12" s="1"/>
  <c r="H61" i="1"/>
  <c r="J10" i="12" s="1"/>
  <c r="E68" i="1"/>
  <c r="I17" i="12" s="1"/>
  <c r="E67" i="1"/>
  <c r="I16" i="12" s="1"/>
  <c r="E66" i="1"/>
  <c r="I15" i="12" s="1"/>
  <c r="E65" i="1"/>
  <c r="I14" i="12" s="1"/>
  <c r="E64" i="1"/>
  <c r="I13" i="12" s="1"/>
  <c r="E63" i="1"/>
  <c r="I12" i="12" s="1"/>
  <c r="E62" i="1"/>
  <c r="I11" i="12" s="1"/>
  <c r="E61" i="1"/>
  <c r="I10" i="12" s="1"/>
  <c r="T56" i="1"/>
  <c r="H17" i="12" s="1"/>
  <c r="T55" i="1"/>
  <c r="H16" i="12" s="1"/>
  <c r="T54" i="1"/>
  <c r="H15" i="12" s="1"/>
  <c r="T53" i="1"/>
  <c r="H14" i="12" s="1"/>
  <c r="T52" i="1"/>
  <c r="H13" i="12" s="1"/>
  <c r="T51" i="1"/>
  <c r="H12" i="12" s="1"/>
  <c r="T50" i="1"/>
  <c r="H11" i="12" s="1"/>
  <c r="T49" i="1"/>
  <c r="H10" i="12" s="1"/>
  <c r="Q56" i="1"/>
  <c r="G17" i="12" s="1"/>
  <c r="Q55" i="1"/>
  <c r="G16" i="12" s="1"/>
  <c r="Q54" i="1"/>
  <c r="G15" i="12" s="1"/>
  <c r="Q53" i="1"/>
  <c r="G14" i="12" s="1"/>
  <c r="Q52" i="1"/>
  <c r="G13" i="12" s="1"/>
  <c r="Q51" i="1"/>
  <c r="G12" i="12" s="1"/>
  <c r="Q50" i="1"/>
  <c r="G11" i="12" s="1"/>
  <c r="Q49" i="1"/>
  <c r="G10" i="12" s="1"/>
  <c r="N56" i="1"/>
  <c r="F17" i="12" s="1"/>
  <c r="N55" i="1"/>
  <c r="F16" i="12" s="1"/>
  <c r="N54" i="1"/>
  <c r="F15" i="12" s="1"/>
  <c r="N53" i="1"/>
  <c r="F14" i="12" s="1"/>
  <c r="N52" i="1"/>
  <c r="F13" i="12" s="1"/>
  <c r="N51" i="1"/>
  <c r="F12" i="12" s="1"/>
  <c r="N50" i="1"/>
  <c r="F11" i="12" s="1"/>
  <c r="N49" i="1"/>
  <c r="F10" i="12" s="1"/>
  <c r="H56" i="1"/>
  <c r="D17" i="12" s="1"/>
  <c r="H55" i="1"/>
  <c r="D16" i="12" s="1"/>
  <c r="H54" i="1"/>
  <c r="D15" i="12" s="1"/>
  <c r="H53" i="1"/>
  <c r="D14" i="12" s="1"/>
  <c r="H52" i="1"/>
  <c r="D13" i="12" s="1"/>
  <c r="H51" i="1"/>
  <c r="D12" i="12" s="1"/>
  <c r="H50" i="1"/>
  <c r="D11" i="12" s="1"/>
  <c r="H49" i="1"/>
  <c r="D10" i="12" s="1"/>
  <c r="E50" i="1"/>
  <c r="C11" i="12" s="1"/>
  <c r="E51" i="1"/>
  <c r="C12" i="12" s="1"/>
  <c r="E52" i="1"/>
  <c r="C13" i="12" s="1"/>
  <c r="E53" i="1"/>
  <c r="C14" i="12" s="1"/>
  <c r="E54" i="1"/>
  <c r="C15" i="12" s="1"/>
  <c r="E55" i="1"/>
  <c r="C16" i="12" s="1"/>
  <c r="E56" i="1"/>
  <c r="C17" i="12" s="1"/>
  <c r="E49" i="1"/>
  <c r="C10" i="12" s="1"/>
  <c r="B56" i="1"/>
  <c r="B68" i="1" s="1"/>
  <c r="B67" i="1"/>
  <c r="B53" i="1"/>
  <c r="B65" i="1" s="1"/>
  <c r="B54" i="1"/>
  <c r="B66" i="1" s="1"/>
  <c r="B52" i="1"/>
  <c r="B64" i="1" s="1"/>
  <c r="B51" i="1"/>
  <c r="B63" i="1" s="1"/>
  <c r="B50" i="1"/>
  <c r="B62" i="1" s="1"/>
  <c r="B49" i="1"/>
  <c r="B61" i="1" s="1"/>
  <c r="F24" i="1"/>
  <c r="H24" i="1"/>
  <c r="J24" i="1"/>
  <c r="L24" i="1"/>
  <c r="P24" i="1"/>
  <c r="R24" i="1"/>
  <c r="T24" i="1"/>
  <c r="V24" i="1"/>
  <c r="X24" i="1"/>
  <c r="D24" i="1"/>
  <c r="F14" i="1"/>
  <c r="H14" i="1"/>
  <c r="J14" i="1"/>
  <c r="L14" i="1"/>
  <c r="P14" i="1"/>
  <c r="R14" i="1"/>
  <c r="T14" i="1"/>
  <c r="V14" i="1"/>
  <c r="X14" i="1"/>
  <c r="D14" i="1"/>
  <c r="C26" i="1"/>
  <c r="B40" i="1" s="1"/>
  <c r="C16" i="1"/>
  <c r="B39" i="1" s="1"/>
  <c r="C6" i="1"/>
  <c r="B38" i="1" s="1"/>
  <c r="L161" i="12" a="1"/>
  <c r="C224" i="12" a="1"/>
  <c r="C161" i="12" a="1"/>
  <c r="C182" i="12" a="1"/>
  <c r="L141" i="12" a="1"/>
  <c r="L203" i="12" a="1"/>
  <c r="L182" i="12" a="1"/>
  <c r="L120" i="12" a="1"/>
  <c r="C120" i="12" a="1"/>
  <c r="M203" i="12" l="1"/>
  <c r="L204" i="12"/>
  <c r="L203" i="12"/>
  <c r="M204" i="12"/>
  <c r="C225" i="12"/>
  <c r="C224" i="12"/>
  <c r="D225" i="12"/>
  <c r="D224" i="12"/>
  <c r="M200" i="12"/>
  <c r="L194" i="12"/>
  <c r="L200" i="12" s="1"/>
  <c r="L199" i="12" s="1"/>
  <c r="C215" i="12"/>
  <c r="C221" i="12" s="1"/>
  <c r="C220" i="12" s="1"/>
  <c r="D221" i="12"/>
  <c r="L141" i="12"/>
  <c r="M141" i="12"/>
  <c r="L142" i="12"/>
  <c r="M142" i="12"/>
  <c r="C161" i="12"/>
  <c r="D162" i="12"/>
  <c r="D161" i="12"/>
  <c r="C162" i="12"/>
  <c r="C183" i="12"/>
  <c r="D183" i="12"/>
  <c r="C182" i="12"/>
  <c r="D182" i="12"/>
  <c r="L182" i="12"/>
  <c r="M182" i="12"/>
  <c r="L183" i="12"/>
  <c r="M183" i="12"/>
  <c r="L162" i="12"/>
  <c r="M161" i="12"/>
  <c r="M162" i="12"/>
  <c r="L161" i="12"/>
  <c r="L132" i="12"/>
  <c r="L138" i="12" s="1"/>
  <c r="L137" i="12" s="1"/>
  <c r="M138" i="12"/>
  <c r="D158" i="12"/>
  <c r="C152" i="12"/>
  <c r="C158" i="12" s="1"/>
  <c r="C157" i="12" s="1"/>
  <c r="M158" i="12"/>
  <c r="L152" i="12"/>
  <c r="L158" i="12" s="1"/>
  <c r="L157" i="12" s="1"/>
  <c r="D179" i="12"/>
  <c r="C173" i="12"/>
  <c r="C179" i="12" s="1"/>
  <c r="C178" i="12" s="1"/>
  <c r="M179" i="12"/>
  <c r="L173" i="12"/>
  <c r="L179" i="12" s="1"/>
  <c r="L178" i="12" s="1"/>
  <c r="M120" i="12"/>
  <c r="L121" i="12"/>
  <c r="M121" i="12"/>
  <c r="L120" i="12"/>
  <c r="M117" i="12"/>
  <c r="L111" i="12"/>
  <c r="L117" i="12" s="1"/>
  <c r="L116" i="12" s="1"/>
  <c r="C120" i="12"/>
  <c r="D120" i="12"/>
  <c r="C121" i="12"/>
  <c r="D121" i="12"/>
  <c r="C111" i="12"/>
  <c r="C117" i="12" s="1"/>
  <c r="C116" i="12" s="1"/>
  <c r="D117" i="12"/>
  <c r="E39" i="1"/>
  <c r="J16" i="2" s="1"/>
  <c r="F39" i="1"/>
  <c r="F38" i="1"/>
  <c r="E38" i="1"/>
  <c r="H16" i="2" s="1"/>
  <c r="D19" i="12"/>
  <c r="G19" i="12"/>
  <c r="C19" i="12"/>
  <c r="F19" i="12"/>
  <c r="H19" i="12"/>
  <c r="M19" i="12"/>
  <c r="L19" i="12"/>
  <c r="J19" i="12"/>
  <c r="I19" i="12"/>
  <c r="G31" i="3"/>
  <c r="G34" i="14" s="1"/>
  <c r="G46" i="3"/>
  <c r="G46" i="14" s="1"/>
  <c r="G16" i="3"/>
  <c r="G22" i="14" s="1"/>
  <c r="I9" i="4"/>
  <c r="I11" i="4" s="1"/>
  <c r="I10" i="4" s="1"/>
  <c r="H9" i="4"/>
  <c r="H11" i="4" s="1"/>
  <c r="H10" i="4" s="1"/>
  <c r="G9" i="4"/>
  <c r="G11" i="4" s="1"/>
  <c r="G10" i="4" s="1"/>
  <c r="F9" i="4"/>
  <c r="F11" i="4" s="1"/>
  <c r="F10" i="4" s="1"/>
  <c r="E9" i="4"/>
  <c r="E11" i="4" s="1"/>
  <c r="E10" i="4" s="1"/>
  <c r="D9" i="4"/>
  <c r="D11" i="4" s="1"/>
  <c r="D10" i="4" s="1"/>
  <c r="M8" i="4"/>
  <c r="M9" i="4" s="1"/>
  <c r="M11" i="4" s="1"/>
  <c r="M10" i="4" s="1"/>
  <c r="E40" i="1"/>
  <c r="L16" i="2" s="1"/>
  <c r="H45" i="3"/>
  <c r="H44" i="3"/>
  <c r="H43" i="3"/>
  <c r="H42" i="3"/>
  <c r="H41" i="3"/>
  <c r="H40" i="3"/>
  <c r="H39" i="3"/>
  <c r="H38" i="3"/>
  <c r="H37" i="3"/>
  <c r="H36" i="3"/>
  <c r="H35" i="3"/>
  <c r="H30" i="3"/>
  <c r="H29" i="3"/>
  <c r="H28" i="3"/>
  <c r="H27" i="3"/>
  <c r="H26" i="3"/>
  <c r="H25" i="3"/>
  <c r="H24" i="3"/>
  <c r="H23" i="3"/>
  <c r="H22" i="3"/>
  <c r="H21" i="3"/>
  <c r="H20" i="3"/>
  <c r="H15" i="3"/>
  <c r="H14" i="3"/>
  <c r="H13" i="3"/>
  <c r="H12" i="3"/>
  <c r="H11" i="3"/>
  <c r="H9" i="3"/>
  <c r="H8" i="3"/>
  <c r="H7" i="3"/>
  <c r="H6" i="3"/>
  <c r="H5" i="3"/>
  <c r="Q203" i="12" l="1"/>
  <c r="N203" i="12"/>
  <c r="O203" i="12" s="1"/>
  <c r="P203" i="12"/>
  <c r="E224" i="12"/>
  <c r="F224" i="12" s="1"/>
  <c r="H224" i="12"/>
  <c r="G224" i="12"/>
  <c r="N204" i="12"/>
  <c r="O204" i="12" s="1"/>
  <c r="P204" i="12"/>
  <c r="Q204" i="12"/>
  <c r="G225" i="12"/>
  <c r="H225" i="12"/>
  <c r="E225" i="12"/>
  <c r="F225" i="12" s="1"/>
  <c r="Q161" i="12"/>
  <c r="P161" i="12"/>
  <c r="N161" i="12"/>
  <c r="O161" i="12" s="1"/>
  <c r="G162" i="12"/>
  <c r="H162" i="12"/>
  <c r="E162" i="12"/>
  <c r="F162" i="12" s="1"/>
  <c r="P183" i="12"/>
  <c r="Q183" i="12"/>
  <c r="N183" i="12"/>
  <c r="O183" i="12" s="1"/>
  <c r="G182" i="12"/>
  <c r="E182" i="12"/>
  <c r="F182" i="12" s="1"/>
  <c r="H182" i="12"/>
  <c r="Q142" i="12"/>
  <c r="N142" i="12"/>
  <c r="O142" i="12" s="1"/>
  <c r="P142" i="12"/>
  <c r="Q162" i="12"/>
  <c r="N162" i="12"/>
  <c r="O162" i="12" s="1"/>
  <c r="P162" i="12"/>
  <c r="Q182" i="12"/>
  <c r="P182" i="12"/>
  <c r="N182" i="12"/>
  <c r="O182" i="12" s="1"/>
  <c r="E183" i="12"/>
  <c r="F183" i="12" s="1"/>
  <c r="G183" i="12"/>
  <c r="H183" i="12"/>
  <c r="G161" i="12"/>
  <c r="E161" i="12"/>
  <c r="F161" i="12" s="1"/>
  <c r="H161" i="12"/>
  <c r="N141" i="12"/>
  <c r="O141" i="12" s="1"/>
  <c r="Q141" i="12"/>
  <c r="P141" i="12"/>
  <c r="N120" i="12"/>
  <c r="O120" i="12" s="1"/>
  <c r="Q120" i="12"/>
  <c r="P120" i="12"/>
  <c r="N121" i="12"/>
  <c r="O121" i="12" s="1"/>
  <c r="Q121" i="12"/>
  <c r="P121" i="12"/>
  <c r="E120" i="12"/>
  <c r="F120" i="12" s="1"/>
  <c r="H120" i="12"/>
  <c r="G120" i="12"/>
  <c r="G121" i="12"/>
  <c r="H121" i="12"/>
  <c r="E121" i="12"/>
  <c r="F121" i="12" s="1"/>
  <c r="P87" i="4"/>
  <c r="D87" i="4"/>
  <c r="L74" i="4"/>
  <c r="P74" i="4"/>
  <c r="T74" i="4"/>
  <c r="P71" i="4"/>
  <c r="T71" i="4"/>
  <c r="H71" i="4"/>
  <c r="L71" i="4"/>
  <c r="T68" i="4"/>
  <c r="P68" i="4"/>
  <c r="L68" i="4"/>
  <c r="H68" i="4"/>
  <c r="T72" i="4"/>
  <c r="L72" i="4"/>
  <c r="H72" i="4"/>
  <c r="P72" i="4"/>
  <c r="D72" i="4"/>
  <c r="L73" i="4"/>
  <c r="H73" i="4"/>
  <c r="T73" i="4"/>
  <c r="P73" i="4"/>
  <c r="T69" i="4"/>
  <c r="L69" i="4"/>
  <c r="H69" i="4"/>
  <c r="P69" i="4"/>
  <c r="L70" i="4"/>
  <c r="H70" i="4"/>
  <c r="P70" i="4"/>
  <c r="T70" i="4"/>
  <c r="Q16" i="4"/>
  <c r="Q18" i="4" s="1"/>
  <c r="D73" i="4"/>
  <c r="D68" i="4"/>
  <c r="H125" i="4"/>
  <c r="H126" i="4"/>
  <c r="H124" i="4"/>
  <c r="H123" i="4"/>
  <c r="G39" i="1"/>
  <c r="J18" i="2" s="1"/>
  <c r="J17" i="2"/>
  <c r="H17" i="2"/>
  <c r="H18" i="2"/>
  <c r="G40" i="1"/>
  <c r="L18" i="2" s="1"/>
  <c r="F40" i="1"/>
  <c r="L17" i="2" s="1"/>
  <c r="H122" i="4"/>
  <c r="D93" i="4"/>
  <c r="H127" i="4"/>
  <c r="H121" i="4"/>
  <c r="N19" i="12"/>
  <c r="M49" i="12" s="1"/>
  <c r="P107" i="4"/>
  <c r="L107" i="4"/>
  <c r="P111" i="4"/>
  <c r="L111" i="4"/>
  <c r="P106" i="4"/>
  <c r="L106" i="4"/>
  <c r="P108" i="4"/>
  <c r="L108" i="4"/>
  <c r="P110" i="4"/>
  <c r="L110" i="4"/>
  <c r="P109" i="4"/>
  <c r="L109" i="4"/>
  <c r="H107" i="4"/>
  <c r="H111" i="4"/>
  <c r="H106" i="4"/>
  <c r="H108" i="4"/>
  <c r="H110" i="4"/>
  <c r="H109" i="4"/>
  <c r="D106" i="4"/>
  <c r="L87" i="4"/>
  <c r="H87" i="4"/>
  <c r="D91" i="4"/>
  <c r="H91" i="4"/>
  <c r="D110" i="4"/>
  <c r="P91" i="4"/>
  <c r="L91" i="4"/>
  <c r="D107" i="4"/>
  <c r="P88" i="4"/>
  <c r="L88" i="4"/>
  <c r="H88" i="4"/>
  <c r="D88" i="4"/>
  <c r="D111" i="4"/>
  <c r="P92" i="4"/>
  <c r="L92" i="4"/>
  <c r="D92" i="4"/>
  <c r="H92" i="4"/>
  <c r="L89" i="4"/>
  <c r="H89" i="4"/>
  <c r="D89" i="4"/>
  <c r="D108" i="4"/>
  <c r="P89" i="4"/>
  <c r="H90" i="4"/>
  <c r="D90" i="4"/>
  <c r="D109" i="4"/>
  <c r="P90" i="4"/>
  <c r="L90" i="4"/>
  <c r="H74" i="4"/>
  <c r="D74" i="4"/>
  <c r="D126" i="4"/>
  <c r="D120" i="4"/>
  <c r="D124" i="4"/>
  <c r="D121" i="4"/>
  <c r="D125" i="4"/>
  <c r="D123" i="4"/>
  <c r="D122" i="4"/>
  <c r="D69" i="4"/>
  <c r="D70" i="4"/>
  <c r="D71" i="4"/>
  <c r="H46" i="3"/>
  <c r="I35" i="3" s="1"/>
  <c r="J35" i="3" s="1"/>
  <c r="H31" i="3"/>
  <c r="I20" i="3" s="1"/>
  <c r="J20" i="3" s="1"/>
  <c r="H16" i="3"/>
  <c r="D127" i="4" l="1"/>
  <c r="D75" i="4"/>
  <c r="L35" i="3"/>
  <c r="M35" i="3" s="1"/>
  <c r="L20" i="3"/>
  <c r="M20" i="3" s="1"/>
  <c r="J23" i="2"/>
  <c r="L23" i="2"/>
  <c r="H23" i="2"/>
  <c r="Q17" i="4"/>
  <c r="I5" i="3"/>
  <c r="J5" i="3" s="1"/>
  <c r="L5" i="3" s="1"/>
  <c r="D81" i="4" l="1"/>
  <c r="L100" i="4"/>
  <c r="L81" i="4"/>
  <c r="H100" i="4"/>
  <c r="H81" i="4"/>
  <c r="D100" i="4"/>
  <c r="P81" i="4"/>
  <c r="D76" i="4"/>
  <c r="H75" i="4"/>
  <c r="P100" i="4"/>
  <c r="J21" i="2"/>
  <c r="G33" i="14"/>
  <c r="E29" i="13"/>
  <c r="G45" i="14"/>
  <c r="E38" i="13"/>
  <c r="L21" i="2"/>
  <c r="I38" i="13"/>
  <c r="I29" i="13"/>
  <c r="I20" i="13"/>
  <c r="M5" i="3"/>
  <c r="B16" i="13" s="1"/>
  <c r="D128" i="4"/>
  <c r="L82" i="4" l="1"/>
  <c r="H101" i="4"/>
  <c r="H82" i="4"/>
  <c r="L101" i="4"/>
  <c r="D101" i="4"/>
  <c r="P82" i="4"/>
  <c r="D82" i="4"/>
  <c r="L75" i="4"/>
  <c r="H76" i="4"/>
  <c r="P101" i="4"/>
  <c r="P75" i="4"/>
  <c r="H21" i="2"/>
  <c r="G21" i="14"/>
  <c r="E20" i="13"/>
  <c r="L76" i="4" l="1"/>
  <c r="D83" i="4"/>
  <c r="L102" i="4"/>
  <c r="D102" i="4"/>
  <c r="P83" i="4"/>
  <c r="L83" i="4"/>
  <c r="P102" i="4"/>
  <c r="H102" i="4"/>
  <c r="H83" i="4"/>
  <c r="L103" i="4"/>
  <c r="D103" i="4"/>
  <c r="P84" i="4"/>
  <c r="P103" i="4"/>
  <c r="H84" i="4"/>
  <c r="H103" i="4"/>
  <c r="D84" i="4"/>
  <c r="L84" i="4"/>
  <c r="T75" i="4"/>
  <c r="P76" i="4"/>
  <c r="R68" i="1"/>
  <c r="R61" i="1"/>
  <c r="R64" i="1"/>
  <c r="R63" i="1"/>
  <c r="R62" i="1"/>
  <c r="R66" i="1"/>
  <c r="R65" i="1"/>
  <c r="R67" i="1"/>
  <c r="T76" i="4" l="1"/>
  <c r="P85" i="4"/>
  <c r="P94" i="4" s="1"/>
  <c r="P95" i="4" s="1"/>
  <c r="P104" i="4"/>
  <c r="P113" i="4" s="1"/>
  <c r="P114" i="4" s="1"/>
  <c r="H104" i="4"/>
  <c r="H113" i="4" s="1"/>
  <c r="E150" i="4" s="1"/>
  <c r="H85" i="4"/>
  <c r="D85" i="4"/>
  <c r="D94" i="4" s="1"/>
  <c r="L104" i="4"/>
  <c r="L113" i="4" s="1"/>
  <c r="E151" i="4" s="1"/>
  <c r="D104" i="4"/>
  <c r="D113" i="4" s="1"/>
  <c r="E149" i="4" s="1"/>
  <c r="L85" i="4"/>
  <c r="L94" i="4"/>
  <c r="E147" i="4" s="1"/>
  <c r="H94" i="4"/>
  <c r="E146" i="4" s="1"/>
  <c r="H114" i="4" l="1"/>
  <c r="D114" i="4"/>
  <c r="L114" i="4"/>
  <c r="E148" i="4"/>
  <c r="L95" i="4"/>
  <c r="H95" i="4"/>
  <c r="E152" i="4"/>
  <c r="D95" i="4"/>
  <c r="L95" i="12" l="1"/>
  <c r="E158" i="4" l="1"/>
  <c r="H22" i="2" s="1"/>
  <c r="H95" i="12"/>
  <c r="D95" i="12"/>
  <c r="J22" i="2"/>
  <c r="L22" i="2" l="1"/>
  <c r="M177" i="12"/>
  <c r="D136" i="12"/>
  <c r="D177" i="12"/>
  <c r="D115" i="12"/>
  <c r="M136" i="12"/>
  <c r="M115" i="12"/>
  <c r="M156" i="12"/>
  <c r="D156" i="12"/>
  <c r="M157" i="12" l="1"/>
  <c r="L149" i="12"/>
  <c r="N156" i="12"/>
  <c r="L129" i="12"/>
  <c r="N136" i="12"/>
  <c r="M137" i="12"/>
  <c r="L108" i="12"/>
  <c r="N115" i="12"/>
  <c r="M116" i="12"/>
  <c r="E156" i="12"/>
  <c r="C149" i="12"/>
  <c r="D157" i="12"/>
  <c r="C129" i="12"/>
  <c r="E136" i="12"/>
  <c r="D137" i="12"/>
  <c r="N177" i="12"/>
  <c r="M178" i="12"/>
  <c r="L170" i="12"/>
  <c r="C170" i="12"/>
  <c r="E177" i="12"/>
  <c r="D178" i="12"/>
  <c r="E115" i="12"/>
  <c r="C108" i="12"/>
  <c r="D116" i="12"/>
  <c r="E178" i="12" l="1"/>
  <c r="C172" i="12" s="1"/>
  <c r="I18" i="12" s="1"/>
  <c r="I20" i="12" s="1"/>
  <c r="F171" i="12"/>
  <c r="F169" i="12"/>
  <c r="F170" i="12" s="1"/>
  <c r="O169" i="12"/>
  <c r="O170" i="12" s="1"/>
  <c r="O171" i="12"/>
  <c r="N178" i="12"/>
  <c r="L172" i="12" s="1"/>
  <c r="J18" i="12" s="1"/>
  <c r="J20" i="12" s="1"/>
  <c r="C130" i="12"/>
  <c r="C128" i="12"/>
  <c r="N116" i="12"/>
  <c r="L110" i="12" s="1"/>
  <c r="D18" i="12" s="1"/>
  <c r="D20" i="12" s="1"/>
  <c r="O107" i="12"/>
  <c r="O108" i="12" s="1"/>
  <c r="O109" i="12"/>
  <c r="L128" i="12"/>
  <c r="L130" i="12"/>
  <c r="E116" i="12"/>
  <c r="C110" i="12" s="1"/>
  <c r="C18" i="12" s="1"/>
  <c r="F109" i="12"/>
  <c r="F107" i="12"/>
  <c r="F108" i="12" s="1"/>
  <c r="F148" i="12"/>
  <c r="F149" i="12" s="1"/>
  <c r="E157" i="12"/>
  <c r="C151" i="12" s="1"/>
  <c r="G18" i="12" s="1"/>
  <c r="G20" i="12" s="1"/>
  <c r="F150" i="12"/>
  <c r="C109" i="12"/>
  <c r="C107" i="12"/>
  <c r="C171" i="12"/>
  <c r="C169" i="12"/>
  <c r="F128" i="12"/>
  <c r="F129" i="12" s="1"/>
  <c r="E137" i="12"/>
  <c r="C131" i="12" s="1"/>
  <c r="E18" i="12" s="1"/>
  <c r="E20" i="12" s="1"/>
  <c r="F130" i="12"/>
  <c r="C148" i="12"/>
  <c r="C150" i="12"/>
  <c r="L107" i="12"/>
  <c r="L109" i="12"/>
  <c r="N137" i="12"/>
  <c r="L131" i="12" s="1"/>
  <c r="F18" i="12" s="1"/>
  <c r="F20" i="12" s="1"/>
  <c r="O128" i="12"/>
  <c r="O129" i="12" s="1"/>
  <c r="O130" i="12"/>
  <c r="L150" i="12"/>
  <c r="L148" i="12"/>
  <c r="L169" i="12"/>
  <c r="L171" i="12"/>
  <c r="O148" i="12"/>
  <c r="O149" i="12" s="1"/>
  <c r="N157" i="12"/>
  <c r="L151" i="12" s="1"/>
  <c r="H18" i="12" s="1"/>
  <c r="H20" i="12" s="1"/>
  <c r="O150" i="12"/>
  <c r="O136" i="12" l="1"/>
  <c r="P136" i="12" s="1"/>
  <c r="Q136" i="12" s="1"/>
  <c r="F115" i="12"/>
  <c r="G115" i="12" s="1"/>
  <c r="H115" i="12" s="1"/>
  <c r="O177" i="12"/>
  <c r="P177" i="12" s="1"/>
  <c r="Q177" i="12" s="1"/>
  <c r="F156" i="12"/>
  <c r="G156" i="12" s="1"/>
  <c r="H156" i="12" s="1"/>
  <c r="O115" i="12"/>
  <c r="P115" i="12" s="1"/>
  <c r="Q115" i="12" s="1"/>
  <c r="C20" i="12"/>
  <c r="F136" i="12"/>
  <c r="G136" i="12" s="1"/>
  <c r="H136" i="12" s="1"/>
  <c r="O156" i="12"/>
  <c r="P156" i="12" s="1"/>
  <c r="Q156" i="12" s="1"/>
  <c r="F177" i="12"/>
  <c r="G177" i="12" s="1"/>
  <c r="H177" i="12" s="1"/>
  <c r="D198" i="12"/>
  <c r="C191" i="12" l="1"/>
  <c r="C190" i="12" s="1"/>
  <c r="D199" i="12"/>
  <c r="E199" i="12" s="1"/>
  <c r="C193" i="12" s="1"/>
  <c r="K18" i="12" s="1"/>
  <c r="K20" i="12" s="1"/>
  <c r="E198" i="12"/>
  <c r="C192" i="12" l="1"/>
  <c r="F190" i="12"/>
  <c r="F191" i="12" s="1"/>
  <c r="F192" i="12"/>
  <c r="F198" i="12"/>
  <c r="G198" i="12" s="1"/>
  <c r="H198" i="12" s="1"/>
  <c r="M198" i="12" l="1"/>
  <c r="D219" i="12"/>
  <c r="D220" i="12" l="1"/>
  <c r="C212" i="12"/>
  <c r="E219" i="12"/>
  <c r="M199" i="12"/>
  <c r="N198" i="12"/>
  <c r="L191" i="12"/>
  <c r="O192" i="12" l="1"/>
  <c r="O190" i="12"/>
  <c r="O191" i="12" s="1"/>
  <c r="N199" i="12"/>
  <c r="L193" i="12" s="1"/>
  <c r="L18" i="12" s="1"/>
  <c r="F219" i="12"/>
  <c r="G219" i="12" s="1"/>
  <c r="H219" i="12" s="1"/>
  <c r="L190" i="12"/>
  <c r="L192" i="12"/>
  <c r="C213" i="12"/>
  <c r="C211" i="12"/>
  <c r="F213" i="12"/>
  <c r="E220" i="12"/>
  <c r="C214" i="12" s="1"/>
  <c r="M18" i="12" s="1"/>
  <c r="M20" i="12" s="1"/>
  <c r="F211" i="12"/>
  <c r="F212" i="12" s="1"/>
  <c r="L20" i="12" l="1"/>
  <c r="N20" i="12" s="1"/>
  <c r="C23" i="12"/>
  <c r="B25" i="12" s="1"/>
  <c r="D23" i="12"/>
  <c r="O198" i="12"/>
  <c r="P198" i="12" s="1"/>
  <c r="Q198" i="12" s="1"/>
  <c r="D31" i="12" l="1"/>
  <c r="G31" i="12" s="1"/>
  <c r="D33" i="12"/>
  <c r="G33" i="12" s="1"/>
  <c r="D28" i="12"/>
  <c r="D30" i="12"/>
  <c r="G30" i="12" s="1"/>
  <c r="D32" i="12"/>
  <c r="G32" i="12" s="1"/>
  <c r="D29" i="12"/>
  <c r="G29" i="12" s="1"/>
  <c r="D35" i="12"/>
  <c r="B31" i="12"/>
  <c r="D34" i="12"/>
  <c r="G34" i="12" s="1"/>
  <c r="M51" i="12"/>
  <c r="M48" i="12"/>
  <c r="C56" i="12" a="1"/>
  <c r="D56" i="12" l="1"/>
  <c r="D57" i="12"/>
  <c r="C57" i="12"/>
  <c r="C56" i="12"/>
  <c r="G35" i="12"/>
  <c r="G28" i="12"/>
  <c r="C47" i="12"/>
  <c r="D53" i="12"/>
  <c r="L28" i="12" l="1"/>
  <c r="E56" i="12"/>
  <c r="C53" i="12"/>
  <c r="C52" i="12" s="1"/>
  <c r="H56" i="12" s="1"/>
  <c r="M28" i="12"/>
  <c r="E57" i="12"/>
  <c r="G37" i="12"/>
  <c r="D51" i="12"/>
  <c r="C44" i="12" l="1"/>
  <c r="E51" i="12"/>
  <c r="D52" i="12"/>
  <c r="G57" i="12"/>
  <c r="G56" i="12"/>
  <c r="F57" i="12"/>
  <c r="F56" i="12"/>
  <c r="H57" i="12"/>
  <c r="K36" i="12"/>
  <c r="L79" i="12" s="1"/>
  <c r="D79" i="12"/>
  <c r="K35" i="12"/>
  <c r="H79" i="12" s="1"/>
  <c r="D80" i="12"/>
  <c r="L80" i="12"/>
  <c r="H80" i="12"/>
  <c r="D76" i="12"/>
  <c r="H76" i="12"/>
  <c r="H81" i="12" s="1"/>
  <c r="H83" i="12" s="1"/>
  <c r="L76" i="12"/>
  <c r="H82" i="12" l="1"/>
  <c r="H96" i="12" s="1"/>
  <c r="H97" i="12" s="1"/>
  <c r="K33" i="14"/>
  <c r="G37" i="14" s="1"/>
  <c r="J24" i="2"/>
  <c r="D81" i="12"/>
  <c r="D83" i="12" s="1"/>
  <c r="E52" i="12"/>
  <c r="C46" i="12" s="1"/>
  <c r="N28" i="12" s="1"/>
  <c r="L81" i="12" s="1"/>
  <c r="L83" i="12" s="1"/>
  <c r="F45" i="12"/>
  <c r="F43" i="12"/>
  <c r="F44" i="12" s="1"/>
  <c r="F51" i="12"/>
  <c r="G51" i="12" s="1"/>
  <c r="H51" i="12" s="1"/>
  <c r="C45" i="12"/>
  <c r="C43" i="12"/>
  <c r="H24" i="2" l="1"/>
  <c r="K21" i="14"/>
  <c r="G25" i="14" s="1"/>
  <c r="D82" i="12"/>
  <c r="D96" i="12" s="1"/>
  <c r="D97" i="12" s="1"/>
  <c r="L82" i="12"/>
  <c r="L96" i="12" s="1"/>
  <c r="L97" i="12" s="1"/>
  <c r="L24" i="2"/>
  <c r="K45" i="14"/>
  <c r="G49" i="14" s="1"/>
  <c r="H98" i="12"/>
  <c r="J25" i="2" s="1"/>
  <c r="G29" i="13"/>
  <c r="E31" i="13" s="1"/>
  <c r="D33" i="13" s="1"/>
  <c r="J27" i="2" l="1"/>
  <c r="G32" i="14"/>
  <c r="G36" i="14" s="1"/>
  <c r="G39" i="14" s="1"/>
  <c r="F18" i="15"/>
  <c r="G20" i="13"/>
  <c r="E22" i="13" s="1"/>
  <c r="D24" i="13" s="1"/>
  <c r="D98" i="12"/>
  <c r="H25" i="2" s="1"/>
  <c r="L98" i="12"/>
  <c r="L25" i="2" s="1"/>
  <c r="G38" i="13"/>
  <c r="E40" i="13" s="1"/>
  <c r="D42" i="13" s="1"/>
  <c r="C18" i="15" l="1"/>
  <c r="G20" i="14"/>
  <c r="G24" i="14" s="1"/>
  <c r="G27" i="14" s="1"/>
  <c r="H27" i="2"/>
  <c r="G44" i="14"/>
  <c r="G48" i="14" s="1"/>
  <c r="G51" i="14" s="1"/>
  <c r="I18" i="15"/>
  <c r="L27" i="2"/>
  <c r="F19" i="15"/>
  <c r="J30" i="2" s="1"/>
  <c r="J29" i="2"/>
  <c r="L29" i="2" l="1"/>
  <c r="I19" i="15"/>
  <c r="L30" i="2" s="1"/>
  <c r="C19" i="15"/>
  <c r="H30" i="2" s="1"/>
  <c r="H29" i="2"/>
</calcChain>
</file>

<file path=xl/sharedStrings.xml><?xml version="1.0" encoding="utf-8"?>
<sst xmlns="http://schemas.openxmlformats.org/spreadsheetml/2006/main" count="1070" uniqueCount="367">
  <si>
    <t>Precision Data</t>
  </si>
  <si>
    <t>Rep 1</t>
  </si>
  <si>
    <t>Rep 2</t>
  </si>
  <si>
    <t>Mean</t>
  </si>
  <si>
    <t>Std Dev</t>
  </si>
  <si>
    <t>Grand Mean (ug/L)</t>
  </si>
  <si>
    <t>Bias (%)</t>
  </si>
  <si>
    <t>Between -run %CV</t>
  </si>
  <si>
    <t>Linearity Data</t>
  </si>
  <si>
    <t>Average Peak Area Ratio</t>
  </si>
  <si>
    <t>Peak Area</t>
  </si>
  <si>
    <t>*values outside acceptable criteria and removed from calculations</t>
  </si>
  <si>
    <t>Drug</t>
  </si>
  <si>
    <t>Summary</t>
  </si>
  <si>
    <t>Runs</t>
  </si>
  <si>
    <t>Std Dev (SD)</t>
  </si>
  <si>
    <t>Degrees of Freedom (DF)</t>
  </si>
  <si>
    <t>SUM</t>
  </si>
  <si>
    <t>Ref Cov factor (rCF)</t>
  </si>
  <si>
    <t>Parameters</t>
  </si>
  <si>
    <t>Values</t>
  </si>
  <si>
    <t>excluded</t>
  </si>
  <si>
    <t>Also includes IS prep/spiking and cal blood volume.</t>
  </si>
  <si>
    <t>Based on diluting with pipettes only (not volumetrics)</t>
  </si>
  <si>
    <t>x</t>
  </si>
  <si>
    <t>y</t>
  </si>
  <si>
    <t>Regression Parameters</t>
  </si>
  <si>
    <t>Total Readings (n)</t>
  </si>
  <si>
    <t>+</t>
  </si>
  <si>
    <t>b1</t>
  </si>
  <si>
    <t>n</t>
  </si>
  <si>
    <t>A</t>
  </si>
  <si>
    <t>B</t>
  </si>
  <si>
    <t>C</t>
  </si>
  <si>
    <t>D</t>
  </si>
  <si>
    <t>E</t>
  </si>
  <si>
    <t>Formula</t>
  </si>
  <si>
    <t>1/n</t>
  </si>
  <si>
    <t>comU =</t>
  </si>
  <si>
    <r>
      <t>DF</t>
    </r>
    <r>
      <rPr>
        <b/>
        <vertAlign val="subscript"/>
        <sz val="11"/>
        <color theme="1"/>
        <rFont val="Calibri"/>
        <family val="2"/>
        <scheme val="minor"/>
      </rPr>
      <t>eff</t>
    </r>
    <r>
      <rPr>
        <b/>
        <sz val="11"/>
        <color theme="1"/>
        <rFont val="Calibri"/>
        <family val="2"/>
        <scheme val="minor"/>
      </rPr>
      <t xml:space="preserve"> =</t>
    </r>
  </si>
  <si>
    <t>ExpU =</t>
  </si>
  <si>
    <t>µg/L</t>
  </si>
  <si>
    <t>QC 1</t>
  </si>
  <si>
    <t>QC 2</t>
  </si>
  <si>
    <t>QC 3</t>
  </si>
  <si>
    <t xml:space="preserve">Method Uncertainty Contributions  </t>
  </si>
  <si>
    <t xml:space="preserve">Calibration curve  </t>
  </si>
  <si>
    <t xml:space="preserve">Combined uncertainty  </t>
  </si>
  <si>
    <t xml:space="preserve">Expanded uncertainty (99.7 % confidence interval)  </t>
  </si>
  <si>
    <t xml:space="preserve">Expanded uncertainty (%)  </t>
  </si>
  <si>
    <t xml:space="preserve">Forensic Science Regulator set UM at Specified Limit  </t>
  </si>
  <si>
    <t xml:space="preserve">Calibration range:  </t>
  </si>
  <si>
    <t xml:space="preserve">QCs:  </t>
  </si>
  <si>
    <t xml:space="preserve">Specified Limit:  </t>
  </si>
  <si>
    <t>Nominal Conc (µg/L)</t>
  </si>
  <si>
    <t xml:space="preserve">Mean  </t>
  </si>
  <si>
    <t xml:space="preserve">Std Dev  </t>
  </si>
  <si>
    <t xml:space="preserve">Within-run %CV  </t>
  </si>
  <si>
    <r>
      <t>Nominal Conc (</t>
    </r>
    <r>
      <rPr>
        <b/>
        <sz val="11"/>
        <color theme="1"/>
        <rFont val="Calibri"/>
        <family val="2"/>
      </rPr>
      <t>µg</t>
    </r>
    <r>
      <rPr>
        <b/>
        <sz val="11"/>
        <color theme="1"/>
        <rFont val="Calibri"/>
        <family val="2"/>
        <scheme val="minor"/>
      </rPr>
      <t>/L)</t>
    </r>
  </si>
  <si>
    <t>ISTD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</si>
  <si>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</si>
  <si>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</si>
  <si>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</si>
  <si>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</si>
  <si>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</si>
  <si>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</si>
  <si>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</si>
  <si>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</si>
  <si>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</si>
  <si>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</si>
  <si>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</si>
  <si>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r>
      <t>Pooled Variance
V</t>
    </r>
    <r>
      <rPr>
        <b/>
        <vertAlign val="subscript"/>
        <sz val="11"/>
        <color theme="1"/>
        <rFont val="Calibri"/>
        <family val="2"/>
        <scheme val="minor"/>
      </rPr>
      <t xml:space="preserve">p </t>
    </r>
    <r>
      <rPr>
        <b/>
        <sz val="11"/>
        <color theme="1"/>
        <rFont val="Calibri"/>
        <family val="2"/>
        <scheme val="minor"/>
      </rPr>
      <t>= (</t>
    </r>
    <r>
      <rPr>
        <b/>
        <sz val="11"/>
        <color theme="1"/>
        <rFont val="Calibri"/>
        <family val="2"/>
      </rPr>
      <t>∑Q)/∑DF)</t>
    </r>
  </si>
  <si>
    <r>
      <t>Pooled Std Dev
(SD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) = </t>
    </r>
    <r>
      <rPr>
        <b/>
        <sz val="11"/>
        <color theme="1"/>
        <rFont val="Calibri"/>
        <family val="2"/>
      </rPr>
      <t>√(V</t>
    </r>
    <r>
      <rPr>
        <b/>
        <vertAlign val="subscript"/>
        <sz val="11"/>
        <color theme="1"/>
        <rFont val="Calibri"/>
        <family val="2"/>
      </rPr>
      <t>p</t>
    </r>
    <r>
      <rPr>
        <b/>
        <sz val="11"/>
        <color theme="1"/>
        <rFont val="Calibri"/>
        <family val="2"/>
      </rPr>
      <t>)</t>
    </r>
  </si>
  <si>
    <r>
      <t>Q = SD</t>
    </r>
    <r>
      <rPr>
        <b/>
        <vertAlign val="super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* DF</t>
    </r>
  </si>
  <si>
    <r>
      <t>Standard Uncertainty SU = SD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√D</t>
    </r>
  </si>
  <si>
    <t xml:space="preserve">Precision  </t>
  </si>
  <si>
    <t xml:space="preserve">Bias (%)  </t>
  </si>
  <si>
    <t xml:space="preserve">% CV  </t>
  </si>
  <si>
    <t xml:space="preserve">Accuracy (%)  </t>
  </si>
  <si>
    <t>Accuracy (%)</t>
  </si>
  <si>
    <t xml:space="preserve">Shorthand  </t>
  </si>
  <si>
    <t>Standard Solution Preparation and Curve Spiking</t>
  </si>
  <si>
    <t>(µg/L)</t>
  </si>
  <si>
    <t>Reference Std</t>
  </si>
  <si>
    <t>Reference Int Std</t>
  </si>
  <si>
    <t>Autopipettes (pip-10, 25, 50, 100, 250, 1000)</t>
  </si>
  <si>
    <t>Pip-10</t>
  </si>
  <si>
    <t>Pip-25</t>
  </si>
  <si>
    <t>Pip-50</t>
  </si>
  <si>
    <t>Pip-100</t>
  </si>
  <si>
    <t>Pip-250</t>
  </si>
  <si>
    <t>Pip-1000</t>
  </si>
  <si>
    <t>CALSP-1</t>
  </si>
  <si>
    <t>CALSP-2</t>
  </si>
  <si>
    <t>CALSP-3</t>
  </si>
  <si>
    <t>CALSP-4</t>
  </si>
  <si>
    <t>CALSP-5</t>
  </si>
  <si>
    <t>CALSP-6</t>
  </si>
  <si>
    <t>CALSP-7</t>
  </si>
  <si>
    <t>CALSP-8</t>
  </si>
  <si>
    <t>ISSP</t>
  </si>
  <si>
    <t>Vol-10</t>
  </si>
  <si>
    <t>Pipette / Volumetric Use</t>
  </si>
  <si>
    <t>CRM</t>
  </si>
  <si>
    <t>Uncertainty of Matrix Volume</t>
  </si>
  <si>
    <t xml:space="preserve">Standard solution prep &amp; Spiking  </t>
  </si>
  <si>
    <t xml:space="preserve">Sample matrix volume  </t>
  </si>
  <si>
    <t>Accuracy Data</t>
  </si>
  <si>
    <t>Total</t>
  </si>
  <si>
    <t>(n-1)</t>
  </si>
  <si>
    <t>Result for ISSP</t>
  </si>
  <si>
    <t>Result for CALSP-1</t>
  </si>
  <si>
    <t>Result for CALSP-2</t>
  </si>
  <si>
    <t>Result for CALSP-3</t>
  </si>
  <si>
    <t>Result for CALSP-4</t>
  </si>
  <si>
    <t>Result for CALSP-5</t>
  </si>
  <si>
    <t>Result for CALSP-6</t>
  </si>
  <si>
    <t>Result for CALSP-7</t>
  </si>
  <si>
    <t>Result for CALSP-8</t>
  </si>
  <si>
    <t>Result for calibration curve spiking</t>
  </si>
  <si>
    <t>Calibration Uncertainty</t>
  </si>
  <si>
    <t>Largest SE for</t>
  </si>
  <si>
    <t>Intercept
(b0)</t>
  </si>
  <si>
    <t>Slope
(b1)</t>
  </si>
  <si>
    <r>
      <t>Pooled Standard Error (SE</t>
    </r>
    <r>
      <rPr>
        <b/>
        <vertAlign val="subscript"/>
        <sz val="14"/>
        <color theme="1"/>
        <rFont val="Calibri"/>
        <family val="2"/>
        <scheme val="minor"/>
      </rPr>
      <t>p</t>
    </r>
    <r>
      <rPr>
        <b/>
        <sz val="14"/>
        <color theme="1"/>
        <rFont val="Calibri"/>
        <family val="2"/>
        <scheme val="minor"/>
      </rPr>
      <t>)</t>
    </r>
  </si>
  <si>
    <r>
      <t>Mean Concentration (µg/L) (x̅</t>
    </r>
    <r>
      <rPr>
        <b/>
        <vertAlign val="subscript"/>
        <sz val="11"/>
        <color theme="1"/>
        <rFont val="Calibri"/>
        <family val="2"/>
        <scheme val="minor"/>
      </rPr>
      <t>cs</t>
    </r>
    <r>
      <rPr>
        <b/>
        <sz val="11"/>
        <color theme="1"/>
        <rFont val="Calibri"/>
        <family val="2"/>
        <scheme val="minor"/>
      </rPr>
      <t>)</t>
    </r>
  </si>
  <si>
    <r>
      <t>No. Case Sample Replicates (r</t>
    </r>
    <r>
      <rPr>
        <b/>
        <vertAlign val="subscript"/>
        <sz val="11"/>
        <color theme="1"/>
        <rFont val="Calibri"/>
        <family val="2"/>
        <scheme val="minor"/>
      </rPr>
      <t>cs</t>
    </r>
    <r>
      <rPr>
        <b/>
        <sz val="11"/>
        <color theme="1"/>
        <rFont val="Calibri"/>
        <family val="2"/>
        <scheme val="minor"/>
      </rPr>
      <t xml:space="preserve">) </t>
    </r>
  </si>
  <si>
    <r>
      <t>(n</t>
    </r>
    <r>
      <rPr>
        <b/>
        <u/>
        <vertAlign val="subscript"/>
        <sz val="11"/>
        <color theme="1"/>
        <rFont val="Calibri"/>
        <family val="2"/>
        <scheme val="minor"/>
      </rPr>
      <t>1</t>
    </r>
    <r>
      <rPr>
        <b/>
        <u/>
        <sz val="11"/>
        <color theme="1"/>
        <rFont val="Calibri"/>
        <family val="2"/>
        <scheme val="minor"/>
      </rPr>
      <t>-1)SE</t>
    </r>
    <r>
      <rPr>
        <b/>
        <u/>
        <vertAlign val="subscript"/>
        <sz val="11"/>
        <color theme="1"/>
        <rFont val="Calibri"/>
        <family val="2"/>
        <scheme val="minor"/>
      </rPr>
      <t>1</t>
    </r>
    <r>
      <rPr>
        <b/>
        <u/>
        <vertAlign val="superscript"/>
        <sz val="11"/>
        <color theme="1"/>
        <rFont val="Calibri"/>
        <family val="2"/>
        <scheme val="minor"/>
      </rPr>
      <t>2</t>
    </r>
    <r>
      <rPr>
        <b/>
        <u/>
        <sz val="11"/>
        <color theme="1"/>
        <rFont val="Calibri"/>
        <family val="2"/>
        <scheme val="minor"/>
      </rPr>
      <t xml:space="preserve"> + …. +  (n</t>
    </r>
    <r>
      <rPr>
        <b/>
        <u/>
        <vertAlign val="subscript"/>
        <sz val="11"/>
        <color theme="1"/>
        <rFont val="Calibri"/>
        <family val="2"/>
        <scheme val="minor"/>
      </rPr>
      <t>j</t>
    </r>
    <r>
      <rPr>
        <b/>
        <u/>
        <sz val="11"/>
        <color theme="1"/>
        <rFont val="Calibri"/>
        <family val="2"/>
        <scheme val="minor"/>
      </rPr>
      <t>-1)SE</t>
    </r>
    <r>
      <rPr>
        <b/>
        <u/>
        <vertAlign val="subscript"/>
        <sz val="11"/>
        <color theme="1"/>
        <rFont val="Calibri"/>
        <family val="2"/>
        <scheme val="minor"/>
      </rPr>
      <t>j</t>
    </r>
    <r>
      <rPr>
        <b/>
        <u/>
        <vertAlign val="superscript"/>
        <sz val="11"/>
        <color theme="1"/>
        <rFont val="Calibri"/>
        <family val="2"/>
        <scheme val="minor"/>
      </rPr>
      <t>2</t>
    </r>
  </si>
  <si>
    <r>
      <t>(n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-1) + …. + (n</t>
    </r>
    <r>
      <rPr>
        <b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-1)</t>
    </r>
  </si>
  <si>
    <t>Calibration Curve</t>
  </si>
  <si>
    <t xml:space="preserve">A </t>
  </si>
  <si>
    <t>Analytical Measurement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</si>
  <si>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(x̅</t>
    </r>
    <r>
      <rPr>
        <vertAlign val="subscript"/>
        <sz val="11"/>
        <color theme="1"/>
        <rFont val="Calibri"/>
        <family val="2"/>
        <scheme val="minor"/>
      </rPr>
      <t>cs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</si>
  <si>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t>Combined Uncertatinty</t>
  </si>
  <si>
    <t>Combined Uncertainty</t>
  </si>
  <si>
    <t>Formula for the combined uncertainty = comU =</t>
  </si>
  <si>
    <t xml:space="preserve"> Conc </t>
  </si>
  <si>
    <t>Concentration =</t>
  </si>
  <si>
    <t>Effetive Degrees of Freedom</t>
  </si>
  <si>
    <r>
      <t>Effective degree of freedom (DF</t>
    </r>
    <r>
      <rPr>
        <b/>
        <vertAlign val="subscript"/>
        <sz val="14"/>
        <color theme="1"/>
        <rFont val="Calibri"/>
        <family val="2"/>
        <scheme val="minor"/>
      </rPr>
      <t>eff</t>
    </r>
    <r>
      <rPr>
        <b/>
        <sz val="14"/>
        <color theme="1"/>
        <rFont val="Calibri"/>
        <family val="2"/>
        <scheme val="minor"/>
      </rPr>
      <t>)</t>
    </r>
  </si>
  <si>
    <r>
      <t>Formula for effective degrees of freedom = DF</t>
    </r>
    <r>
      <rPr>
        <b/>
        <vertAlign val="subscript"/>
        <sz val="11"/>
        <color theme="1"/>
        <rFont val="Calibri"/>
        <family val="2"/>
        <scheme val="minor"/>
      </rPr>
      <t>eff</t>
    </r>
    <r>
      <rPr>
        <b/>
        <sz val="11"/>
        <color theme="1"/>
        <rFont val="Calibri"/>
        <family val="2"/>
        <scheme val="minor"/>
      </rPr>
      <t xml:space="preserve"> =</t>
    </r>
  </si>
  <si>
    <r>
      <t>DF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=</t>
    </r>
  </si>
  <si>
    <r>
      <t>DF</t>
    </r>
    <r>
      <rPr>
        <vertAlign val="subscript"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 xml:space="preserve"> =</t>
    </r>
  </si>
  <si>
    <t>MtxDF*</t>
  </si>
  <si>
    <t>Expanded Uncertainty</t>
  </si>
  <si>
    <t>Formula for the expanded uncertainty = ExpU =</t>
  </si>
  <si>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 xml:space="preserve"> x Combined Uncertainty</t>
    </r>
  </si>
  <si>
    <t>3*x comU</t>
  </si>
  <si>
    <r>
      <t>where</t>
    </r>
    <r>
      <rPr>
        <i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is the coverage factor for approximately 99.7% probability.</t>
    </r>
  </si>
  <si>
    <t>Use k = 2 for 95%.</t>
  </si>
  <si>
    <t>ExpU% =</t>
  </si>
  <si>
    <t>The reported value is Conc ± ExpU or Conc ± ExpU%, where  the percentage of uncertainity (ExpU%) is given by</t>
  </si>
  <si>
    <t>Percentage Expanded Uncertainty</t>
  </si>
  <si>
    <t>Formula for the percentage expanded uncertainty = ExpU% =</t>
  </si>
  <si>
    <t xml:space="preserve">Analytical measurement  </t>
  </si>
  <si>
    <r>
      <t>*Relative SU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(Pre)=SU/NC</t>
    </r>
  </si>
  <si>
    <r>
      <t>u</t>
    </r>
    <r>
      <rPr>
        <b/>
        <u/>
        <vertAlign val="subscript"/>
        <sz val="11"/>
        <color theme="1"/>
        <rFont val="Calibri"/>
        <family val="2"/>
        <scheme val="minor"/>
      </rPr>
      <t>r</t>
    </r>
    <r>
      <rPr>
        <b/>
        <u/>
        <sz val="11"/>
        <color theme="1"/>
        <rFont val="Calibri"/>
        <family val="2"/>
        <scheme val="minor"/>
      </rPr>
      <t>(Pre)</t>
    </r>
    <r>
      <rPr>
        <b/>
        <u/>
        <vertAlign val="superscript"/>
        <sz val="11"/>
        <color theme="1"/>
        <rFont val="Calibri"/>
        <family val="2"/>
        <scheme val="minor"/>
      </rPr>
      <t>4</t>
    </r>
  </si>
  <si>
    <r>
      <t>u</t>
    </r>
    <r>
      <rPr>
        <b/>
        <u/>
        <vertAlign val="subscript"/>
        <sz val="11"/>
        <color theme="1"/>
        <rFont val="Calibri"/>
        <family val="2"/>
        <scheme val="minor"/>
      </rPr>
      <t>r</t>
    </r>
    <r>
      <rPr>
        <b/>
        <u/>
        <sz val="11"/>
        <color theme="1"/>
        <rFont val="Calibri"/>
        <family val="2"/>
        <scheme val="minor"/>
      </rPr>
      <t>(CC</t>
    </r>
    <r>
      <rPr>
        <b/>
        <u/>
        <vertAlign val="subscript"/>
        <sz val="11"/>
        <color theme="1"/>
        <rFont val="Calibri"/>
        <family val="2"/>
        <scheme val="minor"/>
      </rPr>
      <t>Sp</t>
    </r>
    <r>
      <rPr>
        <b/>
        <u/>
        <sz val="11"/>
        <color theme="1"/>
        <rFont val="Calibri"/>
        <family val="2"/>
        <scheme val="minor"/>
      </rPr>
      <t>)</t>
    </r>
    <r>
      <rPr>
        <b/>
        <u/>
        <vertAlign val="superscript"/>
        <sz val="11"/>
        <color theme="1"/>
        <rFont val="Calibri"/>
        <family val="2"/>
        <scheme val="minor"/>
      </rPr>
      <t>4</t>
    </r>
  </si>
  <si>
    <r>
      <t>CC</t>
    </r>
    <r>
      <rPr>
        <b/>
        <vertAlign val="subscript"/>
        <sz val="11"/>
        <color theme="1"/>
        <rFont val="Calibri"/>
        <family val="2"/>
      </rPr>
      <t>Sp</t>
    </r>
    <r>
      <rPr>
        <b/>
        <sz val="11"/>
        <color theme="1"/>
        <rFont val="Calibri"/>
        <family val="2"/>
      </rPr>
      <t>DF*</t>
    </r>
  </si>
  <si>
    <r>
      <t>u</t>
    </r>
    <r>
      <rPr>
        <b/>
        <u/>
        <vertAlign val="subscript"/>
        <sz val="11"/>
        <color theme="1"/>
        <rFont val="Calibri"/>
        <family val="2"/>
        <scheme val="minor"/>
      </rPr>
      <t>r</t>
    </r>
    <r>
      <rPr>
        <b/>
        <u/>
        <sz val="11"/>
        <color theme="1"/>
        <rFont val="Calibri"/>
        <family val="2"/>
        <scheme val="minor"/>
      </rPr>
      <t>(Cur)</t>
    </r>
    <r>
      <rPr>
        <b/>
        <u/>
        <vertAlign val="superscript"/>
        <sz val="11"/>
        <color theme="1"/>
        <rFont val="Calibri"/>
        <family val="2"/>
        <scheme val="minor"/>
      </rPr>
      <t>4</t>
    </r>
  </si>
  <si>
    <t>PreDF</t>
  </si>
  <si>
    <t>Precision DF  PreDF = ∑DF=22</t>
  </si>
  <si>
    <t>CurDF</t>
  </si>
  <si>
    <r>
      <t>*The degrees of freedom of the standard solution and matrix are unknown and therefore CC</t>
    </r>
    <r>
      <rPr>
        <vertAlign val="subscript"/>
        <sz val="11"/>
        <color theme="1"/>
        <rFont val="Calibri"/>
        <family val="2"/>
        <scheme val="minor"/>
      </rPr>
      <t>Sp</t>
    </r>
    <r>
      <rPr>
        <sz val="11"/>
        <color theme="1"/>
        <rFont val="Calibri"/>
        <family val="2"/>
        <scheme val="minor"/>
      </rPr>
      <t>DF and MtxDF =  ∞ (infinity) which gives 0 when divided.</t>
    </r>
  </si>
  <si>
    <r>
      <t>u(Cur)/x̅</t>
    </r>
    <r>
      <rPr>
        <b/>
        <vertAlign val="subscript"/>
        <sz val="11"/>
        <color theme="1"/>
        <rFont val="Calibri"/>
        <family val="2"/>
        <scheme val="minor"/>
      </rPr>
      <t>cs</t>
    </r>
  </si>
  <si>
    <t>Calibration Df (CurDF)</t>
  </si>
  <si>
    <t>Formula for the uncertainty of the calibration curve = u(Cur) =</t>
  </si>
  <si>
    <t>u(Cur) =</t>
  </si>
  <si>
    <r>
      <t>u</t>
    </r>
    <r>
      <rPr>
        <b/>
        <u/>
        <vertAlign val="subscript"/>
        <sz val="11"/>
        <color theme="1"/>
        <rFont val="Calibri"/>
        <family val="2"/>
        <scheme val="minor"/>
      </rPr>
      <t>r</t>
    </r>
    <r>
      <rPr>
        <b/>
        <u/>
        <sz val="11"/>
        <color theme="1"/>
        <rFont val="Calibri"/>
        <family val="2"/>
        <scheme val="minor"/>
      </rPr>
      <t>(Mtx)</t>
    </r>
    <r>
      <rPr>
        <b/>
        <u/>
        <vertAlign val="superscript"/>
        <sz val="11"/>
        <color theme="1"/>
        <rFont val="Calibri"/>
        <family val="2"/>
        <scheme val="minor"/>
      </rPr>
      <t>4</t>
    </r>
  </si>
  <si>
    <r>
      <t>∑((Individual Uncertainty)</t>
    </r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/(Individual DF))</t>
    </r>
  </si>
  <si>
    <r>
      <t>∑(Individual Uncertainty)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</si>
  <si>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*u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(Pre)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(CC</t>
    </r>
    <r>
      <rPr>
        <b/>
        <vertAlign val="subscript"/>
        <sz val="11"/>
        <color theme="1"/>
        <rFont val="Calibri"/>
        <family val="2"/>
        <scheme val="minor"/>
      </rPr>
      <t>Sp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(Cur)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(Mtx)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/>
    </r>
  </si>
  <si>
    <r>
      <t>*u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(Pre)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(x̅</t>
    </r>
    <r>
      <rPr>
        <b/>
        <vertAlign val="subscript"/>
        <sz val="11"/>
        <color theme="1"/>
        <rFont val="Calibri"/>
        <family val="2"/>
        <scheme val="minor"/>
      </rPr>
      <t>cs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(Mtx)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/>
    </r>
  </si>
  <si>
    <r>
      <t>Relative Standard Uncertainty 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(Cur) = 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</si>
  <si>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(CC</t>
    </r>
    <r>
      <rPr>
        <b/>
        <vertAlign val="subscript"/>
        <sz val="11"/>
        <color theme="1"/>
        <rFont val="Calibri"/>
        <family val="2"/>
        <scheme val="minor"/>
      </rPr>
      <t>Sp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(Cur)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</si>
  <si>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Formula for the relative uncertainty of analytical measurement 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(x̅</t>
    </r>
    <r>
      <rPr>
        <b/>
        <vertAlign val="subscript"/>
        <sz val="11"/>
        <color theme="1"/>
        <rFont val="Calibri"/>
        <family val="2"/>
        <scheme val="minor"/>
      </rPr>
      <t>cs</t>
    </r>
    <r>
      <rPr>
        <b/>
        <sz val="11"/>
        <color theme="1"/>
        <rFont val="Calibri"/>
        <family val="2"/>
        <scheme val="minor"/>
      </rPr>
      <t xml:space="preserve">) = 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</si>
  <si>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(CC</t>
    </r>
    <r>
      <rPr>
        <vertAlign val="subscript"/>
        <sz val="11"/>
        <color theme="1"/>
        <rFont val="Calibri"/>
        <family val="2"/>
        <scheme val="minor"/>
      </rPr>
      <t>Sp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</si>
  <si>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t>RS Uncertainty of analytical measurement</t>
  </si>
  <si>
    <t>Uncertatinty AcF = AC/rCF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</si>
  <si>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(pip)</t>
    </r>
    <r>
      <rPr>
        <vertAlign val="superscript"/>
        <sz val="11"/>
        <color theme="1"/>
        <rFont val="Calibri"/>
        <family val="2"/>
        <scheme val="minor"/>
      </rPr>
      <t>2</t>
    </r>
  </si>
  <si>
    <t>RS Uncertainty of pipette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</si>
  <si>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(Ref)</t>
    </r>
    <r>
      <rPr>
        <vertAlign val="superscript"/>
        <sz val="11"/>
        <color theme="1"/>
        <rFont val="Calibri"/>
        <family val="2"/>
        <scheme val="minor"/>
      </rPr>
      <t>2</t>
    </r>
  </si>
  <si>
    <t>RS Uncertainty of Ref</t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</si>
  <si>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(ISRef)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</si>
  <si>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RS Uncertainty of ISRef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</si>
  <si>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(Mtx)</t>
    </r>
    <r>
      <rPr>
        <vertAlign val="superscript"/>
        <sz val="11"/>
        <color theme="1"/>
        <rFont val="Calibri"/>
        <family val="2"/>
        <scheme val="minor"/>
      </rPr>
      <t>2</t>
    </r>
  </si>
  <si>
    <t>RS Uncertainty of Matrix Vol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</si>
  <si>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(Vol-10)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</si>
  <si>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(Ref)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</rPr>
      <t>Σ[</t>
    </r>
    <r>
      <rPr>
        <b/>
        <sz val="11"/>
        <color theme="1"/>
        <rFont val="Calibri"/>
        <family val="2"/>
        <scheme val="minor"/>
      </rP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(pip-X)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</si>
  <si>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Formula for the relative uncertainty of ISSP Prep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(ISSP) =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</si>
  <si>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(ISRef)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 Σ[u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(pip-X)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</si>
  <si>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(pip-10)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</si>
  <si>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(pip-25)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 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</si>
  <si>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(pip-50)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</si>
  <si>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(pip-100)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</si>
  <si>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(pip-250)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</si>
  <si>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(pip-1000)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</si>
  <si>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(ISRef)</t>
    </r>
    <r>
      <rPr>
        <vertAlign val="superscript"/>
        <sz val="11"/>
        <color theme="1"/>
        <rFont val="Calibri"/>
        <family val="2"/>
        <scheme val="minor"/>
      </rPr>
      <t>2</t>
    </r>
  </si>
  <si>
    <t>RS Uncertainty of ISSP</t>
  </si>
  <si>
    <t>RS Uncertainty of CALSP-1</t>
  </si>
  <si>
    <t>RS Uncertainty of CALSP-6</t>
  </si>
  <si>
    <t>RS Uncertainty of CALSP-7</t>
  </si>
  <si>
    <t>RS Uncertainty of CALSP-8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</si>
  <si>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(CALSP-6)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</si>
  <si>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(CALSP-7)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</si>
  <si>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(CALSP-8)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</si>
  <si>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(CALSP-1)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</si>
  <si>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(CALSP-2)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</si>
  <si>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(CALSP-3)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</si>
  <si>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(CALSP-4)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</si>
  <si>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(CALSP-5)</t>
    </r>
    <r>
      <rPr>
        <vertAlign val="superscript"/>
        <sz val="11"/>
        <color theme="1"/>
        <rFont val="Calibri"/>
        <family val="2"/>
        <scheme val="minor"/>
      </rPr>
      <t>2</t>
    </r>
  </si>
  <si>
    <t>RS Uncertainty of CALSP-5</t>
  </si>
  <si>
    <t>RS Uncertainty of CALSP-3</t>
  </si>
  <si>
    <t>RS Uncertainty of CALSP-4</t>
  </si>
  <si>
    <t>RS Uncertainty of CALSP-2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</si>
  <si>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(ISSP)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</si>
  <si>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(CC</t>
    </r>
    <r>
      <rPr>
        <vertAlign val="subscript"/>
        <sz val="11"/>
        <color theme="1"/>
        <rFont val="Calibri"/>
        <family val="2"/>
        <scheme val="minor"/>
      </rPr>
      <t>Sp</t>
    </r>
    <r>
      <rPr>
        <sz val="11"/>
        <color theme="1"/>
        <rFont val="Calibri"/>
        <family val="2"/>
        <scheme val="minor"/>
      </rPr>
      <t>) =</t>
    </r>
  </si>
  <si>
    <r>
      <t>Formula for the relative uncertainty of calibration curve spiking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(CC</t>
    </r>
    <r>
      <rPr>
        <b/>
        <vertAlign val="subscript"/>
        <sz val="11"/>
        <color theme="1"/>
        <rFont val="Calibri"/>
        <family val="2"/>
        <scheme val="minor"/>
      </rPr>
      <t>Sp</t>
    </r>
    <r>
      <rPr>
        <b/>
        <sz val="11"/>
        <color theme="1"/>
        <rFont val="Calibri"/>
        <family val="2"/>
        <scheme val="minor"/>
      </rPr>
      <t>) =</t>
    </r>
  </si>
  <si>
    <t>RS Uncertainty of Cal Curve Spiking</t>
  </si>
  <si>
    <r>
      <t>Formula for the relative uncertainty of Matrix Volume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(Mtx) =</t>
    </r>
  </si>
  <si>
    <t>RS Uncertainty of Vol(10)</t>
  </si>
  <si>
    <r>
      <t>Case Sample reps (r</t>
    </r>
    <r>
      <rPr>
        <b/>
        <vertAlign val="subscript"/>
        <sz val="11"/>
        <color theme="1"/>
        <rFont val="Calibri"/>
        <family val="2"/>
        <scheme val="minor"/>
      </rPr>
      <t>cs</t>
    </r>
    <r>
      <rPr>
        <b/>
        <sz val="11"/>
        <color theme="1"/>
        <rFont val="Calibri"/>
        <family val="2"/>
        <scheme val="minor"/>
      </rPr>
      <t>)</t>
    </r>
  </si>
  <si>
    <t>(ExpU/Conc) x 100</t>
  </si>
  <si>
    <t xml:space="preserve">Concentration (µg/L)  </t>
  </si>
  <si>
    <r>
      <t xml:space="preserve">*Use the relative standard uncertainity of precision </t>
    </r>
    <r>
      <rPr>
        <b/>
        <sz val="11"/>
        <color theme="1"/>
        <rFont val="Calibri"/>
        <family val="2"/>
        <scheme val="minor"/>
      </rPr>
      <t>(u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(Pre))</t>
    </r>
    <r>
      <rPr>
        <sz val="11"/>
        <color theme="1"/>
        <rFont val="Calibri"/>
        <family val="2"/>
        <scheme val="minor"/>
      </rPr>
      <t xml:space="preserve"> which has a nominal concentration </t>
    </r>
    <r>
      <rPr>
        <b/>
        <sz val="11"/>
        <color theme="1"/>
        <rFont val="Calibri"/>
        <family val="2"/>
        <scheme val="minor"/>
      </rPr>
      <t>(NC)</t>
    </r>
    <r>
      <rPr>
        <sz val="11"/>
        <color theme="1"/>
        <rFont val="Calibri"/>
        <family val="2"/>
        <scheme val="minor"/>
      </rPr>
      <t xml:space="preserve"> closest to the mean of the analytical results obtained for the case sample.</t>
    </r>
  </si>
  <si>
    <r>
      <t>Nominal Conc (NC)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g/L)</t>
    </r>
  </si>
  <si>
    <r>
      <t>*Use the relative standard uncertainity of precision (u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(Pre)) which has a nominal concentration (NC) closest to the mean of the analytical results obtained for the case sample.</t>
    </r>
  </si>
  <si>
    <r>
      <t>*Given that  the  effective degress of freedom DF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(computations given in sheet='Effective DF') is large enough to assume a normal distribution, a  coverage factor of k = 3 is used for a coverage probabilty of 99.7%.</t>
    </r>
  </si>
  <si>
    <t>Note</t>
  </si>
  <si>
    <t xml:space="preserve">Uncertainty of Precision </t>
  </si>
  <si>
    <t xml:space="preserve">The precision uncertainty tab calculates different values for each nominal value used.  </t>
  </si>
  <si>
    <t>Use the precsion value which as a nominal concentration closest to the mean of the analytical results obtained for the case sample.</t>
  </si>
  <si>
    <t>Uncertainty of Standard Solution Preparation and Calibration Curve Spiking</t>
  </si>
  <si>
    <t>To determine the uncertainty of the standard solution(s) and calibration curve spiking, the following parameters for each standard solution and calibrator need to be entered:</t>
  </si>
  <si>
    <t>1. The purity and accuracy of the reference standard (CRM).</t>
  </si>
  <si>
    <t>2. The volume, accuracy and number of times each pipette and/or volumetric flask is used.</t>
  </si>
  <si>
    <t>Uncertainty of Calibration and Analytical Measurement</t>
  </si>
  <si>
    <t>Identify the calibration curve with the largest standard error (SE).  The calibration data of that curve ('Calibration &amp; Measurement' cells C30-D39) is used to calculate the regression parameters.</t>
  </si>
  <si>
    <t>Computing the uncertainty of calibration requires specifiying the mean analytical result of a case sample, and the number of replicates used to determine that concentration.</t>
  </si>
  <si>
    <t>The uncertainty of calibration (and analytical measurement) can then be computed using the specified formulae.  The computations have been demonstrated for duplicate results at the 3 QC levels.</t>
  </si>
  <si>
    <t>Recommendations for reducing measurement uncertainty</t>
  </si>
  <si>
    <t>2. Add more data.</t>
  </si>
  <si>
    <t>Quantifying the Sources of Uncertainity</t>
  </si>
  <si>
    <t>1. Narrow the calibration concentration range around the specified limit concentration.</t>
  </si>
  <si>
    <r>
      <t>(Combined Uncertainty/Concentration)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</si>
  <si>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(comU/Conc)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</si>
  <si>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 xml:space="preserve">  Cocaine-d</t>
    </r>
    <r>
      <rPr>
        <b/>
        <vertAlign val="subscript"/>
        <sz val="13"/>
        <color theme="1"/>
        <rFont val="Calibri"/>
        <family val="2"/>
        <scheme val="minor"/>
      </rPr>
      <t>8</t>
    </r>
  </si>
  <si>
    <t>Coc</t>
  </si>
  <si>
    <r>
      <t>Coc-d</t>
    </r>
    <r>
      <rPr>
        <vertAlign val="subscript"/>
        <sz val="10"/>
        <color theme="1"/>
        <rFont val="Calibri"/>
        <family val="2"/>
        <scheme val="minor"/>
      </rPr>
      <t>8</t>
    </r>
  </si>
  <si>
    <t>Accuracy (AC (± µg/L))</t>
  </si>
  <si>
    <t>Vol (µL)</t>
  </si>
  <si>
    <t>Accuracy (AC (± µL))</t>
  </si>
  <si>
    <t>Result for Sample Vol (200 uL)</t>
  </si>
  <si>
    <t xml:space="preserve">  Cocaine</t>
  </si>
  <si>
    <r>
      <t>Formula for the relative uncertainty of CAL-WS1 Prep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(CAL-WS1) =</t>
    </r>
  </si>
  <si>
    <r>
      <t>Formula for the relative uncertainty of CAL-WS2 Prep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(CAL-WS2) =</t>
    </r>
  </si>
  <si>
    <r>
      <t>Formula for the relative uncertainty of CAL-WS3 Prep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(CAL-WS3) =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</si>
  <si>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(CAL-WS1)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+ Σ[u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(pip-X)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</si>
  <si>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(Ref)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+ Σ[u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(pip-X)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</si>
  <si>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CAL-WS1</t>
  </si>
  <si>
    <t>CAL-WS2</t>
  </si>
  <si>
    <t>CAL-WS3</t>
  </si>
  <si>
    <t>CAL-WS4</t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</si>
  <si>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(CALSP-1)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(CALSP-2)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(CALSP-3)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(CALSP-4)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(CALSP-5)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(CALSP-6)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(CALSP-7)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(CALSP-8)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 spk vol)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(ISSP)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(IS spk vol)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(matrix vol)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</si>
  <si>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(from CRM)</t>
  </si>
  <si>
    <t>(serial dilution of CAL-WS1)</t>
  </si>
  <si>
    <r>
      <t>Formula for the relative uncertainty of IS-WS1 Prep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(IS-WS1) =</t>
    </r>
  </si>
  <si>
    <r>
      <t>Formula for the relative uncertainty of CAL-WS4 Prep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(CAL-WS4) =</t>
    </r>
  </si>
  <si>
    <t>Result for CAL-WS1</t>
  </si>
  <si>
    <t>Result for CAL-WS3</t>
  </si>
  <si>
    <t>Result for IS-WS1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</si>
  <si>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(CAL-WS4)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</si>
  <si>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(CAL-WS3)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</si>
  <si>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(CAL-WS2)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</si>
  <si>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(CAL-WS1)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</si>
  <si>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(IS-WS1)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Σ[u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(pip-X)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(Vol-10)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</si>
  <si>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Formula for the relative uncertainty of CALSP-X Prep =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(CALSP-X) =</t>
    </r>
  </si>
  <si>
    <t>Aliquotting of drug and solvent</t>
  </si>
  <si>
    <r>
      <t>Σ[u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(CAL-WSX)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] + </t>
    </r>
    <r>
      <rPr>
        <b/>
        <sz val="11"/>
        <color theme="1"/>
        <rFont val="Calibri"/>
        <family val="2"/>
        <scheme val="minor"/>
      </rPr>
      <t>Σ[u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(pip-X)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</si>
  <si>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Result for CAL-WS4</t>
  </si>
  <si>
    <t>(CRM)</t>
  </si>
  <si>
    <t>(serial dilution)</t>
  </si>
  <si>
    <r>
      <t>Result for CAL-WS2</t>
    </r>
    <r>
      <rPr>
        <b/>
        <i/>
        <sz val="11"/>
        <color theme="1"/>
        <rFont val="Calibri"/>
        <family val="2"/>
        <scheme val="minor"/>
      </rPr>
      <t xml:space="preserve"> (CRM)</t>
    </r>
  </si>
  <si>
    <r>
      <t xml:space="preserve">Result for CAL-WS2 </t>
    </r>
    <r>
      <rPr>
        <b/>
        <i/>
        <sz val="11"/>
        <color theme="1"/>
        <rFont val="Calibri"/>
        <family val="2"/>
        <scheme val="minor"/>
      </rPr>
      <t>(serial dilution)</t>
    </r>
  </si>
  <si>
    <t>RS Uncertainty of CAL-WS1</t>
  </si>
  <si>
    <t>RS Uncertainty of CAL-WS2</t>
  </si>
  <si>
    <t>RS Uncertainty of CAL-WS3</t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</si>
  <si>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(pip-250</t>
    </r>
    <r>
      <rPr>
        <b/>
        <vertAlign val="subscript"/>
        <sz val="11"/>
        <color theme="1"/>
        <rFont val="Calibri"/>
        <family val="2"/>
        <scheme val="minor"/>
      </rPr>
      <t>(200)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</si>
  <si>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(pip-250)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</si>
  <si>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Volumetric flask (Vol-10)
</t>
    </r>
    <r>
      <rPr>
        <sz val="11"/>
        <color theme="1"/>
        <rFont val="Calibri"/>
        <family val="2"/>
        <scheme val="minor"/>
      </rPr>
      <t>(10 mL = 10000 µL)</t>
    </r>
  </si>
  <si>
    <t>RS Uncertainty of CAL-WS4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</si>
  <si>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(CAL-WS2)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(CRM)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</si>
  <si>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(CAL-WS2)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(serial diln)</t>
    </r>
  </si>
  <si>
    <r>
      <t xml:space="preserve">CAL-WS2 </t>
    </r>
    <r>
      <rPr>
        <b/>
        <i/>
        <sz val="11"/>
        <color theme="1"/>
        <rFont val="Calibri"/>
        <family val="2"/>
        <scheme val="minor"/>
      </rPr>
      <t>(sd)</t>
    </r>
  </si>
  <si>
    <r>
      <t xml:space="preserve">CAL-WS2 </t>
    </r>
    <r>
      <rPr>
        <b/>
        <i/>
        <sz val="11"/>
        <color theme="1"/>
        <rFont val="Calibri"/>
        <family val="2"/>
        <scheme val="minor"/>
      </rPr>
      <t>(CRM)</t>
    </r>
  </si>
  <si>
    <t>IS-WS1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</si>
  <si>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(IS-WS1)</t>
    </r>
    <r>
      <rPr>
        <vertAlign val="superscript"/>
        <sz val="11"/>
        <color theme="1"/>
        <rFont val="Calibri"/>
        <family val="2"/>
        <scheme val="minor"/>
      </rPr>
      <t>2</t>
    </r>
  </si>
  <si>
    <t>RS Uncertainty of IS-WS1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</si>
  <si>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(pip-10)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x 8</t>
    </r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</si>
  <si>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(Vol)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x 8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</si>
  <si>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(CALSP-1)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(CALSP-2)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(CALSP-3)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(CALSP-4)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(CALSP-5)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(CALSP-6)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(CALSP-7)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(CALSP-8)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+ 8*[u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(Pip-10)</t>
    </r>
    <r>
      <rPr>
        <b/>
        <vertAlign val="superscript"/>
        <sz val="11"/>
        <color theme="1"/>
        <rFont val="Calibri"/>
        <family val="2"/>
        <scheme val="minor"/>
      </rPr>
      <t>2]</t>
    </r>
    <r>
      <rPr>
        <b/>
        <sz val="11"/>
        <color theme="1"/>
        <rFont val="Calibri"/>
        <family val="2"/>
        <scheme val="minor"/>
      </rPr>
      <t xml:space="preserve"> + 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(ISSP)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+ 8*[u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(Pip-10)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 + 8*[u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(Mtx)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</si>
  <si>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UM for each calibrators 1-10 - first each cal working solution and subsequent spiking solution, then spiking of each cal.</t>
  </si>
  <si>
    <t>CRM conc (mg/mL)</t>
  </si>
  <si>
    <t>Weights</t>
  </si>
  <si>
    <t>Weighted 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</si>
  <si>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</si>
  <si>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</si>
  <si>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</si>
  <si>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</si>
  <si>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</si>
  <si>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</si>
  <si>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</si>
  <si>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</si>
  <si>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BSC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</si>
  <si>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</si>
  <si>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</si>
  <si>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</si>
  <si>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</si>
  <si>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</si>
  <si>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</si>
  <si>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</si>
  <si>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</si>
  <si>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</si>
  <si>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</si>
  <si>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coeff</t>
  </si>
  <si>
    <t>std err</t>
  </si>
  <si>
    <t>t stat</t>
  </si>
  <si>
    <t>lower</t>
  </si>
  <si>
    <t>upper</t>
  </si>
  <si>
    <t>vif</t>
  </si>
  <si>
    <t>Intercept</t>
  </si>
  <si>
    <t>xw</t>
  </si>
  <si>
    <r>
      <t>x̅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=  (∑xw)/n</t>
    </r>
  </si>
  <si>
    <r>
      <t>Weighted X Mean
(x̅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>)</t>
    </r>
  </si>
  <si>
    <t>yw</t>
  </si>
  <si>
    <r>
      <rPr>
        <b/>
        <sz val="11"/>
        <color theme="1"/>
        <rFont val="Calibri"/>
        <family val="2"/>
      </rPr>
      <t>y̅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=  (∑xw)/n</t>
    </r>
  </si>
  <si>
    <r>
      <t>b1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[∑wx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-n(x̅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</si>
  <si>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(y</t>
    </r>
    <r>
      <rPr>
        <b/>
        <u/>
        <vertAlign val="subscript"/>
        <sz val="11"/>
        <color theme="1"/>
        <rFont val="Calibri"/>
        <family val="2"/>
        <scheme val="minor"/>
      </rPr>
      <t>cs</t>
    </r>
    <r>
      <rPr>
        <b/>
        <u/>
        <sz val="11"/>
        <color theme="1"/>
        <rFont val="Calibri"/>
        <family val="2"/>
        <scheme val="minor"/>
      </rPr>
      <t xml:space="preserve"> -  y̅</t>
    </r>
    <r>
      <rPr>
        <b/>
        <u/>
        <vertAlign val="subscript"/>
        <sz val="11"/>
        <color theme="1"/>
        <rFont val="Calibri"/>
        <family val="2"/>
        <scheme val="minor"/>
      </rPr>
      <t>w</t>
    </r>
    <r>
      <rPr>
        <b/>
        <u/>
        <sz val="11"/>
        <color theme="1"/>
        <rFont val="Calibri"/>
        <family val="2"/>
        <scheme val="minor"/>
      </rPr>
      <t>)</t>
    </r>
    <r>
      <rPr>
        <b/>
        <u/>
        <vertAlign val="superscript"/>
        <sz val="11"/>
        <color theme="1"/>
        <rFont val="Calibri"/>
        <family val="2"/>
        <scheme val="minor"/>
      </rPr>
      <t>2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</si>
  <si>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cs</t>
    </r>
  </si>
  <si>
    <t>Case Sample</t>
  </si>
  <si>
    <r>
      <t>Peak Area Rotio (y</t>
    </r>
    <r>
      <rPr>
        <b/>
        <vertAlign val="subscript"/>
        <sz val="11"/>
        <color theme="1"/>
        <rFont val="Calibri"/>
        <family val="2"/>
        <scheme val="minor"/>
      </rPr>
      <t>cs</t>
    </r>
    <r>
      <rPr>
        <b/>
        <sz val="11"/>
        <color theme="1"/>
        <rFont val="Calibri"/>
        <family val="2"/>
        <scheme val="minor"/>
      </rPr>
      <t xml:space="preserve">) </t>
    </r>
  </si>
  <si>
    <r>
      <t>Std Error
(SE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>)</t>
    </r>
  </si>
  <si>
    <r>
      <t>SE</t>
    </r>
    <r>
      <rPr>
        <b/>
        <u/>
        <vertAlign val="subscript"/>
        <sz val="11"/>
        <color theme="1"/>
        <rFont val="Calibri"/>
        <family val="2"/>
        <scheme val="minor"/>
      </rPr>
      <t>w(p)</t>
    </r>
  </si>
  <si>
    <r>
      <t>SE</t>
    </r>
    <r>
      <rPr>
        <b/>
        <vertAlign val="subscript"/>
        <sz val="11"/>
        <color theme="1"/>
        <rFont val="Calibri"/>
        <family val="2"/>
        <scheme val="minor"/>
      </rPr>
      <t xml:space="preserve">w(p) </t>
    </r>
    <r>
      <rPr>
        <b/>
        <sz val="11"/>
        <color theme="1"/>
        <rFont val="Calibri"/>
        <family val="2"/>
        <scheme val="minor"/>
      </rPr>
      <t>=</t>
    </r>
  </si>
  <si>
    <r>
      <rPr>
        <b/>
        <vertAlign val="sub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</t>
    </r>
  </si>
  <si>
    <r>
      <t>SE</t>
    </r>
    <r>
      <rPr>
        <b/>
        <vertAlign val="subscript"/>
        <sz val="11"/>
        <color theme="1"/>
        <rFont val="Calibri"/>
        <family val="2"/>
        <scheme val="minor"/>
      </rPr>
      <t xml:space="preserve">w(p) </t>
    </r>
    <r>
      <rPr>
        <b/>
        <sz val="11"/>
        <color theme="1"/>
        <rFont val="Calibri"/>
        <family val="2"/>
        <scheme val="minor"/>
      </rPr>
      <t>is used as a reliable estimate for SE</t>
    </r>
    <r>
      <rPr>
        <b/>
        <vertAlign val="subscript"/>
        <sz val="11"/>
        <color theme="1"/>
        <rFont val="Calibri"/>
        <family val="2"/>
        <scheme val="minor"/>
      </rPr>
      <t>w</t>
    </r>
  </si>
  <si>
    <r>
      <t>1/w</t>
    </r>
    <r>
      <rPr>
        <vertAlign val="subscript"/>
        <sz val="11"/>
        <color theme="1"/>
        <rFont val="Calibri"/>
        <family val="2"/>
        <scheme val="minor"/>
      </rPr>
      <t>cs</t>
    </r>
  </si>
  <si>
    <t>w = 1/x^2</t>
  </si>
  <si>
    <r>
      <t>w</t>
    </r>
    <r>
      <rPr>
        <b/>
        <vertAlign val="subscript"/>
        <sz val="11"/>
        <color theme="1"/>
        <rFont val="Calibri"/>
        <family val="2"/>
        <scheme val="minor"/>
      </rPr>
      <t>cs</t>
    </r>
    <r>
      <rPr>
        <b/>
        <sz val="11"/>
        <color theme="1"/>
        <rFont val="Calibri"/>
        <family val="2"/>
        <scheme val="minor"/>
      </rPr>
      <t xml:space="preserve"> = 1/x</t>
    </r>
    <r>
      <rPr>
        <b/>
        <vertAlign val="subscript"/>
        <sz val="11"/>
        <color theme="1"/>
        <rFont val="Calibri"/>
        <family val="2"/>
        <scheme val="minor"/>
      </rPr>
      <t>cs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</si>
  <si>
    <t>(ycs -  y̅w)2</t>
  </si>
  <si>
    <r>
      <t>wx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</si>
  <si>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∑wx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</si>
  <si>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SE</t>
    </r>
    <r>
      <rPr>
        <b/>
        <vertAlign val="subscript"/>
        <sz val="11"/>
        <color theme="1"/>
        <rFont val="Calibri"/>
        <family val="2"/>
        <scheme val="minor"/>
      </rPr>
      <t>w</t>
    </r>
  </si>
  <si>
    <r>
      <t>(n-1)SE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</si>
  <si>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run1</t>
  </si>
  <si>
    <t>run2</t>
  </si>
  <si>
    <t>run3</t>
  </si>
  <si>
    <t>run4</t>
  </si>
  <si>
    <t>run5</t>
  </si>
  <si>
    <t>run6</t>
  </si>
  <si>
    <t>run7</t>
  </si>
  <si>
    <t>run8</t>
  </si>
  <si>
    <t>run10</t>
  </si>
  <si>
    <t>run11</t>
  </si>
  <si>
    <t>run9</t>
  </si>
  <si>
    <r>
      <t>b1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[∑wx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-n(x̅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</si>
  <si>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SE</t>
    </r>
    <r>
      <rPr>
        <vertAlign val="subscript"/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(p)</t>
    </r>
    <r>
      <rPr>
        <sz val="11"/>
        <color theme="1"/>
        <rFont val="Calibri"/>
        <family val="2"/>
        <scheme val="minor"/>
      </rPr>
      <t>/b1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</si>
</sst>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0"/>
    <numFmt numFmtId="165" formatCode="0.000"/>
    <numFmt numFmtId="166" formatCode="0.00000000"/>
    <numFmt numFmtId="167" formatCode="0.000000000"/>
    <numFmt numFmtId="168" formatCode="dd/mm/yy"/>
    <numFmt numFmtId="169" formatCode="0.0"/>
    <numFmt numFmtId="170" formatCode="dd/mm/yy;@"/>
    <numFmt numFmtId="171" formatCode="0.00000"/>
    <numFmt numFmtId="172" formatCode="0.0000E+00"/>
    <numFmt numFmtId="173" formatCode="0.0000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b/>
      <vertAlign val="subscript"/>
      <sz val="13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vertAlign val="subscript"/>
      <sz val="11"/>
      <color theme="1"/>
      <name val="Calibri"/>
      <family val="2"/>
      <scheme val="minor"/>
    </font>
    <font>
      <b/>
      <u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auto="1"/>
      </right>
      <top style="double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98">
    <xf numFmtId="0" fontId="0" fillId="0" borderId="0" xfId="0"/>
    <xf numFmtId="0" fontId="2" fillId="0" borderId="0" xfId="0" applyFont="1"/>
    <xf numFmtId="164" fontId="0" fillId="0" borderId="0" xfId="0" applyNumberFormat="1" applyBorder="1"/>
    <xf numFmtId="0" fontId="0" fillId="0" borderId="0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8" xfId="0" applyBorder="1"/>
    <xf numFmtId="0" fontId="1" fillId="0" borderId="0" xfId="0" applyFont="1"/>
    <xf numFmtId="0" fontId="5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1" fillId="0" borderId="0" xfId="0" applyFont="1" applyFill="1"/>
    <xf numFmtId="0" fontId="2" fillId="3" borderId="2" xfId="0" applyFont="1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0" xfId="0" applyFill="1" applyBorder="1"/>
    <xf numFmtId="0" fontId="1" fillId="3" borderId="11" xfId="0" applyFont="1" applyFill="1" applyBorder="1"/>
    <xf numFmtId="0" fontId="0" fillId="3" borderId="7" xfId="0" applyFill="1" applyBorder="1"/>
    <xf numFmtId="0" fontId="1" fillId="0" borderId="0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/>
    <xf numFmtId="0" fontId="1" fillId="3" borderId="6" xfId="0" applyFont="1" applyFill="1" applyBorder="1"/>
    <xf numFmtId="0" fontId="1" fillId="3" borderId="7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wrapText="1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3" borderId="0" xfId="0" applyFont="1" applyFill="1" applyBorder="1"/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" fontId="0" fillId="0" borderId="7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Fill="1"/>
    <xf numFmtId="0" fontId="0" fillId="3" borderId="0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6" fillId="0" borderId="0" xfId="0" applyFont="1"/>
    <xf numFmtId="0" fontId="0" fillId="0" borderId="0" xfId="0" applyFont="1"/>
    <xf numFmtId="0" fontId="11" fillId="0" borderId="0" xfId="0" applyFont="1" applyBorder="1" applyAlignment="1">
      <alignment horizontal="center"/>
    </xf>
    <xf numFmtId="0" fontId="0" fillId="2" borderId="0" xfId="0" applyFill="1" applyBorder="1"/>
    <xf numFmtId="1" fontId="0" fillId="0" borderId="3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165" fontId="0" fillId="0" borderId="23" xfId="0" applyNumberFormat="1" applyFill="1" applyBorder="1" applyAlignment="1">
      <alignment horizontal="center"/>
    </xf>
    <xf numFmtId="165" fontId="0" fillId="0" borderId="20" xfId="0" applyNumberFormat="1" applyFill="1" applyBorder="1" applyAlignment="1">
      <alignment horizontal="center"/>
    </xf>
    <xf numFmtId="165" fontId="0" fillId="0" borderId="27" xfId="0" applyNumberForma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5" borderId="9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168" fontId="2" fillId="0" borderId="0" xfId="0" applyNumberFormat="1" applyFont="1"/>
    <xf numFmtId="168" fontId="0" fillId="0" borderId="0" xfId="0" applyNumberFormat="1" applyFill="1"/>
    <xf numFmtId="168" fontId="0" fillId="0" borderId="0" xfId="0" applyNumberFormat="1" applyFill="1" applyBorder="1"/>
    <xf numFmtId="168" fontId="0" fillId="0" borderId="0" xfId="0" applyNumberFormat="1" applyFill="1" applyAlignment="1">
      <alignment horizontal="left"/>
    </xf>
    <xf numFmtId="168" fontId="1" fillId="2" borderId="0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8" fontId="1" fillId="2" borderId="7" xfId="0" applyNumberFormat="1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2" fontId="0" fillId="0" borderId="20" xfId="0" applyNumberFormat="1" applyFill="1" applyBorder="1" applyAlignment="1">
      <alignment horizontal="center"/>
    </xf>
    <xf numFmtId="2" fontId="0" fillId="0" borderId="23" xfId="0" applyNumberFormat="1" applyFill="1" applyBorder="1" applyAlignment="1">
      <alignment horizontal="center"/>
    </xf>
    <xf numFmtId="2" fontId="0" fillId="0" borderId="24" xfId="0" applyNumberFormat="1" applyFill="1" applyBorder="1" applyAlignment="1">
      <alignment horizontal="center"/>
    </xf>
    <xf numFmtId="2" fontId="0" fillId="0" borderId="25" xfId="0" applyNumberFormat="1" applyFill="1" applyBorder="1" applyAlignment="1">
      <alignment horizontal="center"/>
    </xf>
    <xf numFmtId="2" fontId="0" fillId="0" borderId="27" xfId="0" applyNumberFormat="1" applyFill="1" applyBorder="1" applyAlignment="1">
      <alignment horizontal="center"/>
    </xf>
    <xf numFmtId="2" fontId="0" fillId="0" borderId="28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19" fillId="5" borderId="1" xfId="0" applyFont="1" applyFill="1" applyBorder="1"/>
    <xf numFmtId="0" fontId="19" fillId="5" borderId="5" xfId="0" applyFont="1" applyFill="1" applyBorder="1"/>
    <xf numFmtId="2" fontId="0" fillId="0" borderId="10" xfId="0" applyNumberForma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/>
    <xf numFmtId="0" fontId="0" fillId="2" borderId="14" xfId="0" applyFill="1" applyBorder="1"/>
    <xf numFmtId="0" fontId="1" fillId="2" borderId="0" xfId="0" applyFont="1" applyFill="1" applyBorder="1"/>
    <xf numFmtId="0" fontId="1" fillId="2" borderId="10" xfId="0" applyFont="1" applyFill="1" applyBorder="1"/>
    <xf numFmtId="0" fontId="0" fillId="0" borderId="4" xfId="0" applyFill="1" applyBorder="1" applyAlignment="1">
      <alignment horizontal="center"/>
    </xf>
    <xf numFmtId="0" fontId="0" fillId="9" borderId="14" xfId="0" applyFill="1" applyBorder="1"/>
    <xf numFmtId="0" fontId="1" fillId="0" borderId="0" xfId="0" applyFont="1" applyFill="1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1" fillId="0" borderId="11" xfId="0" applyFont="1" applyFill="1" applyBorder="1"/>
    <xf numFmtId="0" fontId="1" fillId="0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13" xfId="0" applyFill="1" applyBorder="1"/>
    <xf numFmtId="0" fontId="1" fillId="2" borderId="11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0" fillId="0" borderId="0" xfId="0" applyFont="1" applyBorder="1"/>
    <xf numFmtId="0" fontId="1" fillId="2" borderId="12" xfId="0" applyFont="1" applyFill="1" applyBorder="1" applyAlignment="1">
      <alignment horizontal="center"/>
    </xf>
    <xf numFmtId="0" fontId="1" fillId="0" borderId="3" xfId="0" applyFont="1" applyFill="1" applyBorder="1"/>
    <xf numFmtId="0" fontId="1" fillId="2" borderId="13" xfId="0" applyFont="1" applyFill="1" applyBorder="1"/>
    <xf numFmtId="0" fontId="0" fillId="2" borderId="14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2" borderId="2" xfId="0" applyFont="1" applyFill="1" applyBorder="1" applyAlignment="1">
      <alignment horizontal="right"/>
    </xf>
    <xf numFmtId="0" fontId="0" fillId="2" borderId="4" xfId="0" applyFill="1" applyBorder="1"/>
    <xf numFmtId="0" fontId="1" fillId="2" borderId="31" xfId="0" applyFont="1" applyFill="1" applyBorder="1" applyAlignment="1">
      <alignment horizontal="right"/>
    </xf>
    <xf numFmtId="0" fontId="1" fillId="2" borderId="32" xfId="0" applyFont="1" applyFill="1" applyBorder="1" applyAlignment="1">
      <alignment horizontal="right"/>
    </xf>
    <xf numFmtId="0" fontId="0" fillId="10" borderId="13" xfId="0" applyFill="1" applyBorder="1"/>
    <xf numFmtId="0" fontId="0" fillId="10" borderId="14" xfId="0" applyFill="1" applyBorder="1"/>
    <xf numFmtId="0" fontId="0" fillId="0" borderId="4" xfId="0" applyFill="1" applyBorder="1"/>
    <xf numFmtId="0" fontId="0" fillId="9" borderId="14" xfId="0" applyFill="1" applyBorder="1" applyAlignment="1">
      <alignment horizontal="center"/>
    </xf>
    <xf numFmtId="0" fontId="1" fillId="6" borderId="15" xfId="0" applyFont="1" applyFill="1" applyBorder="1"/>
    <xf numFmtId="0" fontId="1" fillId="6" borderId="14" xfId="0" applyFont="1" applyFill="1" applyBorder="1"/>
    <xf numFmtId="0" fontId="1" fillId="12" borderId="14" xfId="0" applyFont="1" applyFill="1" applyBorder="1"/>
    <xf numFmtId="0" fontId="1" fillId="11" borderId="15" xfId="0" applyFont="1" applyFill="1" applyBorder="1" applyAlignment="1">
      <alignment horizontal="left"/>
    </xf>
    <xf numFmtId="0" fontId="1" fillId="11" borderId="14" xfId="0" applyFont="1" applyFill="1" applyBorder="1"/>
    <xf numFmtId="0" fontId="1" fillId="10" borderId="6" xfId="0" applyFont="1" applyFill="1" applyBorder="1"/>
    <xf numFmtId="0" fontId="1" fillId="11" borderId="15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0" xfId="0" applyFont="1" applyFill="1" applyBorder="1"/>
    <xf numFmtId="0" fontId="0" fillId="2" borderId="11" xfId="0" applyFont="1" applyFill="1" applyBorder="1"/>
    <xf numFmtId="0" fontId="1" fillId="2" borderId="15" xfId="0" applyFont="1" applyFill="1" applyBorder="1" applyAlignment="1"/>
    <xf numFmtId="0" fontId="1" fillId="2" borderId="13" xfId="0" applyFont="1" applyFill="1" applyBorder="1" applyAlignment="1">
      <alignment wrapText="1"/>
    </xf>
    <xf numFmtId="0" fontId="1" fillId="3" borderId="2" xfId="0" applyFont="1" applyFill="1" applyBorder="1" applyAlignment="1"/>
    <xf numFmtId="0" fontId="0" fillId="3" borderId="0" xfId="0" quotePrefix="1" applyFill="1" applyBorder="1" applyAlignment="1">
      <alignment horizontal="right"/>
    </xf>
    <xf numFmtId="0" fontId="1" fillId="3" borderId="7" xfId="0" applyFont="1" applyFill="1" applyBorder="1" applyAlignment="1"/>
    <xf numFmtId="0" fontId="0" fillId="3" borderId="3" xfId="0" quotePrefix="1" applyFill="1" applyBorder="1" applyAlignment="1">
      <alignment horizontal="right"/>
    </xf>
    <xf numFmtId="0" fontId="1" fillId="3" borderId="3" xfId="0" applyFont="1" applyFill="1" applyBorder="1" applyAlignment="1"/>
    <xf numFmtId="0" fontId="0" fillId="2" borderId="11" xfId="0" applyFont="1" applyFill="1" applyBorder="1" applyAlignment="1">
      <alignment horizontal="left"/>
    </xf>
    <xf numFmtId="0" fontId="0" fillId="2" borderId="11" xfId="0" applyFill="1" applyBorder="1"/>
    <xf numFmtId="0" fontId="1" fillId="12" borderId="15" xfId="0" applyFont="1" applyFill="1" applyBorder="1"/>
    <xf numFmtId="0" fontId="1" fillId="10" borderId="15" xfId="0" applyFont="1" applyFill="1" applyBorder="1"/>
    <xf numFmtId="0" fontId="2" fillId="0" borderId="2" xfId="0" applyFont="1" applyFill="1" applyBorder="1"/>
    <xf numFmtId="0" fontId="1" fillId="0" borderId="3" xfId="0" applyFont="1" applyFill="1" applyBorder="1" applyAlignment="1">
      <alignment horizontal="center" wrapText="1"/>
    </xf>
    <xf numFmtId="0" fontId="0" fillId="0" borderId="0" xfId="0" quotePrefix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quotePrefix="1" applyFont="1" applyFill="1" applyBorder="1" applyAlignment="1">
      <alignment horizontal="center" vertical="center" wrapText="1"/>
    </xf>
    <xf numFmtId="0" fontId="0" fillId="0" borderId="10" xfId="0" quotePrefix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center" wrapText="1"/>
    </xf>
    <xf numFmtId="0" fontId="4" fillId="0" borderId="3" xfId="0" applyFont="1" applyFill="1" applyBorder="1"/>
    <xf numFmtId="0" fontId="4" fillId="0" borderId="11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4" fillId="0" borderId="10" xfId="0" applyFont="1" applyFill="1" applyBorder="1"/>
    <xf numFmtId="0" fontId="0" fillId="0" borderId="0" xfId="0" applyFill="1" applyBorder="1" applyAlignment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7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16" fillId="0" borderId="0" xfId="0" applyFont="1" applyFill="1" applyBorder="1"/>
    <xf numFmtId="0" fontId="18" fillId="0" borderId="0" xfId="0" applyFont="1" applyFill="1" applyBorder="1"/>
    <xf numFmtId="0" fontId="15" fillId="0" borderId="0" xfId="0" applyFont="1" applyFill="1"/>
    <xf numFmtId="0" fontId="15" fillId="0" borderId="3" xfId="0" applyFont="1" applyFill="1" applyBorder="1"/>
    <xf numFmtId="0" fontId="15" fillId="0" borderId="4" xfId="0" applyFont="1" applyFill="1" applyBorder="1"/>
    <xf numFmtId="0" fontId="4" fillId="0" borderId="4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0" fillId="0" borderId="32" xfId="0" applyFont="1" applyFill="1" applyBorder="1" applyAlignment="1">
      <alignment horizontal="center"/>
    </xf>
    <xf numFmtId="0" fontId="0" fillId="0" borderId="11" xfId="0" applyFont="1" applyFill="1" applyBorder="1"/>
    <xf numFmtId="0" fontId="0" fillId="0" borderId="0" xfId="0" applyFont="1" applyFill="1" applyBorder="1"/>
    <xf numFmtId="0" fontId="0" fillId="0" borderId="10" xfId="0" applyFont="1" applyFill="1" applyBorder="1"/>
    <xf numFmtId="0" fontId="0" fillId="0" borderId="3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6" fillId="2" borderId="10" xfId="0" applyFont="1" applyFill="1" applyBorder="1"/>
    <xf numFmtId="0" fontId="11" fillId="2" borderId="10" xfId="0" applyFont="1" applyFill="1" applyBorder="1"/>
    <xf numFmtId="0" fontId="12" fillId="2" borderId="10" xfId="0" applyFont="1" applyFill="1" applyBorder="1"/>
    <xf numFmtId="0" fontId="11" fillId="2" borderId="8" xfId="0" applyFont="1" applyFill="1" applyBorder="1"/>
    <xf numFmtId="0" fontId="0" fillId="0" borderId="10" xfId="0" applyFont="1" applyBorder="1" applyAlignment="1">
      <alignment horizontal="center"/>
    </xf>
    <xf numFmtId="164" fontId="1" fillId="0" borderId="0" xfId="0" applyNumberFormat="1" applyFont="1" applyBorder="1"/>
    <xf numFmtId="0" fontId="0" fillId="0" borderId="12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168" fontId="1" fillId="2" borderId="2" xfId="0" applyNumberFormat="1" applyFont="1" applyFill="1" applyBorder="1" applyAlignment="1">
      <alignment horizontal="right"/>
    </xf>
    <xf numFmtId="168" fontId="1" fillId="2" borderId="3" xfId="0" applyNumberFormat="1" applyFont="1" applyFill="1" applyBorder="1" applyAlignment="1">
      <alignment horizontal="right"/>
    </xf>
    <xf numFmtId="168" fontId="1" fillId="2" borderId="4" xfId="0" applyNumberFormat="1" applyFont="1" applyFill="1" applyBorder="1" applyAlignment="1"/>
    <xf numFmtId="0" fontId="1" fillId="2" borderId="4" xfId="0" applyFont="1" applyFill="1" applyBorder="1" applyAlignment="1"/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 applyAlignment="1"/>
    <xf numFmtId="168" fontId="1" fillId="2" borderId="3" xfId="0" applyNumberFormat="1" applyFont="1" applyFill="1" applyBorder="1" applyAlignment="1"/>
    <xf numFmtId="1" fontId="1" fillId="2" borderId="9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0" fillId="8" borderId="15" xfId="0" applyFont="1" applyFill="1" applyBorder="1"/>
    <xf numFmtId="0" fontId="0" fillId="8" borderId="14" xfId="0" applyFont="1" applyFill="1" applyBorder="1"/>
    <xf numFmtId="0" fontId="0" fillId="8" borderId="14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13" xfId="0" applyFon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9" borderId="15" xfId="0" applyFont="1" applyFill="1" applyBorder="1"/>
    <xf numFmtId="0" fontId="1" fillId="6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0" fontId="0" fillId="4" borderId="14" xfId="0" applyFont="1" applyFill="1" applyBorder="1"/>
    <xf numFmtId="0" fontId="0" fillId="4" borderId="14" xfId="0" applyFont="1" applyFill="1" applyBorder="1" applyAlignment="1">
      <alignment horizontal="center"/>
    </xf>
    <xf numFmtId="0" fontId="0" fillId="7" borderId="14" xfId="0" applyFont="1" applyFill="1" applyBorder="1"/>
    <xf numFmtId="0" fontId="0" fillId="7" borderId="14" xfId="0" applyFont="1" applyFill="1" applyBorder="1" applyAlignment="1">
      <alignment horizontal="center"/>
    </xf>
    <xf numFmtId="0" fontId="0" fillId="0" borderId="0" xfId="0" applyFont="1" applyFill="1"/>
    <xf numFmtId="0" fontId="0" fillId="4" borderId="15" xfId="0" applyFont="1" applyFill="1" applyBorder="1"/>
    <xf numFmtId="0" fontId="0" fillId="0" borderId="0" xfId="0" applyFont="1" applyFill="1" applyAlignment="1">
      <alignment horizontal="center"/>
    </xf>
    <xf numFmtId="0" fontId="0" fillId="7" borderId="15" xfId="0" applyFont="1" applyFill="1" applyBorder="1"/>
    <xf numFmtId="0" fontId="0" fillId="4" borderId="11" xfId="0" applyFont="1" applyFill="1" applyBorder="1"/>
    <xf numFmtId="0" fontId="0" fillId="4" borderId="0" xfId="0" applyFill="1" applyBorder="1"/>
    <xf numFmtId="0" fontId="12" fillId="4" borderId="10" xfId="0" applyFont="1" applyFill="1" applyBorder="1"/>
    <xf numFmtId="0" fontId="0" fillId="4" borderId="10" xfId="0" applyFont="1" applyFill="1" applyBorder="1" applyAlignment="1">
      <alignment horizontal="center"/>
    </xf>
    <xf numFmtId="0" fontId="26" fillId="2" borderId="11" xfId="0" applyFont="1" applyFill="1" applyBorder="1"/>
    <xf numFmtId="0" fontId="26" fillId="2" borderId="0" xfId="0" applyFont="1" applyFill="1" applyBorder="1"/>
    <xf numFmtId="0" fontId="26" fillId="2" borderId="4" xfId="0" applyFont="1" applyFill="1" applyBorder="1"/>
    <xf numFmtId="0" fontId="26" fillId="0" borderId="10" xfId="0" applyFont="1" applyBorder="1" applyAlignment="1">
      <alignment horizontal="center"/>
    </xf>
    <xf numFmtId="0" fontId="26" fillId="2" borderId="2" xfId="0" applyFont="1" applyFill="1" applyBorder="1"/>
    <xf numFmtId="0" fontId="27" fillId="2" borderId="4" xfId="0" applyFont="1" applyFill="1" applyBorder="1"/>
    <xf numFmtId="0" fontId="26" fillId="0" borderId="4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/>
    <xf numFmtId="0" fontId="1" fillId="2" borderId="5" xfId="0" applyFont="1" applyFill="1" applyBorder="1" applyAlignment="1">
      <alignment wrapText="1"/>
    </xf>
    <xf numFmtId="168" fontId="1" fillId="2" borderId="6" xfId="0" applyNumberFormat="1" applyFont="1" applyFill="1" applyBorder="1" applyAlignment="1">
      <alignment horizontal="center"/>
    </xf>
    <xf numFmtId="168" fontId="1" fillId="2" borderId="8" xfId="0" applyNumberFormat="1" applyFont="1" applyFill="1" applyBorder="1" applyAlignment="1">
      <alignment horizontal="center"/>
    </xf>
    <xf numFmtId="169" fontId="1" fillId="2" borderId="9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right"/>
    </xf>
    <xf numFmtId="0" fontId="0" fillId="4" borderId="3" xfId="0" applyFill="1" applyBorder="1" applyAlignment="1">
      <alignment horizontal="center"/>
    </xf>
    <xf numFmtId="0" fontId="1" fillId="6" borderId="9" xfId="0" applyFont="1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right"/>
    </xf>
    <xf numFmtId="0" fontId="0" fillId="4" borderId="7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13" borderId="0" xfId="0" applyNumberFormat="1" applyFont="1" applyFill="1" applyBorder="1" applyAlignment="1">
      <alignment horizontal="center"/>
    </xf>
    <xf numFmtId="168" fontId="5" fillId="13" borderId="0" xfId="0" applyNumberFormat="1" applyFont="1" applyFill="1" applyBorder="1" applyAlignment="1">
      <alignment horizontal="center"/>
    </xf>
    <xf numFmtId="164" fontId="2" fillId="0" borderId="0" xfId="0" applyNumberFormat="1" applyFont="1" applyBorder="1"/>
    <xf numFmtId="164" fontId="5" fillId="0" borderId="0" xfId="0" applyNumberFormat="1" applyFont="1" applyBorder="1"/>
    <xf numFmtId="0" fontId="1" fillId="0" borderId="1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24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24" fillId="0" borderId="0" xfId="0" applyFont="1" applyFill="1" applyBorder="1" applyAlignment="1">
      <alignment horizontal="right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right" vertical="center"/>
    </xf>
    <xf numFmtId="0" fontId="24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6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0" fillId="10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167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6" fillId="2" borderId="10" xfId="0" applyFont="1" applyFill="1" applyBorder="1"/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9" borderId="15" xfId="0" applyFont="1" applyFill="1" applyBorder="1" applyAlignment="1">
      <alignment horizontal="left"/>
    </xf>
    <xf numFmtId="166" fontId="0" fillId="9" borderId="14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165" fontId="0" fillId="4" borderId="9" xfId="0" applyNumberFormat="1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5" fontId="0" fillId="0" borderId="24" xfId="0" applyNumberFormat="1" applyFill="1" applyBorder="1" applyAlignment="1">
      <alignment horizontal="center"/>
    </xf>
    <xf numFmtId="165" fontId="0" fillId="0" borderId="25" xfId="0" applyNumberFormat="1" applyFill="1" applyBorder="1" applyAlignment="1">
      <alignment horizontal="center"/>
    </xf>
    <xf numFmtId="165" fontId="0" fillId="0" borderId="28" xfId="0" applyNumberFormat="1" applyFill="1" applyBorder="1" applyAlignment="1">
      <alignment horizontal="center"/>
    </xf>
    <xf numFmtId="170" fontId="0" fillId="0" borderId="0" xfId="0" applyNumberFormat="1" applyFill="1" applyBorder="1" applyAlignment="1">
      <alignment horizontal="center"/>
    </xf>
    <xf numFmtId="0" fontId="11" fillId="10" borderId="14" xfId="0" applyFont="1" applyFill="1" applyBorder="1"/>
    <xf numFmtId="0" fontId="1" fillId="10" borderId="14" xfId="0" applyFont="1" applyFill="1" applyBorder="1"/>
    <xf numFmtId="0" fontId="0" fillId="9" borderId="13" xfId="0" applyFont="1" applyFill="1" applyBorder="1"/>
    <xf numFmtId="0" fontId="0" fillId="9" borderId="14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/>
    <xf numFmtId="0" fontId="5" fillId="0" borderId="0" xfId="0" applyFont="1" applyFill="1"/>
    <xf numFmtId="0" fontId="1" fillId="0" borderId="11" xfId="0" applyFont="1" applyFill="1" applyBorder="1" applyAlignment="1">
      <alignment horizontal="right"/>
    </xf>
    <xf numFmtId="0" fontId="1" fillId="0" borderId="2" xfId="0" applyFont="1" applyFill="1" applyBorder="1"/>
    <xf numFmtId="0" fontId="1" fillId="0" borderId="0" xfId="0" quotePrefix="1" applyFont="1" applyFill="1" applyBorder="1" applyAlignment="1">
      <alignment horizontal="right"/>
    </xf>
    <xf numFmtId="0" fontId="0" fillId="0" borderId="7" xfId="0" applyFont="1" applyFill="1" applyBorder="1" applyAlignment="1"/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0" borderId="3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2" xfId="0" applyFill="1" applyBorder="1"/>
    <xf numFmtId="0" fontId="1" fillId="10" borderId="0" xfId="0" applyFont="1" applyFill="1" applyBorder="1" applyAlignment="1">
      <alignment horizontal="left"/>
    </xf>
    <xf numFmtId="171" fontId="1" fillId="10" borderId="0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1" fillId="0" borderId="7" xfId="0" applyFont="1" applyFill="1" applyBorder="1" applyAlignment="1"/>
    <xf numFmtId="0" fontId="1" fillId="6" borderId="2" xfId="0" applyFont="1" applyFill="1" applyBorder="1"/>
    <xf numFmtId="0" fontId="0" fillId="0" borderId="10" xfId="0" quotePrefix="1" applyFill="1" applyBorder="1" applyAlignment="1">
      <alignment horizontal="center"/>
    </xf>
    <xf numFmtId="0" fontId="1" fillId="1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1" fillId="6" borderId="3" xfId="0" applyFont="1" applyFill="1" applyBorder="1"/>
    <xf numFmtId="0" fontId="0" fillId="0" borderId="0" xfId="0" applyFont="1" applyFill="1" applyBorder="1" applyAlignment="1">
      <alignment horizontal="center" vertical="center"/>
    </xf>
    <xf numFmtId="172" fontId="18" fillId="0" borderId="0" xfId="0" applyNumberFormat="1" applyFont="1" applyFill="1" applyBorder="1"/>
    <xf numFmtId="0" fontId="0" fillId="0" borderId="0" xfId="0" applyFont="1" applyFill="1" applyBorder="1" applyAlignment="1">
      <alignment vertical="center"/>
    </xf>
    <xf numFmtId="1" fontId="0" fillId="0" borderId="0" xfId="0" applyNumberFormat="1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 vertical="center"/>
    </xf>
    <xf numFmtId="1" fontId="1" fillId="10" borderId="0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0" fillId="0" borderId="10" xfId="0" applyFont="1" applyFill="1" applyBorder="1" applyAlignment="1"/>
    <xf numFmtId="0" fontId="1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6" fillId="0" borderId="11" xfId="0" quotePrefix="1" applyFont="1" applyFill="1" applyBorder="1" applyAlignment="1">
      <alignment wrapText="1"/>
    </xf>
    <xf numFmtId="0" fontId="6" fillId="0" borderId="0" xfId="0" quotePrefix="1" applyFont="1" applyFill="1" applyBorder="1" applyAlignment="1">
      <alignment wrapText="1"/>
    </xf>
    <xf numFmtId="0" fontId="6" fillId="0" borderId="0" xfId="0" quotePrefix="1" applyFont="1" applyFill="1" applyBorder="1" applyAlignment="1">
      <alignment horizontal="right" wrapText="1"/>
    </xf>
    <xf numFmtId="0" fontId="0" fillId="0" borderId="0" xfId="0" applyFill="1" applyAlignment="1">
      <alignment horizontal="right"/>
    </xf>
    <xf numFmtId="0" fontId="0" fillId="9" borderId="15" xfId="0" applyFont="1" applyFill="1" applyBorder="1" applyAlignment="1">
      <alignment horizontal="right"/>
    </xf>
    <xf numFmtId="171" fontId="0" fillId="9" borderId="14" xfId="0" applyNumberFormat="1" applyFill="1" applyBorder="1" applyAlignment="1">
      <alignment horizontal="center"/>
    </xf>
    <xf numFmtId="0" fontId="1" fillId="10" borderId="6" xfId="0" applyFont="1" applyFill="1" applyBorder="1" applyAlignment="1">
      <alignment horizontal="right"/>
    </xf>
    <xf numFmtId="2" fontId="1" fillId="10" borderId="8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" fillId="2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left"/>
    </xf>
    <xf numFmtId="0" fontId="1" fillId="7" borderId="15" xfId="0" applyFont="1" applyFill="1" applyBorder="1" applyAlignment="1">
      <alignment horizontal="left"/>
    </xf>
    <xf numFmtId="0" fontId="0" fillId="2" borderId="11" xfId="0" applyFont="1" applyFill="1" applyBorder="1" applyAlignment="1"/>
    <xf numFmtId="0" fontId="1" fillId="2" borderId="13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left"/>
    </xf>
    <xf numFmtId="0" fontId="30" fillId="2" borderId="8" xfId="0" applyFont="1" applyFill="1" applyBorder="1" applyAlignment="1">
      <alignment horizontal="center"/>
    </xf>
    <xf numFmtId="0" fontId="0" fillId="2" borderId="6" xfId="0" applyFill="1" applyBorder="1"/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/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69" fontId="11" fillId="0" borderId="3" xfId="0" applyNumberFormat="1" applyFont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  <xf numFmtId="173" fontId="0" fillId="0" borderId="11" xfId="0" applyNumberFormat="1" applyBorder="1" applyAlignment="1">
      <alignment horizontal="center"/>
    </xf>
    <xf numFmtId="173" fontId="0" fillId="0" borderId="34" xfId="0" applyNumberFormat="1" applyBorder="1" applyAlignment="1">
      <alignment horizontal="center"/>
    </xf>
    <xf numFmtId="173" fontId="0" fillId="0" borderId="0" xfId="0" applyNumberFormat="1" applyBorder="1" applyAlignment="1">
      <alignment horizontal="center"/>
    </xf>
    <xf numFmtId="173" fontId="0" fillId="0" borderId="19" xfId="0" applyNumberFormat="1" applyBorder="1" applyAlignment="1">
      <alignment horizontal="center"/>
    </xf>
    <xf numFmtId="173" fontId="0" fillId="0" borderId="4" xfId="0" applyNumberFormat="1" applyBorder="1" applyAlignment="1">
      <alignment horizontal="center"/>
    </xf>
    <xf numFmtId="173" fontId="0" fillId="0" borderId="10" xfId="0" applyNumberFormat="1" applyBorder="1" applyAlignment="1">
      <alignment horizontal="center"/>
    </xf>
    <xf numFmtId="173" fontId="0" fillId="0" borderId="19" xfId="0" applyNumberFormat="1" applyFill="1" applyBorder="1" applyAlignment="1">
      <alignment horizontal="center"/>
    </xf>
    <xf numFmtId="173" fontId="0" fillId="0" borderId="0" xfId="0" applyNumberFormat="1" applyFill="1" applyBorder="1" applyAlignment="1">
      <alignment horizontal="center"/>
    </xf>
    <xf numFmtId="173" fontId="0" fillId="4" borderId="2" xfId="0" applyNumberFormat="1" applyFill="1" applyBorder="1" applyAlignment="1">
      <alignment horizontal="center"/>
    </xf>
    <xf numFmtId="173" fontId="0" fillId="4" borderId="16" xfId="0" applyNumberFormat="1" applyFill="1" applyBorder="1" applyAlignment="1">
      <alignment horizontal="center"/>
    </xf>
    <xf numFmtId="173" fontId="0" fillId="4" borderId="3" xfId="0" applyNumberFormat="1" applyFill="1" applyBorder="1" applyAlignment="1">
      <alignment horizontal="center"/>
    </xf>
    <xf numFmtId="173" fontId="0" fillId="4" borderId="29" xfId="0" applyNumberFormat="1" applyFill="1" applyBorder="1" applyAlignment="1">
      <alignment horizontal="center"/>
    </xf>
    <xf numFmtId="173" fontId="0" fillId="4" borderId="4" xfId="0" applyNumberFormat="1" applyFill="1" applyBorder="1" applyAlignment="1">
      <alignment horizontal="center"/>
    </xf>
    <xf numFmtId="173" fontId="0" fillId="0" borderId="21" xfId="0" applyNumberFormat="1" applyFill="1" applyBorder="1" applyAlignment="1">
      <alignment horizontal="center"/>
    </xf>
    <xf numFmtId="173" fontId="0" fillId="0" borderId="17" xfId="0" applyNumberFormat="1" applyFill="1" applyBorder="1" applyAlignment="1">
      <alignment horizontal="center"/>
    </xf>
    <xf numFmtId="173" fontId="0" fillId="0" borderId="22" xfId="0" applyNumberFormat="1" applyFill="1" applyBorder="1" applyAlignment="1">
      <alignment horizontal="center"/>
    </xf>
    <xf numFmtId="165" fontId="0" fillId="4" borderId="34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2" fontId="0" fillId="4" borderId="2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30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73" fontId="0" fillId="0" borderId="2" xfId="0" applyNumberFormat="1" applyFont="1" applyFill="1" applyBorder="1" applyAlignment="1">
      <alignment horizontal="center"/>
    </xf>
    <xf numFmtId="173" fontId="0" fillId="0" borderId="11" xfId="0" applyNumberFormat="1" applyFont="1" applyFill="1" applyBorder="1" applyAlignment="1">
      <alignment horizontal="center"/>
    </xf>
    <xf numFmtId="173" fontId="0" fillId="0" borderId="6" xfId="0" applyNumberFormat="1" applyFont="1" applyFill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0" fillId="0" borderId="7" xfId="0" applyNumberFormat="1" applyFont="1" applyFill="1" applyBorder="1" applyAlignment="1">
      <alignment horizontal="center"/>
    </xf>
    <xf numFmtId="173" fontId="0" fillId="0" borderId="3" xfId="0" applyNumberFormat="1" applyFill="1" applyBorder="1" applyAlignment="1">
      <alignment horizontal="center" vertical="center"/>
    </xf>
    <xf numFmtId="173" fontId="0" fillId="0" borderId="0" xfId="0" applyNumberFormat="1" applyFill="1" applyBorder="1" applyAlignment="1">
      <alignment horizontal="center" vertical="center"/>
    </xf>
    <xf numFmtId="173" fontId="0" fillId="0" borderId="7" xfId="0" applyNumberFormat="1" applyFill="1" applyBorder="1" applyAlignment="1">
      <alignment horizontal="center" vertical="center"/>
    </xf>
    <xf numFmtId="173" fontId="1" fillId="0" borderId="14" xfId="0" applyNumberFormat="1" applyFont="1" applyFill="1" applyBorder="1" applyAlignment="1">
      <alignment horizontal="center" vertical="center"/>
    </xf>
    <xf numFmtId="173" fontId="0" fillId="0" borderId="3" xfId="0" applyNumberFormat="1" applyFill="1" applyBorder="1"/>
    <xf numFmtId="173" fontId="0" fillId="10" borderId="4" xfId="0" applyNumberFormat="1" applyFill="1" applyBorder="1"/>
    <xf numFmtId="165" fontId="0" fillId="4" borderId="1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0" fontId="26" fillId="0" borderId="0" xfId="0" applyFont="1" applyFill="1" applyBorder="1" applyAlignment="1">
      <alignment horizontal="right"/>
    </xf>
    <xf numFmtId="0" fontId="26" fillId="0" borderId="0" xfId="0" applyFont="1" applyFill="1" applyBorder="1" applyAlignment="1">
      <alignment horizontal="right" vertical="center" wrapText="1"/>
    </xf>
    <xf numFmtId="0" fontId="0" fillId="0" borderId="11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26" fillId="3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33" fillId="3" borderId="0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0" fillId="14" borderId="0" xfId="0" applyFill="1" applyBorder="1" applyAlignment="1"/>
    <xf numFmtId="173" fontId="0" fillId="14" borderId="0" xfId="0" applyNumberFormat="1" applyFill="1" applyBorder="1" applyAlignment="1">
      <alignment horizontal="center"/>
    </xf>
    <xf numFmtId="0" fontId="0" fillId="0" borderId="36" xfId="0" applyBorder="1"/>
    <xf numFmtId="0" fontId="0" fillId="0" borderId="35" xfId="0" applyBorder="1"/>
    <xf numFmtId="0" fontId="26" fillId="0" borderId="3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4" fillId="0" borderId="2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6" fillId="2" borderId="37" xfId="0" applyFont="1" applyFill="1" applyBorder="1" applyAlignment="1">
      <alignment horizontal="center"/>
    </xf>
    <xf numFmtId="0" fontId="26" fillId="2" borderId="38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0" fillId="0" borderId="0" xfId="0" applyBorder="1" applyAlignment="1">
      <alignment vertical="center"/>
    </xf>
    <xf numFmtId="0" fontId="0" fillId="3" borderId="0" xfId="0" applyFill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1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15" borderId="28" xfId="0" applyFont="1" applyFill="1" applyBorder="1" applyAlignment="1">
      <alignment horizontal="center"/>
    </xf>
    <xf numFmtId="169" fontId="1" fillId="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" fontId="1" fillId="2" borderId="17" xfId="0" applyNumberFormat="1" applyFont="1" applyFill="1" applyBorder="1" applyAlignment="1">
      <alignment horizontal="center" vertical="center"/>
    </xf>
    <xf numFmtId="1" fontId="1" fillId="2" borderId="22" xfId="0" applyNumberFormat="1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15" borderId="22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9" xfId="0" applyBorder="1"/>
    <xf numFmtId="0" fontId="1" fillId="3" borderId="39" xfId="0" applyFont="1" applyFill="1" applyBorder="1" applyAlignment="1">
      <alignment horizontal="left"/>
    </xf>
    <xf numFmtId="0" fontId="0" fillId="3" borderId="39" xfId="0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0" fillId="3" borderId="39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ill="1"/>
    <xf numFmtId="0" fontId="0" fillId="0" borderId="36" xfId="0" applyFont="1" applyBorder="1"/>
    <xf numFmtId="0" fontId="0" fillId="0" borderId="36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5" xfId="0" applyFont="1" applyBorder="1"/>
    <xf numFmtId="0" fontId="0" fillId="15" borderId="0" xfId="0" applyFill="1" applyAlignment="1">
      <alignment horizontal="center"/>
    </xf>
    <xf numFmtId="0" fontId="0" fillId="15" borderId="0" xfId="0" applyFill="1"/>
    <xf numFmtId="0" fontId="0" fillId="16" borderId="0" xfId="0" applyFill="1" applyBorder="1" applyAlignment="1">
      <alignment horizontal="center"/>
    </xf>
    <xf numFmtId="0" fontId="1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1" fillId="16" borderId="0" xfId="0" applyFont="1" applyFill="1"/>
    <xf numFmtId="0" fontId="0" fillId="16" borderId="0" xfId="0" applyFont="1" applyFill="1"/>
    <xf numFmtId="0" fontId="0" fillId="16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0" borderId="40" xfId="0" applyFont="1" applyBorder="1"/>
    <xf numFmtId="0" fontId="0" fillId="0" borderId="40" xfId="0" applyFont="1" applyBorder="1" applyAlignment="1">
      <alignment horizontal="center"/>
    </xf>
    <xf numFmtId="0" fontId="0" fillId="3" borderId="0" xfId="0" applyFont="1" applyFill="1"/>
    <xf numFmtId="0" fontId="1" fillId="3" borderId="0" xfId="0" applyFont="1" applyFill="1"/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1" xfId="0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41" xfId="0" applyFont="1" applyFill="1" applyBorder="1"/>
    <xf numFmtId="0" fontId="0" fillId="2" borderId="36" xfId="0" applyFont="1" applyFill="1" applyBorder="1"/>
    <xf numFmtId="0" fontId="0" fillId="2" borderId="36" xfId="0" applyFont="1" applyFill="1" applyBorder="1" applyAlignment="1">
      <alignment horizontal="center"/>
    </xf>
    <xf numFmtId="0" fontId="0" fillId="2" borderId="40" xfId="0" applyFont="1" applyFill="1" applyBorder="1" applyAlignment="1">
      <alignment horizontal="center"/>
    </xf>
    <xf numFmtId="0" fontId="0" fillId="2" borderId="43" xfId="0" applyFont="1" applyFill="1" applyBorder="1"/>
    <xf numFmtId="0" fontId="0" fillId="2" borderId="40" xfId="0" applyFont="1" applyFill="1" applyBorder="1"/>
    <xf numFmtId="0" fontId="26" fillId="2" borderId="42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left"/>
    </xf>
    <xf numFmtId="0" fontId="0" fillId="3" borderId="44" xfId="0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0" fillId="3" borderId="44" xfId="0" applyFill="1" applyBorder="1"/>
    <xf numFmtId="0" fontId="0" fillId="0" borderId="44" xfId="0" applyBorder="1"/>
    <xf numFmtId="9" fontId="1" fillId="5" borderId="15" xfId="0" applyNumberFormat="1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2" fontId="1" fillId="0" borderId="17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4" fillId="0" borderId="11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24" fillId="0" borderId="10" xfId="0" applyFont="1" applyBorder="1" applyAlignment="1">
      <alignment horizontal="right"/>
    </xf>
    <xf numFmtId="0" fontId="1" fillId="5" borderId="21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1" fillId="5" borderId="6" xfId="0" applyFont="1" applyFill="1" applyBorder="1" applyAlignment="1">
      <alignment horizontal="right"/>
    </xf>
    <xf numFmtId="0" fontId="1" fillId="5" borderId="7" xfId="0" applyFont="1" applyFill="1" applyBorder="1" applyAlignment="1">
      <alignment horizontal="right"/>
    </xf>
    <xf numFmtId="0" fontId="1" fillId="5" borderId="8" xfId="0" applyFont="1" applyFill="1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173" fontId="0" fillId="0" borderId="17" xfId="0" applyNumberFormat="1" applyBorder="1" applyAlignment="1">
      <alignment horizontal="center"/>
    </xf>
    <xf numFmtId="173" fontId="0" fillId="0" borderId="20" xfId="0" applyNumberFormat="1" applyBorder="1" applyAlignment="1">
      <alignment horizontal="center"/>
    </xf>
    <xf numFmtId="171" fontId="0" fillId="0" borderId="17" xfId="0" applyNumberFormat="1" applyBorder="1" applyAlignment="1">
      <alignment horizontal="center"/>
    </xf>
    <xf numFmtId="171" fontId="0" fillId="0" borderId="20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171" fontId="0" fillId="0" borderId="19" xfId="0" applyNumberFormat="1" applyBorder="1" applyAlignment="1">
      <alignment horizontal="center"/>
    </xf>
    <xf numFmtId="171" fontId="0" fillId="0" borderId="34" xfId="0" applyNumberFormat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0" fillId="0" borderId="25" xfId="0" applyNumberFormat="1" applyBorder="1" applyAlignment="1">
      <alignment horizontal="center"/>
    </xf>
    <xf numFmtId="173" fontId="0" fillId="0" borderId="25" xfId="0" applyNumberFormat="1" applyBorder="1" applyAlignment="1">
      <alignment horizontal="center"/>
    </xf>
    <xf numFmtId="171" fontId="0" fillId="0" borderId="25" xfId="0" applyNumberFormat="1" applyBorder="1" applyAlignment="1">
      <alignment horizontal="center"/>
    </xf>
    <xf numFmtId="171" fontId="0" fillId="0" borderId="10" xfId="0" applyNumberFormat="1" applyBorder="1" applyAlignment="1">
      <alignment horizontal="center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20" fillId="5" borderId="23" xfId="0" applyFont="1" applyFill="1" applyBorder="1" applyAlignment="1">
      <alignment horizontal="center"/>
    </xf>
    <xf numFmtId="0" fontId="20" fillId="5" borderId="24" xfId="0" applyFont="1" applyFill="1" applyBorder="1" applyAlignment="1">
      <alignment horizontal="center"/>
    </xf>
    <xf numFmtId="0" fontId="20" fillId="5" borderId="27" xfId="0" applyFont="1" applyFill="1" applyBorder="1" applyAlignment="1">
      <alignment horizontal="center"/>
    </xf>
    <xf numFmtId="0" fontId="20" fillId="5" borderId="28" xfId="0" applyFont="1" applyFill="1" applyBorder="1" applyAlignment="1">
      <alignment horizontal="center"/>
    </xf>
    <xf numFmtId="0" fontId="25" fillId="5" borderId="2" xfId="0" applyFont="1" applyFill="1" applyBorder="1" applyAlignment="1">
      <alignment horizontal="center" vertical="center"/>
    </xf>
    <xf numFmtId="0" fontId="25" fillId="5" borderId="16" xfId="0" applyFont="1" applyFill="1" applyBorder="1" applyAlignment="1">
      <alignment horizontal="center" vertical="center"/>
    </xf>
    <xf numFmtId="0" fontId="25" fillId="5" borderId="6" xfId="0" applyFont="1" applyFill="1" applyBorder="1" applyAlignment="1">
      <alignment horizontal="center" vertical="center"/>
    </xf>
    <xf numFmtId="0" fontId="25" fillId="5" borderId="26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left"/>
    </xf>
    <xf numFmtId="0" fontId="19" fillId="5" borderId="3" xfId="0" applyFont="1" applyFill="1" applyBorder="1" applyAlignment="1">
      <alignment horizontal="left"/>
    </xf>
    <xf numFmtId="0" fontId="19" fillId="5" borderId="4" xfId="0" applyFont="1" applyFill="1" applyBorder="1" applyAlignment="1">
      <alignment horizontal="left"/>
    </xf>
    <xf numFmtId="0" fontId="19" fillId="5" borderId="6" xfId="0" applyFont="1" applyFill="1" applyBorder="1" applyAlignment="1">
      <alignment horizontal="left"/>
    </xf>
    <xf numFmtId="0" fontId="19" fillId="5" borderId="7" xfId="0" applyFont="1" applyFill="1" applyBorder="1" applyAlignment="1">
      <alignment horizontal="left"/>
    </xf>
    <xf numFmtId="0" fontId="19" fillId="5" borderId="8" xfId="0" applyFont="1" applyFill="1" applyBorder="1" applyAlignment="1">
      <alignment horizontal="left"/>
    </xf>
    <xf numFmtId="168" fontId="1" fillId="2" borderId="30" xfId="0" applyNumberFormat="1" applyFont="1" applyFill="1" applyBorder="1" applyAlignment="1">
      <alignment horizontal="center" vertical="center" wrapText="1"/>
    </xf>
    <xf numFmtId="168" fontId="1" fillId="2" borderId="8" xfId="0" applyNumberFormat="1" applyFont="1" applyFill="1" applyBorder="1" applyAlignment="1">
      <alignment horizontal="center" vertical="center" wrapText="1"/>
    </xf>
    <xf numFmtId="168" fontId="1" fillId="2" borderId="7" xfId="0" applyNumberFormat="1" applyFont="1" applyFill="1" applyBorder="1" applyAlignment="1">
      <alignment horizontal="center" vertical="center" wrapText="1"/>
    </xf>
    <xf numFmtId="168" fontId="1" fillId="2" borderId="26" xfId="0" applyNumberFormat="1" applyFont="1" applyFill="1" applyBorder="1" applyAlignment="1">
      <alignment horizontal="center" vertical="center" wrapText="1"/>
    </xf>
    <xf numFmtId="168" fontId="1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wrapText="1"/>
    </xf>
    <xf numFmtId="0" fontId="1" fillId="2" borderId="3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 wrapText="1"/>
    </xf>
    <xf numFmtId="0" fontId="1" fillId="2" borderId="28" xfId="0" applyFont="1" applyFill="1" applyBorder="1" applyAlignment="1">
      <alignment horizont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1" fillId="6" borderId="11" xfId="0" applyFont="1" applyFill="1" applyBorder="1" applyAlignment="1">
      <alignment horizontal="right"/>
    </xf>
    <xf numFmtId="0" fontId="1" fillId="6" borderId="1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right"/>
    </xf>
    <xf numFmtId="0" fontId="1" fillId="6" borderId="8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8" fontId="1" fillId="2" borderId="9" xfId="0" applyNumberFormat="1" applyFont="1" applyFill="1" applyBorder="1" applyAlignment="1">
      <alignment horizontal="center" vertical="top"/>
    </xf>
    <xf numFmtId="168" fontId="1" fillId="2" borderId="5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/>
    </xf>
    <xf numFmtId="0" fontId="24" fillId="3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1" fillId="0" borderId="1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net.local\spadata\Forensics\Physical%20Science\Toxicology\L&amp;B\Staff%20Own\Alexandra\QA\Uncertainty\PooledSE_Excel_THC_UoM%20-%20AP%202205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Klu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te"/>
      <sheetName val="Raw Data"/>
      <sheetName val="Precision Uncertainty"/>
      <sheetName val="Std Solution &amp; Spike Prep"/>
      <sheetName val="Calibration &amp; Measurement"/>
      <sheetName val="Combined UM"/>
      <sheetName val="Effective DF"/>
      <sheetName val="Expanded UM"/>
    </sheetNames>
    <sheetDataSet>
      <sheetData sheetId="0"/>
      <sheetData sheetId="1"/>
      <sheetData sheetId="2">
        <row r="4">
          <cell r="C4" t="str">
            <v>Nominal Conc (µg/L)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ESIGN"/>
      <definedName name="WRegCoeff"/>
      <definedName name="W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showGridLines="0" workbookViewId="0">
      <selection activeCell="R24" sqref="R24"/>
    </sheetView>
  </sheetViews>
  <sheetFormatPr defaultRowHeight="14.4" x14ac:dyDescent="0.3"/>
  <cols>
    <col min="1" max="1" width="1.6640625" customWidth="1"/>
    <col min="2" max="2" width="19.6640625" customWidth="1"/>
    <col min="3" max="14" width="5.6640625" customWidth="1"/>
  </cols>
  <sheetData>
    <row r="2" spans="2:14" ht="21" x14ac:dyDescent="0.4">
      <c r="B2" s="649" t="s">
        <v>13</v>
      </c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</row>
    <row r="3" spans="2:14" ht="15" thickBot="1" x14ac:dyDescent="0.35"/>
    <row r="4" spans="2:14" s="56" customFormat="1" ht="17.399999999999999" x14ac:dyDescent="0.35">
      <c r="B4" s="105" t="s">
        <v>12</v>
      </c>
      <c r="C4" s="693" t="s">
        <v>253</v>
      </c>
      <c r="D4" s="694"/>
      <c r="E4" s="694"/>
      <c r="F4" s="694"/>
      <c r="G4" s="694"/>
      <c r="H4" s="694"/>
      <c r="I4" s="695"/>
      <c r="J4" s="689" t="s">
        <v>80</v>
      </c>
      <c r="K4" s="690"/>
      <c r="L4" s="685" t="s">
        <v>247</v>
      </c>
      <c r="M4" s="686"/>
    </row>
    <row r="5" spans="2:14" s="56" customFormat="1" ht="20.399999999999999" thickBot="1" x14ac:dyDescent="0.5">
      <c r="B5" s="106" t="s">
        <v>59</v>
      </c>
      <c r="C5" s="696" t="s">
        <v>246</v>
      </c>
      <c r="D5" s="697"/>
      <c r="E5" s="697"/>
      <c r="F5" s="697"/>
      <c r="G5" s="697"/>
      <c r="H5" s="697"/>
      <c r="I5" s="698"/>
      <c r="J5" s="691"/>
      <c r="K5" s="692"/>
      <c r="L5" s="687" t="s">
        <v>248</v>
      </c>
      <c r="M5" s="688"/>
    </row>
    <row r="6" spans="2:14" ht="15" customHeight="1" x14ac:dyDescent="0.3">
      <c r="B6" s="57"/>
      <c r="C6" s="57"/>
      <c r="D6" s="57"/>
      <c r="E6" s="57"/>
      <c r="F6" s="57"/>
    </row>
    <row r="7" spans="2:14" ht="15" customHeight="1" thickBot="1" x14ac:dyDescent="0.35">
      <c r="B7" s="57"/>
      <c r="C7" s="57"/>
      <c r="D7" s="57"/>
      <c r="E7" s="57"/>
      <c r="F7" s="57"/>
    </row>
    <row r="8" spans="2:14" ht="15" customHeight="1" x14ac:dyDescent="0.3">
      <c r="B8" s="78" t="s">
        <v>51</v>
      </c>
      <c r="C8" s="462">
        <v>2.5</v>
      </c>
      <c r="D8" s="60">
        <v>5</v>
      </c>
      <c r="E8" s="60">
        <v>25</v>
      </c>
      <c r="F8" s="60">
        <v>50</v>
      </c>
      <c r="G8" s="60">
        <v>75</v>
      </c>
      <c r="H8" s="60">
        <v>100</v>
      </c>
      <c r="I8" s="60">
        <v>150</v>
      </c>
      <c r="J8" s="60">
        <v>200</v>
      </c>
      <c r="K8" s="461" t="s">
        <v>41</v>
      </c>
      <c r="L8" s="60"/>
      <c r="M8" s="61"/>
    </row>
    <row r="9" spans="2:14" ht="15" customHeight="1" x14ac:dyDescent="0.3">
      <c r="B9" s="79" t="s">
        <v>52</v>
      </c>
      <c r="C9" s="43">
        <v>10</v>
      </c>
      <c r="D9" s="43">
        <v>50</v>
      </c>
      <c r="E9" s="43">
        <v>140</v>
      </c>
      <c r="F9" s="58" t="s">
        <v>41</v>
      </c>
      <c r="G9" s="43"/>
      <c r="H9" s="43"/>
      <c r="I9" s="43"/>
      <c r="J9" s="43"/>
      <c r="K9" s="43"/>
      <c r="L9" s="43"/>
      <c r="M9" s="52"/>
    </row>
    <row r="10" spans="2:14" ht="15" customHeight="1" thickBot="1" x14ac:dyDescent="0.35">
      <c r="B10" s="80" t="s">
        <v>53</v>
      </c>
      <c r="C10" s="62">
        <v>10</v>
      </c>
      <c r="D10" s="62" t="s">
        <v>41</v>
      </c>
      <c r="E10" s="73"/>
      <c r="F10" s="63"/>
      <c r="G10" s="64"/>
      <c r="H10" s="64"/>
      <c r="I10" s="64"/>
      <c r="J10" s="64"/>
      <c r="K10" s="64"/>
      <c r="L10" s="64"/>
      <c r="M10" s="65"/>
    </row>
    <row r="11" spans="2:14" ht="15" customHeight="1" x14ac:dyDescent="0.3">
      <c r="B11" s="57"/>
      <c r="C11" s="57"/>
      <c r="D11" s="57"/>
      <c r="E11" s="57"/>
      <c r="F11" s="57"/>
    </row>
    <row r="12" spans="2:14" ht="15" customHeight="1" thickBot="1" x14ac:dyDescent="0.35">
      <c r="B12" s="57"/>
      <c r="C12" s="57"/>
      <c r="D12" s="57"/>
      <c r="E12" s="57"/>
      <c r="F12" s="57"/>
    </row>
    <row r="13" spans="2:14" ht="15" customHeight="1" x14ac:dyDescent="0.3">
      <c r="B13" s="682"/>
      <c r="C13" s="683"/>
      <c r="D13" s="683"/>
      <c r="E13" s="683"/>
      <c r="F13" s="683"/>
      <c r="G13" s="684"/>
      <c r="H13" s="653" t="s">
        <v>42</v>
      </c>
      <c r="I13" s="654"/>
      <c r="J13" s="654" t="s">
        <v>43</v>
      </c>
      <c r="K13" s="654"/>
      <c r="L13" s="654" t="s">
        <v>44</v>
      </c>
      <c r="M13" s="655"/>
    </row>
    <row r="14" spans="2:14" ht="15" customHeight="1" thickBot="1" x14ac:dyDescent="0.35">
      <c r="B14" s="663" t="s">
        <v>223</v>
      </c>
      <c r="C14" s="664"/>
      <c r="D14" s="664"/>
      <c r="E14" s="664"/>
      <c r="F14" s="664"/>
      <c r="G14" s="665"/>
      <c r="H14" s="656">
        <f>C9</f>
        <v>10</v>
      </c>
      <c r="I14" s="657"/>
      <c r="J14" s="657">
        <f>D9</f>
        <v>50</v>
      </c>
      <c r="K14" s="657"/>
      <c r="L14" s="657">
        <f>E9</f>
        <v>140</v>
      </c>
      <c r="M14" s="676"/>
      <c r="N14" s="66"/>
    </row>
    <row r="15" spans="2:14" ht="5.0999999999999996" customHeight="1" x14ac:dyDescent="0.3">
      <c r="B15" s="660"/>
      <c r="C15" s="661"/>
      <c r="D15" s="661"/>
      <c r="E15" s="661"/>
      <c r="F15" s="661"/>
      <c r="G15" s="662"/>
      <c r="H15" s="666"/>
      <c r="I15" s="667"/>
      <c r="J15" s="667"/>
      <c r="K15" s="667"/>
      <c r="L15" s="667"/>
      <c r="M15" s="677"/>
    </row>
    <row r="16" spans="2:14" ht="15" customHeight="1" x14ac:dyDescent="0.3">
      <c r="B16" s="639" t="s">
        <v>76</v>
      </c>
      <c r="C16" s="640"/>
      <c r="D16" s="640"/>
      <c r="E16" s="640"/>
      <c r="F16" s="640"/>
      <c r="G16" s="641"/>
      <c r="H16" s="658">
        <f>'Raw Data'!E38</f>
        <v>-12.039674065505981</v>
      </c>
      <c r="I16" s="659"/>
      <c r="J16" s="659">
        <f>'Raw Data'!E39</f>
        <v>-11.369231268127123</v>
      </c>
      <c r="K16" s="659"/>
      <c r="L16" s="659">
        <f>'Raw Data'!E40</f>
        <v>-5.790654267957243</v>
      </c>
      <c r="M16" s="678"/>
    </row>
    <row r="17" spans="2:13" ht="15" customHeight="1" x14ac:dyDescent="0.3">
      <c r="B17" s="639" t="s">
        <v>78</v>
      </c>
      <c r="C17" s="640"/>
      <c r="D17" s="640"/>
      <c r="E17" s="640"/>
      <c r="F17" s="640"/>
      <c r="G17" s="641"/>
      <c r="H17" s="658">
        <f>'Raw Data'!F38</f>
        <v>87.960325934494023</v>
      </c>
      <c r="I17" s="659"/>
      <c r="J17" s="659">
        <f>'Raw Data'!F39</f>
        <v>88.630768731872877</v>
      </c>
      <c r="K17" s="659"/>
      <c r="L17" s="659">
        <f>'Raw Data'!F40</f>
        <v>94.209345732042763</v>
      </c>
      <c r="M17" s="678"/>
    </row>
    <row r="18" spans="2:13" ht="15" customHeight="1" x14ac:dyDescent="0.3">
      <c r="B18" s="639" t="s">
        <v>77</v>
      </c>
      <c r="C18" s="640"/>
      <c r="D18" s="640"/>
      <c r="E18" s="640"/>
      <c r="F18" s="640"/>
      <c r="G18" s="641"/>
      <c r="H18" s="658">
        <f>'Raw Data'!G38</f>
        <v>7.4966216409124282</v>
      </c>
      <c r="I18" s="659"/>
      <c r="J18" s="659">
        <f>'Raw Data'!G39</f>
        <v>5.0293725097179545</v>
      </c>
      <c r="K18" s="659"/>
      <c r="L18" s="659">
        <f>'Raw Data'!G40</f>
        <v>4.933110110847406</v>
      </c>
      <c r="M18" s="678"/>
    </row>
    <row r="19" spans="2:13" ht="9.9" customHeight="1" x14ac:dyDescent="0.3">
      <c r="B19" s="636"/>
      <c r="C19" s="637"/>
      <c r="D19" s="637"/>
      <c r="E19" s="637"/>
      <c r="F19" s="637"/>
      <c r="G19" s="638"/>
      <c r="H19" s="666"/>
      <c r="I19" s="667"/>
      <c r="J19" s="667"/>
      <c r="K19" s="667"/>
      <c r="L19" s="667"/>
      <c r="M19" s="677"/>
    </row>
    <row r="20" spans="2:13" x14ac:dyDescent="0.3">
      <c r="B20" s="650" t="s">
        <v>45</v>
      </c>
      <c r="C20" s="651"/>
      <c r="D20" s="651"/>
      <c r="E20" s="651"/>
      <c r="F20" s="651"/>
      <c r="G20" s="652"/>
      <c r="H20" s="666"/>
      <c r="I20" s="667"/>
      <c r="J20" s="667"/>
      <c r="K20" s="667"/>
      <c r="L20" s="667"/>
      <c r="M20" s="677"/>
    </row>
    <row r="21" spans="2:13" x14ac:dyDescent="0.3">
      <c r="B21" s="660" t="s">
        <v>75</v>
      </c>
      <c r="C21" s="661"/>
      <c r="D21" s="661"/>
      <c r="E21" s="661"/>
      <c r="F21" s="661"/>
      <c r="G21" s="662"/>
      <c r="H21" s="670">
        <f>'Precision Uncertainty'!M5</f>
        <v>3.1976097670129114E-2</v>
      </c>
      <c r="I21" s="671"/>
      <c r="J21" s="671">
        <f>'Precision Uncertainty'!M20</f>
        <v>1.5222187041239621E-2</v>
      </c>
      <c r="K21" s="671"/>
      <c r="L21" s="671">
        <f>'Precision Uncertainty'!M35</f>
        <v>1.1978700270017087E-2</v>
      </c>
      <c r="M21" s="680"/>
    </row>
    <row r="22" spans="2:13" x14ac:dyDescent="0.3">
      <c r="B22" s="660" t="s">
        <v>105</v>
      </c>
      <c r="C22" s="661"/>
      <c r="D22" s="661"/>
      <c r="E22" s="661"/>
      <c r="F22" s="661"/>
      <c r="G22" s="662"/>
      <c r="H22" s="670">
        <f>'Std Solution &amp; Spike Prep'!E158</f>
        <v>4.0346747080774681E-2</v>
      </c>
      <c r="I22" s="671"/>
      <c r="J22" s="671">
        <f>'Std Solution &amp; Spike Prep'!E158</f>
        <v>4.0346747080774681E-2</v>
      </c>
      <c r="K22" s="671"/>
      <c r="L22" s="671">
        <f>'Std Solution &amp; Spike Prep'!E158</f>
        <v>4.0346747080774681E-2</v>
      </c>
      <c r="M22" s="680"/>
    </row>
    <row r="23" spans="2:13" x14ac:dyDescent="0.3">
      <c r="B23" s="660" t="s">
        <v>106</v>
      </c>
      <c r="C23" s="661"/>
      <c r="D23" s="661"/>
      <c r="E23" s="661"/>
      <c r="F23" s="661"/>
      <c r="G23" s="662"/>
      <c r="H23" s="670">
        <f>'Std Solution &amp; Spike Prep'!Q18</f>
        <v>5.1999999999999998E-3</v>
      </c>
      <c r="I23" s="671"/>
      <c r="J23" s="671">
        <f>'Std Solution &amp; Spike Prep'!Q18</f>
        <v>5.1999999999999998E-3</v>
      </c>
      <c r="K23" s="671"/>
      <c r="L23" s="671">
        <f>'Std Solution &amp; Spike Prep'!Q18</f>
        <v>5.1999999999999998E-3</v>
      </c>
      <c r="M23" s="680"/>
    </row>
    <row r="24" spans="2:13" x14ac:dyDescent="0.3">
      <c r="B24" s="660" t="s">
        <v>46</v>
      </c>
      <c r="C24" s="661"/>
      <c r="D24" s="661"/>
      <c r="E24" s="661"/>
      <c r="F24" s="661"/>
      <c r="G24" s="662"/>
      <c r="H24" s="672">
        <f>'Calibration and Measurement'!D83</f>
        <v>5.4214108675195272E-2</v>
      </c>
      <c r="I24" s="673"/>
      <c r="J24" s="674">
        <f>'Calibration and Measurement'!H83</f>
        <v>5.4389794669178058E-2</v>
      </c>
      <c r="K24" s="675"/>
      <c r="L24" s="673">
        <f>'Calibration and Measurement'!L83</f>
        <v>5.4422259726065868E-2</v>
      </c>
      <c r="M24" s="681"/>
    </row>
    <row r="25" spans="2:13" x14ac:dyDescent="0.3">
      <c r="B25" s="660" t="s">
        <v>154</v>
      </c>
      <c r="C25" s="661"/>
      <c r="D25" s="661"/>
      <c r="E25" s="661"/>
      <c r="F25" s="661"/>
      <c r="G25" s="662"/>
      <c r="H25" s="670">
        <f>'Calibration and Measurement'!D98</f>
        <v>6.7579801564120356E-2</v>
      </c>
      <c r="I25" s="671"/>
      <c r="J25" s="671">
        <f>'Calibration and Measurement'!H98</f>
        <v>6.7720822234784997E-2</v>
      </c>
      <c r="K25" s="671"/>
      <c r="L25" s="671">
        <f>'Calibration and Measurement'!L98</f>
        <v>6.7746899218276924E-2</v>
      </c>
      <c r="M25" s="680"/>
    </row>
    <row r="26" spans="2:13" ht="5.0999999999999996" customHeight="1" x14ac:dyDescent="0.3">
      <c r="B26" s="636"/>
      <c r="C26" s="637"/>
      <c r="D26" s="637"/>
      <c r="E26" s="637"/>
      <c r="F26" s="637"/>
      <c r="G26" s="638"/>
      <c r="H26" s="670"/>
      <c r="I26" s="671"/>
      <c r="J26" s="671"/>
      <c r="K26" s="671"/>
      <c r="L26" s="671"/>
      <c r="M26" s="680"/>
    </row>
    <row r="27" spans="2:13" x14ac:dyDescent="0.3">
      <c r="B27" s="639" t="s">
        <v>47</v>
      </c>
      <c r="C27" s="640"/>
      <c r="D27" s="640"/>
      <c r="E27" s="640"/>
      <c r="F27" s="640"/>
      <c r="G27" s="641"/>
      <c r="H27" s="670">
        <f>'Combined UM'!D24</f>
        <v>0.74943581457357111</v>
      </c>
      <c r="I27" s="671"/>
      <c r="J27" s="671">
        <f>'Combined UM'!D33</f>
        <v>3.4802531310501803</v>
      </c>
      <c r="K27" s="671"/>
      <c r="L27" s="671">
        <f>'Combined UM'!D42</f>
        <v>9.6591595716949143</v>
      </c>
      <c r="M27" s="680"/>
    </row>
    <row r="28" spans="2:13" ht="9.9" customHeight="1" x14ac:dyDescent="0.3">
      <c r="B28" s="636"/>
      <c r="C28" s="637"/>
      <c r="D28" s="637"/>
      <c r="E28" s="637"/>
      <c r="F28" s="637"/>
      <c r="G28" s="638"/>
      <c r="H28" s="670"/>
      <c r="I28" s="671"/>
      <c r="J28" s="671"/>
      <c r="K28" s="671"/>
      <c r="L28" s="671"/>
      <c r="M28" s="680"/>
    </row>
    <row r="29" spans="2:13" x14ac:dyDescent="0.3">
      <c r="B29" s="639" t="s">
        <v>48</v>
      </c>
      <c r="C29" s="640"/>
      <c r="D29" s="640"/>
      <c r="E29" s="640"/>
      <c r="F29" s="640"/>
      <c r="G29" s="641"/>
      <c r="H29" s="668">
        <f>'Expanded UM'!C18</f>
        <v>2.2483074437207131</v>
      </c>
      <c r="I29" s="669"/>
      <c r="J29" s="669">
        <f>'Expanded UM'!F18</f>
        <v>10.440759393150541</v>
      </c>
      <c r="K29" s="669"/>
      <c r="L29" s="669">
        <f>'Expanded UM'!I18</f>
        <v>28.977478715084743</v>
      </c>
      <c r="M29" s="679"/>
    </row>
    <row r="30" spans="2:13" ht="15" customHeight="1" x14ac:dyDescent="0.3">
      <c r="B30" s="639" t="s">
        <v>49</v>
      </c>
      <c r="C30" s="640"/>
      <c r="D30" s="640"/>
      <c r="E30" s="640"/>
      <c r="F30" s="640"/>
      <c r="G30" s="641"/>
      <c r="H30" s="642">
        <f>'Expanded UM'!C19</f>
        <v>22.483074437207133</v>
      </c>
      <c r="I30" s="643"/>
      <c r="J30" s="647">
        <f>'Expanded UM'!F19</f>
        <v>20.881518786301083</v>
      </c>
      <c r="K30" s="643"/>
      <c r="L30" s="647">
        <f>'Expanded UM'!I19</f>
        <v>20.698199082203388</v>
      </c>
      <c r="M30" s="648"/>
    </row>
    <row r="31" spans="2:13" ht="5.0999999999999996" customHeight="1" thickBot="1" x14ac:dyDescent="0.35">
      <c r="B31" s="636"/>
      <c r="C31" s="637"/>
      <c r="D31" s="637"/>
      <c r="E31" s="637"/>
      <c r="F31" s="637"/>
      <c r="G31" s="638"/>
      <c r="H31" s="644"/>
      <c r="I31" s="645"/>
      <c r="J31" s="645"/>
      <c r="K31" s="645"/>
      <c r="L31" s="645"/>
      <c r="M31" s="646"/>
    </row>
    <row r="32" spans="2:13" ht="15" thickBot="1" x14ac:dyDescent="0.35">
      <c r="B32" s="633" t="s">
        <v>50</v>
      </c>
      <c r="C32" s="634"/>
      <c r="D32" s="634"/>
      <c r="E32" s="634"/>
      <c r="F32" s="634"/>
      <c r="G32" s="635"/>
      <c r="H32" s="630">
        <v>0.35</v>
      </c>
      <c r="I32" s="631"/>
      <c r="J32" s="631"/>
      <c r="K32" s="631"/>
      <c r="L32" s="631"/>
      <c r="M32" s="632"/>
    </row>
  </sheetData>
  <mergeCells count="84">
    <mergeCell ref="L4:M4"/>
    <mergeCell ref="L5:M5"/>
    <mergeCell ref="J4:K5"/>
    <mergeCell ref="C4:I4"/>
    <mergeCell ref="C5:I5"/>
    <mergeCell ref="B13:G13"/>
    <mergeCell ref="B21:G21"/>
    <mergeCell ref="J25:K25"/>
    <mergeCell ref="J23:K23"/>
    <mergeCell ref="J26:K26"/>
    <mergeCell ref="H18:I18"/>
    <mergeCell ref="H19:I19"/>
    <mergeCell ref="H20:I20"/>
    <mergeCell ref="H21:I21"/>
    <mergeCell ref="H22:I22"/>
    <mergeCell ref="J18:K18"/>
    <mergeCell ref="J19:K19"/>
    <mergeCell ref="J20:K20"/>
    <mergeCell ref="J21:K21"/>
    <mergeCell ref="J22:K22"/>
    <mergeCell ref="H26:I26"/>
    <mergeCell ref="L14:M14"/>
    <mergeCell ref="L15:M15"/>
    <mergeCell ref="L16:M16"/>
    <mergeCell ref="L29:M29"/>
    <mergeCell ref="L17:M17"/>
    <mergeCell ref="L18:M18"/>
    <mergeCell ref="L19:M19"/>
    <mergeCell ref="L20:M20"/>
    <mergeCell ref="L21:M21"/>
    <mergeCell ref="L22:M22"/>
    <mergeCell ref="L25:M25"/>
    <mergeCell ref="L23:M23"/>
    <mergeCell ref="L26:M26"/>
    <mergeCell ref="L27:M27"/>
    <mergeCell ref="L28:M28"/>
    <mergeCell ref="L24:M24"/>
    <mergeCell ref="H15:I15"/>
    <mergeCell ref="J15:K15"/>
    <mergeCell ref="J16:K16"/>
    <mergeCell ref="H29:I29"/>
    <mergeCell ref="H28:I28"/>
    <mergeCell ref="H25:I25"/>
    <mergeCell ref="H27:I27"/>
    <mergeCell ref="J27:K27"/>
    <mergeCell ref="J28:K28"/>
    <mergeCell ref="J29:K29"/>
    <mergeCell ref="H23:I23"/>
    <mergeCell ref="H24:I24"/>
    <mergeCell ref="J24:K24"/>
    <mergeCell ref="B22:G22"/>
    <mergeCell ref="B25:G25"/>
    <mergeCell ref="B23:G23"/>
    <mergeCell ref="B27:G27"/>
    <mergeCell ref="B29:G29"/>
    <mergeCell ref="B26:G26"/>
    <mergeCell ref="B28:G28"/>
    <mergeCell ref="B24:G24"/>
    <mergeCell ref="B2:M2"/>
    <mergeCell ref="B16:G16"/>
    <mergeCell ref="B17:G17"/>
    <mergeCell ref="B18:G18"/>
    <mergeCell ref="B20:G20"/>
    <mergeCell ref="H13:I13"/>
    <mergeCell ref="J13:K13"/>
    <mergeCell ref="L13:M13"/>
    <mergeCell ref="H14:I14"/>
    <mergeCell ref="J14:K14"/>
    <mergeCell ref="H16:I16"/>
    <mergeCell ref="H17:I17"/>
    <mergeCell ref="J17:K17"/>
    <mergeCell ref="B15:G15"/>
    <mergeCell ref="B14:G14"/>
    <mergeCell ref="B19:G19"/>
    <mergeCell ref="H32:M32"/>
    <mergeCell ref="B32:G32"/>
    <mergeCell ref="B31:G31"/>
    <mergeCell ref="B30:G30"/>
    <mergeCell ref="H30:I30"/>
    <mergeCell ref="H31:I31"/>
    <mergeCell ref="J31:K31"/>
    <mergeCell ref="L31:M31"/>
    <mergeCell ref="L30:M30"/>
    <mergeCell ref="J30:K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showGridLines="0" workbookViewId="0">
      <selection activeCell="B25" sqref="B25"/>
    </sheetView>
  </sheetViews>
  <sheetFormatPr defaultRowHeight="14.4" x14ac:dyDescent="0.3"/>
  <cols>
    <col min="1" max="1" width="1.6640625" customWidth="1"/>
  </cols>
  <sheetData>
    <row r="1" spans="2:18" ht="15" customHeight="1" x14ac:dyDescent="0.3"/>
    <row r="2" spans="2:18" ht="18" x14ac:dyDescent="0.35">
      <c r="B2" s="1" t="s">
        <v>228</v>
      </c>
    </row>
    <row r="3" spans="2:18" ht="15" customHeight="1" x14ac:dyDescent="0.3"/>
    <row r="4" spans="2:18" ht="15.75" customHeight="1" x14ac:dyDescent="0.3">
      <c r="B4" s="445" t="s">
        <v>242</v>
      </c>
      <c r="C4" s="446"/>
      <c r="D4" s="446"/>
      <c r="E4" s="446"/>
      <c r="F4" s="446"/>
      <c r="G4" s="446"/>
      <c r="H4" s="446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ht="5.0999999999999996" customHeight="1" x14ac:dyDescent="0.3">
      <c r="B5" s="447"/>
      <c r="C5" s="447"/>
      <c r="D5" s="447"/>
      <c r="E5" s="447"/>
      <c r="F5" s="447"/>
      <c r="G5" s="447"/>
      <c r="H5" s="447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2:18" ht="15" customHeight="1" x14ac:dyDescent="0.3">
      <c r="B6" s="22" t="s">
        <v>229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2:18" ht="15" customHeight="1" x14ac:dyDescent="0.3">
      <c r="B7" s="12" t="s">
        <v>230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2:18" ht="15" customHeight="1" x14ac:dyDescent="0.3">
      <c r="B8" s="12" t="s">
        <v>231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2:18" ht="15" customHeight="1" x14ac:dyDescent="0.3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2:18" ht="15" customHeight="1" x14ac:dyDescent="0.3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2:18" ht="15" customHeight="1" x14ac:dyDescent="0.3">
      <c r="B11" s="22" t="s">
        <v>232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2:18" ht="15" customHeight="1" x14ac:dyDescent="0.3">
      <c r="B12" s="12" t="s">
        <v>233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15" customHeight="1" x14ac:dyDescent="0.3">
      <c r="B13" s="12"/>
      <c r="C13" s="12" t="s">
        <v>234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2:18" ht="15" customHeight="1" x14ac:dyDescent="0.3">
      <c r="B14" s="12"/>
      <c r="C14" s="12" t="s">
        <v>235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2:18" ht="15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2:18" ht="15" customHeight="1" x14ac:dyDescent="0.3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2:18" ht="15" customHeight="1" x14ac:dyDescent="0.3">
      <c r="B17" s="448" t="s">
        <v>236</v>
      </c>
      <c r="C17" s="449"/>
      <c r="D17" s="449"/>
      <c r="E17" s="449"/>
      <c r="F17" s="449"/>
      <c r="G17" s="449"/>
      <c r="H17" s="449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2:18" ht="15" customHeight="1" x14ac:dyDescent="0.3">
      <c r="B18" s="450" t="s">
        <v>237</v>
      </c>
      <c r="C18" s="449"/>
      <c r="D18" s="449"/>
      <c r="E18" s="449"/>
      <c r="F18" s="449"/>
      <c r="G18" s="449"/>
      <c r="H18" s="449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2:18" ht="15" customHeight="1" x14ac:dyDescent="0.3">
      <c r="B19" s="450" t="s">
        <v>238</v>
      </c>
      <c r="C19" s="449"/>
      <c r="D19" s="449"/>
      <c r="E19" s="449"/>
      <c r="F19" s="449"/>
      <c r="G19" s="449"/>
      <c r="H19" s="449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2:18" ht="15" customHeight="1" x14ac:dyDescent="0.3">
      <c r="B20" s="450" t="s">
        <v>239</v>
      </c>
      <c r="C20" s="449"/>
      <c r="D20" s="449"/>
      <c r="E20" s="449"/>
      <c r="F20" s="449"/>
      <c r="G20" s="449"/>
      <c r="H20" s="449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2:18" ht="15" customHeight="1" x14ac:dyDescent="0.3">
      <c r="B21" s="450"/>
      <c r="C21" s="449"/>
      <c r="D21" s="449"/>
      <c r="E21" s="449"/>
      <c r="F21" s="449"/>
      <c r="G21" s="449"/>
      <c r="H21" s="449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2:18" ht="15" customHeight="1" x14ac:dyDescent="0.3">
      <c r="B22" s="450"/>
      <c r="C22" s="449"/>
      <c r="D22" s="449"/>
      <c r="E22" s="449"/>
      <c r="F22" s="449"/>
      <c r="G22" s="449"/>
      <c r="H22" s="449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2:18" ht="15" customHeight="1" x14ac:dyDescent="0.3">
      <c r="B23" s="277"/>
      <c r="C23" s="449"/>
      <c r="D23" s="449"/>
      <c r="E23" s="449"/>
      <c r="F23" s="449"/>
      <c r="G23" s="449"/>
      <c r="H23" s="449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2:18" ht="15" customHeight="1" x14ac:dyDescent="0.3">
      <c r="B24" s="448" t="s">
        <v>240</v>
      </c>
      <c r="C24" s="448"/>
      <c r="D24" s="448"/>
      <c r="E24" s="448"/>
      <c r="F24" s="448"/>
      <c r="G24" s="448"/>
      <c r="H24" s="448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2:18" ht="15" customHeight="1" x14ac:dyDescent="0.3">
      <c r="B25" s="12" t="s">
        <v>243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2:18" ht="15" customHeight="1" x14ac:dyDescent="0.3">
      <c r="B26" s="12" t="s">
        <v>241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2:18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2:18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68"/>
  <sheetViews>
    <sheetView showGridLines="0" topLeftCell="A4" zoomScale="85" zoomScaleNormal="85" workbookViewId="0">
      <selection activeCell="X6" sqref="X6:X9"/>
    </sheetView>
  </sheetViews>
  <sheetFormatPr defaultRowHeight="14.4" x14ac:dyDescent="0.3"/>
  <cols>
    <col min="1" max="1" width="1.6640625" customWidth="1"/>
    <col min="2" max="2" width="17.109375" customWidth="1"/>
    <col min="3" max="3" width="12.33203125" customWidth="1"/>
    <col min="4" max="14" width="10.6640625" style="38" customWidth="1"/>
    <col min="15" max="25" width="10.6640625" customWidth="1"/>
  </cols>
  <sheetData>
    <row r="2" spans="2:25" ht="18" x14ac:dyDescent="0.35">
      <c r="B2" s="1" t="s">
        <v>107</v>
      </c>
      <c r="C2" s="10" t="str">
        <f>"-"&amp;Summary!C4</f>
        <v>-  Cocaine</v>
      </c>
    </row>
    <row r="3" spans="2:25" ht="15.75" customHeight="1" thickBot="1" x14ac:dyDescent="0.35"/>
    <row r="4" spans="2:25" ht="15" customHeight="1" x14ac:dyDescent="0.3">
      <c r="B4" s="722" t="str">
        <f>Summary!H13</f>
        <v>QC 1</v>
      </c>
      <c r="C4" s="708" t="s">
        <v>54</v>
      </c>
      <c r="D4" s="704" t="s">
        <v>60</v>
      </c>
      <c r="E4" s="705"/>
      <c r="F4" s="706" t="s">
        <v>61</v>
      </c>
      <c r="G4" s="707"/>
      <c r="H4" s="706" t="s">
        <v>62</v>
      </c>
      <c r="I4" s="705"/>
      <c r="J4" s="706" t="s">
        <v>63</v>
      </c>
      <c r="K4" s="707"/>
      <c r="L4" s="706" t="s">
        <v>64</v>
      </c>
      <c r="M4" s="705"/>
      <c r="N4" s="707" t="s">
        <v>65</v>
      </c>
      <c r="O4" s="707"/>
      <c r="P4" s="706" t="s">
        <v>66</v>
      </c>
      <c r="Q4" s="705"/>
      <c r="R4" s="707" t="s">
        <v>67</v>
      </c>
      <c r="S4" s="707"/>
      <c r="T4" s="706" t="s">
        <v>68</v>
      </c>
      <c r="U4" s="705"/>
      <c r="V4" s="707" t="s">
        <v>69</v>
      </c>
      <c r="W4" s="707"/>
      <c r="X4" s="706" t="s">
        <v>70</v>
      </c>
      <c r="Y4" s="708"/>
    </row>
    <row r="5" spans="2:25" ht="15" thickBot="1" x14ac:dyDescent="0.35">
      <c r="B5" s="723"/>
      <c r="C5" s="724"/>
      <c r="D5" s="703">
        <v>43672</v>
      </c>
      <c r="E5" s="702"/>
      <c r="F5" s="699">
        <v>43675</v>
      </c>
      <c r="G5" s="701"/>
      <c r="H5" s="699">
        <v>43676</v>
      </c>
      <c r="I5" s="702"/>
      <c r="J5" s="699">
        <v>43677</v>
      </c>
      <c r="K5" s="701"/>
      <c r="L5" s="699">
        <v>43678</v>
      </c>
      <c r="M5" s="702"/>
      <c r="N5" s="701">
        <v>43679</v>
      </c>
      <c r="O5" s="701"/>
      <c r="P5" s="699">
        <v>43682</v>
      </c>
      <c r="Q5" s="702"/>
      <c r="R5" s="701">
        <v>43683</v>
      </c>
      <c r="S5" s="701"/>
      <c r="T5" s="699">
        <v>43684</v>
      </c>
      <c r="U5" s="702"/>
      <c r="V5" s="701">
        <v>43685</v>
      </c>
      <c r="W5" s="701"/>
      <c r="X5" s="699">
        <v>43686</v>
      </c>
      <c r="Y5" s="700"/>
    </row>
    <row r="6" spans="2:25" x14ac:dyDescent="0.3">
      <c r="B6" s="77" t="s">
        <v>1</v>
      </c>
      <c r="C6" s="715">
        <f>Summary!C9</f>
        <v>10</v>
      </c>
      <c r="D6" s="464">
        <v>12</v>
      </c>
      <c r="E6" s="465">
        <f>AVERAGE(D6:D7)</f>
        <v>10.08765341336284</v>
      </c>
      <c r="F6" s="466">
        <v>9.2787001103148903</v>
      </c>
      <c r="G6" s="466">
        <f>AVERAGE(F6:F7)</f>
        <v>9.2679027954882454</v>
      </c>
      <c r="H6" s="467">
        <v>9.0923790418563293</v>
      </c>
      <c r="I6" s="465">
        <f>AVERAGE(H6:H7)</f>
        <v>9.1531762496015503</v>
      </c>
      <c r="J6" s="466">
        <v>10.1085340992282</v>
      </c>
      <c r="K6" s="466">
        <f>AVERAGE(J6:J7)</f>
        <v>10.082106793352549</v>
      </c>
      <c r="L6" s="467">
        <v>8.8836913310375394</v>
      </c>
      <c r="M6" s="465">
        <f>AVERAGE(L6:L7)</f>
        <v>8.9801028065814545</v>
      </c>
      <c r="N6" s="533">
        <v>7.34190267784978</v>
      </c>
      <c r="O6" s="466">
        <f>AVERAGE(N6:N7)</f>
        <v>7.4108936792242996</v>
      </c>
      <c r="P6" s="467">
        <v>8.0018592531337998</v>
      </c>
      <c r="Q6" s="465">
        <f>AVERAGE(P6:P7)</f>
        <v>8.0343927298934759</v>
      </c>
      <c r="R6" s="466">
        <v>8.76417301270547</v>
      </c>
      <c r="S6" s="466">
        <f>AVERAGE(R6:R7)</f>
        <v>8.6388412132739152</v>
      </c>
      <c r="T6" s="467">
        <v>8.3954413100187502</v>
      </c>
      <c r="U6" s="465">
        <f>AVERAGE(T6:T7)</f>
        <v>8.3144586509286604</v>
      </c>
      <c r="V6" s="466">
        <v>8.5136605657753304</v>
      </c>
      <c r="W6" s="466">
        <f>AVERAGE(V6:V7)</f>
        <v>8.5403840696292406</v>
      </c>
      <c r="X6" s="467">
        <v>9.2987702776874208</v>
      </c>
      <c r="Y6" s="468">
        <f>AVERAGE(X6:X7)</f>
        <v>9.3299036811237492</v>
      </c>
    </row>
    <row r="7" spans="2:25" x14ac:dyDescent="0.3">
      <c r="B7" s="452"/>
      <c r="C7" s="716"/>
      <c r="D7" s="464">
        <v>8.1753068267256808</v>
      </c>
      <c r="E7" s="465"/>
      <c r="F7" s="466">
        <v>9.2571054806616004</v>
      </c>
      <c r="G7" s="466"/>
      <c r="H7" s="467">
        <v>9.2139734573467695</v>
      </c>
      <c r="I7" s="465"/>
      <c r="J7" s="466">
        <v>10.055679487476899</v>
      </c>
      <c r="K7" s="466"/>
      <c r="L7" s="467">
        <v>9.0765142821253697</v>
      </c>
      <c r="M7" s="465"/>
      <c r="N7" s="533">
        <v>7.4798846805988202</v>
      </c>
      <c r="O7" s="466"/>
      <c r="P7" s="467">
        <v>8.0669262066531502</v>
      </c>
      <c r="Q7" s="465"/>
      <c r="R7" s="466">
        <v>8.5135094138423604</v>
      </c>
      <c r="S7" s="466"/>
      <c r="T7" s="467">
        <v>8.2334759918385707</v>
      </c>
      <c r="U7" s="465"/>
      <c r="V7" s="466">
        <v>8.5671075734831508</v>
      </c>
      <c r="W7" s="466"/>
      <c r="X7" s="467">
        <v>9.3610370845600794</v>
      </c>
      <c r="Y7" s="469"/>
    </row>
    <row r="8" spans="2:25" x14ac:dyDescent="0.3">
      <c r="B8" s="77" t="s">
        <v>2</v>
      </c>
      <c r="C8" s="716"/>
      <c r="D8" s="464">
        <v>8.6618127665669498</v>
      </c>
      <c r="E8" s="465">
        <f>AVERAGE(D8:D9)</f>
        <v>8.5351091914819293</v>
      </c>
      <c r="F8" s="466">
        <v>9.2984950338120793</v>
      </c>
      <c r="G8" s="466">
        <f>AVERAGE(F8:F9)</f>
        <v>9.3356871278927684</v>
      </c>
      <c r="H8" s="467">
        <v>9.3141426768752495</v>
      </c>
      <c r="I8" s="465">
        <f>AVERAGE(H8:H9)</f>
        <v>9.2757068629200958</v>
      </c>
      <c r="J8" s="466">
        <v>8.8660337852073194</v>
      </c>
      <c r="K8" s="466">
        <f>AVERAGE(J8:J9)</f>
        <v>8.9436238217861792</v>
      </c>
      <c r="L8" s="467">
        <v>8.4763253601526607</v>
      </c>
      <c r="M8" s="465">
        <f>AVERAGE(L8:L9)</f>
        <v>8.5131120648717449</v>
      </c>
      <c r="N8" s="466">
        <v>7.8490459269152497</v>
      </c>
      <c r="O8" s="466">
        <f>AVERAGE(N8:N9)</f>
        <v>8.0139634404056448</v>
      </c>
      <c r="P8" s="470">
        <v>7.9322820771267502</v>
      </c>
      <c r="Q8" s="465">
        <f>AVERAGE(P8:P9)</f>
        <v>8.01403797030863</v>
      </c>
      <c r="R8" s="471">
        <v>8.4685398964885295</v>
      </c>
      <c r="S8" s="466">
        <f>AVERAGE(R8:R9)</f>
        <v>8.4105452736167585</v>
      </c>
      <c r="T8" s="470">
        <v>8.6039164433423601</v>
      </c>
      <c r="U8" s="465">
        <f>AVERAGE(T8:T9)</f>
        <v>8.6019761026015296</v>
      </c>
      <c r="V8" s="471">
        <v>8.5469614683941195</v>
      </c>
      <c r="W8" s="466">
        <f>AVERAGE(V8:V9)</f>
        <v>8.7666704148477486</v>
      </c>
      <c r="X8" s="467">
        <v>9.1130886598793595</v>
      </c>
      <c r="Y8" s="469">
        <f>AVERAGE(X8:X9)</f>
        <v>9.2624687026938748</v>
      </c>
    </row>
    <row r="9" spans="2:25" ht="15" thickBot="1" x14ac:dyDescent="0.35">
      <c r="B9" s="77"/>
      <c r="C9" s="717"/>
      <c r="D9" s="464">
        <v>8.4084056163969105</v>
      </c>
      <c r="E9" s="465"/>
      <c r="F9" s="466">
        <v>9.3728792219734594</v>
      </c>
      <c r="G9" s="466"/>
      <c r="H9" s="467">
        <v>9.2372710489649403</v>
      </c>
      <c r="I9" s="465"/>
      <c r="J9" s="466">
        <v>9.0212138583650407</v>
      </c>
      <c r="K9" s="466"/>
      <c r="L9" s="467">
        <v>8.5498987695908308</v>
      </c>
      <c r="M9" s="465"/>
      <c r="N9" s="466">
        <v>8.1788809538960408</v>
      </c>
      <c r="O9" s="466"/>
      <c r="P9" s="467">
        <v>8.0957938634905098</v>
      </c>
      <c r="Q9" s="465"/>
      <c r="R9" s="466">
        <v>8.3525506507449894</v>
      </c>
      <c r="S9" s="466"/>
      <c r="T9" s="467">
        <v>8.6000357618607008</v>
      </c>
      <c r="U9" s="465"/>
      <c r="V9" s="466">
        <v>8.9863793613013794</v>
      </c>
      <c r="W9" s="466"/>
      <c r="X9" s="467">
        <v>9.4118487455083901</v>
      </c>
      <c r="Y9" s="469"/>
    </row>
    <row r="10" spans="2:25" x14ac:dyDescent="0.3">
      <c r="B10" s="718" t="s">
        <v>55</v>
      </c>
      <c r="C10" s="719"/>
      <c r="D10" s="472"/>
      <c r="E10" s="473">
        <f>AVERAGE(E6:E9)</f>
        <v>9.3113813024223848</v>
      </c>
      <c r="F10" s="474"/>
      <c r="G10" s="474">
        <f>AVERAGE(G6:G9)</f>
        <v>9.3017949616905078</v>
      </c>
      <c r="H10" s="475"/>
      <c r="I10" s="473">
        <f>AVERAGE(I6:I9)</f>
        <v>9.2144415562608231</v>
      </c>
      <c r="J10" s="474"/>
      <c r="K10" s="474">
        <f>AVERAGE(K6:K9)</f>
        <v>9.5128653075693634</v>
      </c>
      <c r="L10" s="475"/>
      <c r="M10" s="473">
        <f>AVERAGE(M6:M9)</f>
        <v>8.7466074357265988</v>
      </c>
      <c r="N10" s="474"/>
      <c r="O10" s="474">
        <f>AVERAGE(O6:O9)</f>
        <v>7.7124285598149722</v>
      </c>
      <c r="P10" s="475"/>
      <c r="Q10" s="473">
        <f>AVERAGE(Q6:Q9)</f>
        <v>8.024215350101052</v>
      </c>
      <c r="R10" s="474"/>
      <c r="S10" s="474">
        <f>AVERAGE(S6:S9)</f>
        <v>8.5246932434453377</v>
      </c>
      <c r="T10" s="475"/>
      <c r="U10" s="473">
        <f>AVERAGE(U6:U9)</f>
        <v>8.458217376765095</v>
      </c>
      <c r="V10" s="474"/>
      <c r="W10" s="474">
        <f>AVERAGE(W6:W9)</f>
        <v>8.6535272422384946</v>
      </c>
      <c r="X10" s="475"/>
      <c r="Y10" s="476">
        <f>AVERAGE(Y6:Y9)</f>
        <v>9.2961861919088129</v>
      </c>
    </row>
    <row r="11" spans="2:25" x14ac:dyDescent="0.3">
      <c r="B11" s="720" t="s">
        <v>56</v>
      </c>
      <c r="C11" s="721"/>
      <c r="D11" s="459"/>
      <c r="E11" s="480">
        <f>STDEV(E6:E9)</f>
        <v>1.097814547383984</v>
      </c>
      <c r="F11" s="481"/>
      <c r="G11" s="481">
        <f>STDEV(G6:G9)</f>
        <v>4.7930761101441309E-2</v>
      </c>
      <c r="H11" s="482"/>
      <c r="I11" s="480">
        <f>STDEV(I6:I9)</f>
        <v>8.6642227580490241E-2</v>
      </c>
      <c r="J11" s="481"/>
      <c r="K11" s="481">
        <f>STDEV(K6:K9)</f>
        <v>0.80502902945999177</v>
      </c>
      <c r="L11" s="482"/>
      <c r="M11" s="480">
        <f>STDEV(M6:M9)</f>
        <v>0.33021232021427122</v>
      </c>
      <c r="N11" s="481"/>
      <c r="O11" s="481">
        <f>STDEV(O6:O9)</f>
        <v>0.42643471765988089</v>
      </c>
      <c r="P11" s="482"/>
      <c r="Q11" s="480">
        <f>STDEV(Q6:Q9)</f>
        <v>1.4392988531866406E-2</v>
      </c>
      <c r="R11" s="481"/>
      <c r="S11" s="481">
        <f>STDEV(S6:S9)</f>
        <v>0.16142960704893033</v>
      </c>
      <c r="T11" s="482"/>
      <c r="U11" s="480">
        <f>STDEV(U6:U9)</f>
        <v>0.20330553978736121</v>
      </c>
      <c r="V11" s="481"/>
      <c r="W11" s="481">
        <f>STDEV(W6:W9)</f>
        <v>0.16000860919392709</v>
      </c>
      <c r="X11" s="482"/>
      <c r="Y11" s="483">
        <f>STDEV(Y6:Y9)</f>
        <v>4.7683730536932784E-2</v>
      </c>
    </row>
    <row r="12" spans="2:25" ht="15" thickBot="1" x14ac:dyDescent="0.35">
      <c r="B12" s="732" t="s">
        <v>57</v>
      </c>
      <c r="C12" s="733"/>
      <c r="D12" s="460"/>
      <c r="E12" s="484">
        <f>(E11/E10)*100</f>
        <v>11.790028909012502</v>
      </c>
      <c r="F12" s="485"/>
      <c r="G12" s="485">
        <f t="shared" ref="G12" si="0">(G11/G10)*100</f>
        <v>0.51528507453501615</v>
      </c>
      <c r="H12" s="486"/>
      <c r="I12" s="484">
        <f t="shared" ref="I12" si="1">(I11/I10)*100</f>
        <v>0.94028734190213092</v>
      </c>
      <c r="J12" s="485"/>
      <c r="K12" s="485">
        <f t="shared" ref="K12" si="2">(K11/K10)*100</f>
        <v>8.4625294633303838</v>
      </c>
      <c r="L12" s="486"/>
      <c r="M12" s="484">
        <f t="shared" ref="M12" si="3">(M11/M10)*100</f>
        <v>3.7753188609503407</v>
      </c>
      <c r="N12" s="485"/>
      <c r="O12" s="485">
        <f t="shared" ref="O12" si="4">(O11/O10)*100</f>
        <v>5.5291885604203435</v>
      </c>
      <c r="P12" s="486"/>
      <c r="Q12" s="484">
        <f t="shared" ref="Q12" si="5">(Q11/Q10)*100</f>
        <v>0.17936941998553355</v>
      </c>
      <c r="R12" s="485"/>
      <c r="S12" s="485">
        <f t="shared" ref="S12" si="6">(S11/S10)*100</f>
        <v>1.8936705690032196</v>
      </c>
      <c r="T12" s="486"/>
      <c r="U12" s="484">
        <f t="shared" ref="U12" si="7">(U11/U10)*100</f>
        <v>2.4036452449879793</v>
      </c>
      <c r="V12" s="485"/>
      <c r="W12" s="485">
        <f t="shared" ref="W12" si="8">(W11/W10)*100</f>
        <v>1.8490565143530542</v>
      </c>
      <c r="X12" s="486"/>
      <c r="Y12" s="487">
        <f t="shared" ref="Y12" si="9">(Y11/Y10)*100</f>
        <v>0.51293863475363277</v>
      </c>
    </row>
    <row r="13" spans="2:25" ht="15" thickBot="1" x14ac:dyDescent="0.35">
      <c r="B13" s="3"/>
      <c r="C13" s="7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</row>
    <row r="14" spans="2:25" ht="15" customHeight="1" x14ac:dyDescent="0.3">
      <c r="B14" s="722" t="str">
        <f>Summary!J13</f>
        <v>QC 2</v>
      </c>
      <c r="C14" s="708" t="s">
        <v>54</v>
      </c>
      <c r="D14" s="704" t="str">
        <f>D$4</f>
        <v>Run 1</v>
      </c>
      <c r="E14" s="705"/>
      <c r="F14" s="706" t="str">
        <f t="shared" ref="F14:X14" si="10">F$4</f>
        <v>Run 2</v>
      </c>
      <c r="G14" s="707"/>
      <c r="H14" s="706" t="str">
        <f t="shared" si="10"/>
        <v>Run 3</v>
      </c>
      <c r="I14" s="705"/>
      <c r="J14" s="706" t="str">
        <f t="shared" si="10"/>
        <v>Run 4</v>
      </c>
      <c r="K14" s="707"/>
      <c r="L14" s="706" t="str">
        <f t="shared" si="10"/>
        <v>Run 5</v>
      </c>
      <c r="M14" s="705"/>
      <c r="N14" s="707" t="str">
        <f t="shared" si="10"/>
        <v>Run 6</v>
      </c>
      <c r="O14" s="707"/>
      <c r="P14" s="706" t="str">
        <f t="shared" si="10"/>
        <v>Run 7</v>
      </c>
      <c r="Q14" s="705"/>
      <c r="R14" s="707" t="str">
        <f t="shared" si="10"/>
        <v>Run 8</v>
      </c>
      <c r="S14" s="707"/>
      <c r="T14" s="706" t="str">
        <f t="shared" si="10"/>
        <v>Run 9</v>
      </c>
      <c r="U14" s="705"/>
      <c r="V14" s="707" t="str">
        <f t="shared" si="10"/>
        <v>Run 10</v>
      </c>
      <c r="W14" s="707"/>
      <c r="X14" s="706" t="str">
        <f t="shared" si="10"/>
        <v>Run 11</v>
      </c>
      <c r="Y14" s="708"/>
    </row>
    <row r="15" spans="2:25" ht="15" thickBot="1" x14ac:dyDescent="0.35">
      <c r="B15" s="723"/>
      <c r="C15" s="724"/>
      <c r="D15" s="703">
        <f>D$5</f>
        <v>43672</v>
      </c>
      <c r="E15" s="702"/>
      <c r="F15" s="699">
        <f t="shared" ref="F15:X15" si="11">F$5</f>
        <v>43675</v>
      </c>
      <c r="G15" s="701"/>
      <c r="H15" s="699">
        <f t="shared" si="11"/>
        <v>43676</v>
      </c>
      <c r="I15" s="702"/>
      <c r="J15" s="699">
        <f t="shared" si="11"/>
        <v>43677</v>
      </c>
      <c r="K15" s="701"/>
      <c r="L15" s="699">
        <f t="shared" si="11"/>
        <v>43678</v>
      </c>
      <c r="M15" s="702"/>
      <c r="N15" s="701">
        <f t="shared" si="11"/>
        <v>43679</v>
      </c>
      <c r="O15" s="701"/>
      <c r="P15" s="699">
        <f t="shared" si="11"/>
        <v>43682</v>
      </c>
      <c r="Q15" s="702"/>
      <c r="R15" s="701">
        <f t="shared" si="11"/>
        <v>43683</v>
      </c>
      <c r="S15" s="701"/>
      <c r="T15" s="699">
        <f t="shared" si="11"/>
        <v>43684</v>
      </c>
      <c r="U15" s="702"/>
      <c r="V15" s="701">
        <f t="shared" si="11"/>
        <v>43685</v>
      </c>
      <c r="W15" s="701"/>
      <c r="X15" s="699">
        <f t="shared" si="11"/>
        <v>43686</v>
      </c>
      <c r="Y15" s="700"/>
    </row>
    <row r="16" spans="2:25" x14ac:dyDescent="0.3">
      <c r="B16" s="77" t="s">
        <v>1</v>
      </c>
      <c r="C16" s="715">
        <f>Summary!D9</f>
        <v>50</v>
      </c>
      <c r="D16" s="464">
        <v>40.9127844552605</v>
      </c>
      <c r="E16" s="465">
        <f>AVERAGE(D16:D17)</f>
        <v>40.539091513510698</v>
      </c>
      <c r="F16" s="466">
        <v>45.787529840651999</v>
      </c>
      <c r="G16" s="465">
        <f>AVERAGE(F16:F17)</f>
        <v>46.5782587621025</v>
      </c>
      <c r="H16" s="467">
        <v>43.0225807545824</v>
      </c>
      <c r="I16" s="465">
        <f>AVERAGE(H16:H17)</f>
        <v>43.2171691881558</v>
      </c>
      <c r="J16" s="466">
        <v>48.764960166446002</v>
      </c>
      <c r="K16" s="465">
        <f>AVERAGE(J16:J17)</f>
        <v>48.551588938359203</v>
      </c>
      <c r="L16" s="467">
        <v>43.3906710902029</v>
      </c>
      <c r="M16" s="465">
        <f>AVERAGE(L16:L17)</f>
        <v>43.6113837158818</v>
      </c>
      <c r="N16" s="466">
        <v>43.798692501489001</v>
      </c>
      <c r="O16" s="465">
        <f>AVERAGE(N16:N17)</f>
        <v>43.421841989802751</v>
      </c>
      <c r="P16" s="467">
        <v>44.129876976801299</v>
      </c>
      <c r="Q16" s="465">
        <f>AVERAGE(P16:P17)</f>
        <v>43.488519412866097</v>
      </c>
      <c r="R16" s="466">
        <v>42.076839977947301</v>
      </c>
      <c r="S16" s="465">
        <f>AVERAGE(R16:R17)</f>
        <v>41.990588652317399</v>
      </c>
      <c r="T16" s="467">
        <v>44.774710921532801</v>
      </c>
      <c r="U16" s="465">
        <f>AVERAGE(T16:T17)</f>
        <v>45.161400474674849</v>
      </c>
      <c r="V16" s="466">
        <v>45.154745102565101</v>
      </c>
      <c r="W16" s="465">
        <f>AVERAGE(V16:V17)</f>
        <v>45.670120328839751</v>
      </c>
      <c r="X16" s="467">
        <v>46.663874741120402</v>
      </c>
      <c r="Y16" s="468">
        <f>AVERAGE(X16:X17)</f>
        <v>46.761995939106797</v>
      </c>
    </row>
    <row r="17" spans="2:25" x14ac:dyDescent="0.3">
      <c r="B17" s="77"/>
      <c r="C17" s="716"/>
      <c r="D17" s="464">
        <v>40.165398571760903</v>
      </c>
      <c r="E17" s="465"/>
      <c r="F17" s="466">
        <v>47.368987683553001</v>
      </c>
      <c r="G17" s="465"/>
      <c r="H17" s="467">
        <v>43.411757621729201</v>
      </c>
      <c r="I17" s="465"/>
      <c r="J17" s="466">
        <v>48.338217710272403</v>
      </c>
      <c r="K17" s="465"/>
      <c r="L17" s="467">
        <v>43.8320963415607</v>
      </c>
      <c r="M17" s="465"/>
      <c r="N17" s="466">
        <v>43.044991478116501</v>
      </c>
      <c r="O17" s="465"/>
      <c r="P17" s="467">
        <v>42.847161848930902</v>
      </c>
      <c r="Q17" s="465"/>
      <c r="R17" s="466">
        <v>41.904337326687497</v>
      </c>
      <c r="S17" s="465"/>
      <c r="T17" s="467">
        <v>45.548090027816897</v>
      </c>
      <c r="U17" s="465"/>
      <c r="V17" s="466">
        <v>46.1854955551144</v>
      </c>
      <c r="W17" s="465"/>
      <c r="X17" s="467">
        <v>46.860117137093198</v>
      </c>
      <c r="Y17" s="469"/>
    </row>
    <row r="18" spans="2:25" x14ac:dyDescent="0.3">
      <c r="B18" s="452" t="s">
        <v>2</v>
      </c>
      <c r="C18" s="716"/>
      <c r="D18" s="464">
        <v>42.419408227977797</v>
      </c>
      <c r="E18" s="465">
        <f>AVERAGE(D18:D19)</f>
        <v>42.3440374761039</v>
      </c>
      <c r="F18" s="466">
        <v>47.313866964018501</v>
      </c>
      <c r="G18" s="465">
        <f>AVERAGE(F18:F19)</f>
        <v>47.251913215899549</v>
      </c>
      <c r="H18" s="467">
        <v>44.218118640411298</v>
      </c>
      <c r="I18" s="465">
        <f>AVERAGE(H18:H19)</f>
        <v>44.001889197044648</v>
      </c>
      <c r="J18" s="466">
        <v>46.321049691615599</v>
      </c>
      <c r="K18" s="465">
        <f>AVERAGE(J18:J19)</f>
        <v>45.728161024978945</v>
      </c>
      <c r="L18" s="467">
        <v>43.378900765819402</v>
      </c>
      <c r="M18" s="465">
        <f>AVERAGE(L18:L19)</f>
        <v>43.4513414939765</v>
      </c>
      <c r="N18" s="466">
        <v>41.423157888311003</v>
      </c>
      <c r="O18" s="465">
        <f>AVERAGE(N18:N19)</f>
        <v>41.459550440117397</v>
      </c>
      <c r="P18" s="470">
        <v>40.561132778839998</v>
      </c>
      <c r="Q18" s="465">
        <f>AVERAGE(P18:P19)</f>
        <v>40.76572275628655</v>
      </c>
      <c r="R18" s="471">
        <v>42.618023681975799</v>
      </c>
      <c r="S18" s="465">
        <f>AVERAGE(R18:R19)</f>
        <v>42.635529598750153</v>
      </c>
      <c r="T18" s="470">
        <v>46.841895414571802</v>
      </c>
      <c r="U18" s="465">
        <f>AVERAGE(T18:T19)</f>
        <v>46.285471300408751</v>
      </c>
      <c r="V18" s="471">
        <v>45.515147942628303</v>
      </c>
      <c r="W18" s="465">
        <f>AVERAGE(V18:V19)</f>
        <v>45.204320132693653</v>
      </c>
      <c r="X18" s="467">
        <v>46.398203941791699</v>
      </c>
      <c r="Y18" s="469">
        <f>AVERAGE(X18:X19)</f>
        <v>46.818560498723855</v>
      </c>
    </row>
    <row r="19" spans="2:25" ht="15" thickBot="1" x14ac:dyDescent="0.35">
      <c r="B19" s="77"/>
      <c r="C19" s="717"/>
      <c r="D19" s="464">
        <v>42.268666724230002</v>
      </c>
      <c r="E19" s="465"/>
      <c r="F19" s="466">
        <v>47.189959467780596</v>
      </c>
      <c r="G19" s="465"/>
      <c r="H19" s="467">
        <v>43.785659753677997</v>
      </c>
      <c r="I19" s="465"/>
      <c r="J19" s="466">
        <v>45.135272358342299</v>
      </c>
      <c r="K19" s="465"/>
      <c r="L19" s="467">
        <v>43.523782222133597</v>
      </c>
      <c r="M19" s="465"/>
      <c r="N19" s="466">
        <v>41.495942991923798</v>
      </c>
      <c r="O19" s="465"/>
      <c r="P19" s="467">
        <v>40.970312733733103</v>
      </c>
      <c r="Q19" s="465"/>
      <c r="R19" s="466">
        <v>42.6530355155245</v>
      </c>
      <c r="S19" s="465"/>
      <c r="T19" s="467">
        <v>45.729047186245701</v>
      </c>
      <c r="U19" s="465"/>
      <c r="V19" s="466">
        <v>44.893492322759002</v>
      </c>
      <c r="W19" s="465"/>
      <c r="X19" s="467">
        <v>47.238917055656003</v>
      </c>
      <c r="Y19" s="469"/>
    </row>
    <row r="20" spans="2:25" x14ac:dyDescent="0.3">
      <c r="B20" s="718" t="s">
        <v>55</v>
      </c>
      <c r="C20" s="719"/>
      <c r="D20" s="472"/>
      <c r="E20" s="473">
        <f>AVERAGE(E16:E19)</f>
        <v>41.441564494807295</v>
      </c>
      <c r="F20" s="474"/>
      <c r="G20" s="473">
        <f>AVERAGE(G16:G19)</f>
        <v>46.915085989001028</v>
      </c>
      <c r="H20" s="475"/>
      <c r="I20" s="473">
        <f>AVERAGE(I16:I19)</f>
        <v>43.60952919260022</v>
      </c>
      <c r="J20" s="474"/>
      <c r="K20" s="473">
        <f>AVERAGE(K16:K19)</f>
        <v>47.139874981669074</v>
      </c>
      <c r="L20" s="475"/>
      <c r="M20" s="473">
        <f>AVERAGE(M16:M19)</f>
        <v>43.53136260492915</v>
      </c>
      <c r="N20" s="474"/>
      <c r="O20" s="473">
        <f>AVERAGE(O16:O19)</f>
        <v>42.44069621496007</v>
      </c>
      <c r="P20" s="475"/>
      <c r="Q20" s="473">
        <f>AVERAGE(Q16:Q19)</f>
        <v>42.127121084576324</v>
      </c>
      <c r="R20" s="474"/>
      <c r="S20" s="473">
        <f>AVERAGE(S16:S19)</f>
        <v>42.313059125533776</v>
      </c>
      <c r="T20" s="475"/>
      <c r="U20" s="473">
        <f>AVERAGE(U16:U19)</f>
        <v>45.723435887541797</v>
      </c>
      <c r="V20" s="474"/>
      <c r="W20" s="473">
        <f>AVERAGE(W16:W19)</f>
        <v>45.437220230766698</v>
      </c>
      <c r="X20" s="475"/>
      <c r="Y20" s="476">
        <f>AVERAGE(Y16:Y19)</f>
        <v>46.790278218915326</v>
      </c>
    </row>
    <row r="21" spans="2:25" x14ac:dyDescent="0.3">
      <c r="B21" s="720" t="s">
        <v>56</v>
      </c>
      <c r="C21" s="721"/>
      <c r="D21" s="459"/>
      <c r="E21" s="480">
        <f>STDEV(E16:E19)</f>
        <v>1.2762895298249333</v>
      </c>
      <c r="F21" s="481"/>
      <c r="G21" s="480">
        <f>STDEV(G16:G19)</f>
        <v>0.47634563245641298</v>
      </c>
      <c r="H21" s="482"/>
      <c r="I21" s="480">
        <f>STDEV(I16:I19)</f>
        <v>0.55488083961807155</v>
      </c>
      <c r="J21" s="481"/>
      <c r="K21" s="480">
        <f>STDEV(K16:K19)</f>
        <v>1.9964650237425641</v>
      </c>
      <c r="L21" s="482"/>
      <c r="M21" s="480">
        <f>STDEV(M16:M19)</f>
        <v>0.11316694038539996</v>
      </c>
      <c r="N21" s="481"/>
      <c r="O21" s="480">
        <f>STDEV(O16:O19)</f>
        <v>1.3875496614475726</v>
      </c>
      <c r="P21" s="482"/>
      <c r="Q21" s="480">
        <f>STDEV(Q16:Q19)</f>
        <v>1.925307979659457</v>
      </c>
      <c r="R21" s="481"/>
      <c r="S21" s="480">
        <f>STDEV(S16:S19)</f>
        <v>0.45604211668747058</v>
      </c>
      <c r="T21" s="482"/>
      <c r="U21" s="480">
        <f>STDEV(U16:U19)</f>
        <v>0.79483810341040417</v>
      </c>
      <c r="V21" s="481"/>
      <c r="W21" s="480">
        <f>STDEV(W16:W19)</f>
        <v>0.32937047737293002</v>
      </c>
      <c r="X21" s="482"/>
      <c r="Y21" s="483">
        <f>STDEV(Y16:Y19)</f>
        <v>3.9997183680052673E-2</v>
      </c>
    </row>
    <row r="22" spans="2:25" ht="15" thickBot="1" x14ac:dyDescent="0.35">
      <c r="B22" s="732" t="s">
        <v>57</v>
      </c>
      <c r="C22" s="733"/>
      <c r="D22" s="460"/>
      <c r="E22" s="484">
        <f>(E21/E20)*100</f>
        <v>3.0797329815693968</v>
      </c>
      <c r="F22" s="485"/>
      <c r="G22" s="484">
        <f>(G21/G20)*100</f>
        <v>1.0153357335166975</v>
      </c>
      <c r="H22" s="486"/>
      <c r="I22" s="484">
        <f>(I21/I20)*100</f>
        <v>1.2723843845400313</v>
      </c>
      <c r="J22" s="485"/>
      <c r="K22" s="484">
        <f>(K21/K20)*100</f>
        <v>4.2351937176730194</v>
      </c>
      <c r="L22" s="486"/>
      <c r="M22" s="484">
        <f>(M21/M20)*100</f>
        <v>0.2599664554782069</v>
      </c>
      <c r="N22" s="485"/>
      <c r="O22" s="484">
        <f>(O21/O20)*100</f>
        <v>3.2693847773365938</v>
      </c>
      <c r="P22" s="486"/>
      <c r="Q22" s="484">
        <f>(Q21/Q20)*100</f>
        <v>4.5702339255372353</v>
      </c>
      <c r="R22" s="485"/>
      <c r="S22" s="484">
        <f>(S21/S20)*100</f>
        <v>1.0777810116127302</v>
      </c>
      <c r="T22" s="486"/>
      <c r="U22" s="484">
        <f>(U21/U20)*100</f>
        <v>1.7383604009229163</v>
      </c>
      <c r="V22" s="485"/>
      <c r="W22" s="484">
        <f>(W21/W20)*100</f>
        <v>0.72489134612575812</v>
      </c>
      <c r="X22" s="486"/>
      <c r="Y22" s="487">
        <f>(Y21/Y20)*100</f>
        <v>8.5481824863104808E-2</v>
      </c>
    </row>
    <row r="23" spans="2:25" ht="15" thickBot="1" x14ac:dyDescent="0.35">
      <c r="B23" s="7"/>
      <c r="C23" s="7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 spans="2:25" ht="15" customHeight="1" x14ac:dyDescent="0.3">
      <c r="B24" s="722" t="str">
        <f>Summary!L13</f>
        <v>QC 3</v>
      </c>
      <c r="C24" s="708" t="s">
        <v>54</v>
      </c>
      <c r="D24" s="704" t="str">
        <f>D$4</f>
        <v>Run 1</v>
      </c>
      <c r="E24" s="705"/>
      <c r="F24" s="706" t="str">
        <f t="shared" ref="F24:X24" si="12">F$4</f>
        <v>Run 2</v>
      </c>
      <c r="G24" s="707"/>
      <c r="H24" s="706" t="str">
        <f t="shared" si="12"/>
        <v>Run 3</v>
      </c>
      <c r="I24" s="705"/>
      <c r="J24" s="706" t="str">
        <f t="shared" si="12"/>
        <v>Run 4</v>
      </c>
      <c r="K24" s="707"/>
      <c r="L24" s="706" t="str">
        <f t="shared" si="12"/>
        <v>Run 5</v>
      </c>
      <c r="M24" s="705"/>
      <c r="N24" s="707" t="str">
        <f t="shared" si="12"/>
        <v>Run 6</v>
      </c>
      <c r="O24" s="707"/>
      <c r="P24" s="706" t="str">
        <f t="shared" si="12"/>
        <v>Run 7</v>
      </c>
      <c r="Q24" s="705"/>
      <c r="R24" s="707" t="str">
        <f t="shared" si="12"/>
        <v>Run 8</v>
      </c>
      <c r="S24" s="707"/>
      <c r="T24" s="706" t="str">
        <f t="shared" si="12"/>
        <v>Run 9</v>
      </c>
      <c r="U24" s="705"/>
      <c r="V24" s="707" t="str">
        <f t="shared" si="12"/>
        <v>Run 10</v>
      </c>
      <c r="W24" s="707"/>
      <c r="X24" s="706" t="str">
        <f t="shared" si="12"/>
        <v>Run 11</v>
      </c>
      <c r="Y24" s="708"/>
    </row>
    <row r="25" spans="2:25" ht="15" thickBot="1" x14ac:dyDescent="0.35">
      <c r="B25" s="723"/>
      <c r="C25" s="724"/>
      <c r="D25" s="703">
        <f>D$5</f>
        <v>43672</v>
      </c>
      <c r="E25" s="702"/>
      <c r="F25" s="699">
        <f t="shared" ref="F25:X25" si="13">F$5</f>
        <v>43675</v>
      </c>
      <c r="G25" s="701"/>
      <c r="H25" s="699">
        <f t="shared" si="13"/>
        <v>43676</v>
      </c>
      <c r="I25" s="702"/>
      <c r="J25" s="699">
        <f t="shared" si="13"/>
        <v>43677</v>
      </c>
      <c r="K25" s="701"/>
      <c r="L25" s="699">
        <f t="shared" si="13"/>
        <v>43678</v>
      </c>
      <c r="M25" s="702"/>
      <c r="N25" s="701">
        <f t="shared" si="13"/>
        <v>43679</v>
      </c>
      <c r="O25" s="701"/>
      <c r="P25" s="699">
        <f t="shared" si="13"/>
        <v>43682</v>
      </c>
      <c r="Q25" s="702"/>
      <c r="R25" s="701">
        <f t="shared" si="13"/>
        <v>43683</v>
      </c>
      <c r="S25" s="701"/>
      <c r="T25" s="699">
        <f t="shared" si="13"/>
        <v>43684</v>
      </c>
      <c r="U25" s="702"/>
      <c r="V25" s="701">
        <f t="shared" si="13"/>
        <v>43685</v>
      </c>
      <c r="W25" s="701"/>
      <c r="X25" s="699">
        <f t="shared" si="13"/>
        <v>43686</v>
      </c>
      <c r="Y25" s="700"/>
    </row>
    <row r="26" spans="2:25" x14ac:dyDescent="0.3">
      <c r="B26" s="77" t="s">
        <v>1</v>
      </c>
      <c r="C26" s="715">
        <f>Summary!E9</f>
        <v>140</v>
      </c>
      <c r="D26" s="466">
        <v>127.426818782247</v>
      </c>
      <c r="E26" s="465">
        <f>AVERAGE(D26:D27)</f>
        <v>127.85532736316799</v>
      </c>
      <c r="F26" s="466">
        <v>139.946022099705</v>
      </c>
      <c r="G26" s="465">
        <f>AVERAGE(F26:F27)</f>
        <v>138.1696905408065</v>
      </c>
      <c r="H26" s="466">
        <v>139.22249231831799</v>
      </c>
      <c r="I26" s="465">
        <f>AVERAGE(H26:H27)</f>
        <v>140.30386305644851</v>
      </c>
      <c r="J26" s="466">
        <v>134.264950938141</v>
      </c>
      <c r="K26" s="465">
        <f>AVERAGE(J26:J27)</f>
        <v>134.0726479992245</v>
      </c>
      <c r="L26" s="466">
        <v>133.913927003043</v>
      </c>
      <c r="M26" s="465">
        <f>AVERAGE(L26:L27)</f>
        <v>134.57458383314702</v>
      </c>
      <c r="N26" s="466">
        <v>116.962265383271</v>
      </c>
      <c r="O26" s="465">
        <f>AVERAGE(N26:N27)</f>
        <v>117.6422233811885</v>
      </c>
      <c r="P26" s="471">
        <v>133.80555749007701</v>
      </c>
      <c r="Q26" s="465">
        <f>AVERAGE(P26:P27)</f>
        <v>133.14811229150951</v>
      </c>
      <c r="R26" s="471">
        <v>136.819423480658</v>
      </c>
      <c r="S26" s="465">
        <f>AVERAGE(R26:R27)</f>
        <v>136.48242690541201</v>
      </c>
      <c r="T26" s="471">
        <v>127.223927275946</v>
      </c>
      <c r="U26" s="465">
        <f>AVERAGE(T26:T27)</f>
        <v>127.81358091425</v>
      </c>
      <c r="V26" s="471">
        <v>127.778778715283</v>
      </c>
      <c r="W26" s="465">
        <f>AVERAGE(V26:V27)</f>
        <v>127.661407116875</v>
      </c>
      <c r="X26" s="467">
        <v>133.46529008155801</v>
      </c>
      <c r="Y26" s="468">
        <f>AVERAGE(X26:X27)</f>
        <v>133.83735391573452</v>
      </c>
    </row>
    <row r="27" spans="2:25" x14ac:dyDescent="0.3">
      <c r="B27" s="452"/>
      <c r="C27" s="716"/>
      <c r="D27" s="466">
        <v>128.28383594408899</v>
      </c>
      <c r="E27" s="465"/>
      <c r="F27" s="466">
        <v>136.39335898190799</v>
      </c>
      <c r="G27" s="465"/>
      <c r="H27" s="466">
        <v>141.38523379457899</v>
      </c>
      <c r="I27" s="465"/>
      <c r="J27" s="466">
        <v>133.880345060308</v>
      </c>
      <c r="K27" s="465"/>
      <c r="L27" s="466">
        <v>135.23524066325101</v>
      </c>
      <c r="M27" s="465"/>
      <c r="N27" s="466">
        <v>118.322181379106</v>
      </c>
      <c r="O27" s="465"/>
      <c r="P27" s="471">
        <v>132.490667092942</v>
      </c>
      <c r="Q27" s="465"/>
      <c r="R27" s="471">
        <v>136.14543033016599</v>
      </c>
      <c r="S27" s="465"/>
      <c r="T27" s="471">
        <v>128.40323455255401</v>
      </c>
      <c r="U27" s="465"/>
      <c r="V27" s="471">
        <v>127.544035518467</v>
      </c>
      <c r="W27" s="465"/>
      <c r="X27" s="467">
        <v>134.20941774991101</v>
      </c>
      <c r="Y27" s="469"/>
    </row>
    <row r="28" spans="2:25" x14ac:dyDescent="0.3">
      <c r="B28" s="77" t="s">
        <v>2</v>
      </c>
      <c r="C28" s="716"/>
      <c r="D28" s="466">
        <v>128.12177999553001</v>
      </c>
      <c r="E28" s="465">
        <f>AVERAGE(D28:D29)</f>
        <v>127.0217170984775</v>
      </c>
      <c r="F28" s="466">
        <v>140.99789498924801</v>
      </c>
      <c r="G28" s="465">
        <f>AVERAGE(F28:F29)</f>
        <v>140.98627153072749</v>
      </c>
      <c r="H28" s="466">
        <v>142.53403012173399</v>
      </c>
      <c r="I28" s="465">
        <f>AVERAGE(H28:H29)</f>
        <v>143.85059122555748</v>
      </c>
      <c r="J28" s="466">
        <v>130.21994490644499</v>
      </c>
      <c r="K28" s="465">
        <f>AVERAGE(J28:J29)</f>
        <v>131.083483448587</v>
      </c>
      <c r="L28" s="466">
        <v>131.47372408608001</v>
      </c>
      <c r="M28" s="465">
        <f>AVERAGE(L28:L29)</f>
        <v>131.55795124291552</v>
      </c>
      <c r="N28" s="466">
        <v>119.24102555620399</v>
      </c>
      <c r="O28" s="465">
        <f>AVERAGE(N28:N29)</f>
        <v>118.9380409973335</v>
      </c>
      <c r="P28" s="471">
        <v>124.061311120244</v>
      </c>
      <c r="Q28" s="465">
        <f>AVERAGE(P28:P29)</f>
        <v>126.552952187212</v>
      </c>
      <c r="R28" s="471">
        <v>136.26459834458399</v>
      </c>
      <c r="S28" s="465">
        <f>AVERAGE(R28:R29)</f>
        <v>134.43909663970248</v>
      </c>
      <c r="T28" s="471">
        <v>133.48055206095799</v>
      </c>
      <c r="U28" s="465">
        <f>AVERAGE(T28:T29)</f>
        <v>133.64421973337051</v>
      </c>
      <c r="V28" s="471">
        <v>128.65316403389099</v>
      </c>
      <c r="W28" s="465">
        <f>AVERAGE(V28:V29)</f>
        <v>127.20265472340449</v>
      </c>
      <c r="X28" s="467">
        <v>135.31560892706301</v>
      </c>
      <c r="Y28" s="469">
        <f>AVERAGE(X28:X29)</f>
        <v>134.80965240186453</v>
      </c>
    </row>
    <row r="29" spans="2:25" ht="15" thickBot="1" x14ac:dyDescent="0.35">
      <c r="B29" s="77"/>
      <c r="C29" s="717"/>
      <c r="D29" s="466">
        <v>125.921654201425</v>
      </c>
      <c r="E29" s="465"/>
      <c r="F29" s="466">
        <v>140.974648072207</v>
      </c>
      <c r="G29" s="465"/>
      <c r="H29" s="466">
        <v>145.167152329381</v>
      </c>
      <c r="I29" s="465"/>
      <c r="J29" s="466">
        <v>131.94702199072901</v>
      </c>
      <c r="K29" s="465"/>
      <c r="L29" s="466">
        <v>131.642178399751</v>
      </c>
      <c r="M29" s="465"/>
      <c r="N29" s="466">
        <v>118.635056438463</v>
      </c>
      <c r="O29" s="465"/>
      <c r="P29" s="466">
        <v>129.04459325418</v>
      </c>
      <c r="Q29" s="465"/>
      <c r="R29" s="466">
        <v>132.61359493482101</v>
      </c>
      <c r="S29" s="465"/>
      <c r="T29" s="466">
        <v>133.80788740578299</v>
      </c>
      <c r="U29" s="465"/>
      <c r="V29" s="466">
        <v>125.752145412918</v>
      </c>
      <c r="W29" s="465"/>
      <c r="X29" s="467">
        <v>134.30369587666601</v>
      </c>
      <c r="Y29" s="469"/>
    </row>
    <row r="30" spans="2:25" x14ac:dyDescent="0.3">
      <c r="B30" s="718" t="s">
        <v>55</v>
      </c>
      <c r="C30" s="719"/>
      <c r="D30" s="474"/>
      <c r="E30" s="473">
        <f>AVERAGE(E26:E29)</f>
        <v>127.43852223082274</v>
      </c>
      <c r="F30" s="474"/>
      <c r="G30" s="473">
        <f>AVERAGE(G26:G29)</f>
        <v>139.57798103576698</v>
      </c>
      <c r="H30" s="474"/>
      <c r="I30" s="473">
        <f>AVERAGE(I26:I29)</f>
        <v>142.07722714100299</v>
      </c>
      <c r="J30" s="474"/>
      <c r="K30" s="473">
        <f>AVERAGE(K26:K29)</f>
        <v>132.57806572390575</v>
      </c>
      <c r="L30" s="474"/>
      <c r="M30" s="473">
        <f>AVERAGE(M26:M29)</f>
        <v>133.06626753803127</v>
      </c>
      <c r="N30" s="474"/>
      <c r="O30" s="473">
        <f>AVERAGE(O26:O29)</f>
        <v>118.290132189261</v>
      </c>
      <c r="P30" s="474"/>
      <c r="Q30" s="473">
        <f>AVERAGE(Q26:Q29)</f>
        <v>129.85053223936075</v>
      </c>
      <c r="R30" s="474"/>
      <c r="S30" s="473">
        <f>AVERAGE(S26:S29)</f>
        <v>135.46076177255725</v>
      </c>
      <c r="T30" s="474"/>
      <c r="U30" s="473">
        <f>AVERAGE(U26:U29)</f>
        <v>130.72890032381025</v>
      </c>
      <c r="V30" s="474"/>
      <c r="W30" s="473">
        <f>AVERAGE(W26:W29)</f>
        <v>127.43203092013974</v>
      </c>
      <c r="X30" s="475"/>
      <c r="Y30" s="476">
        <f>AVERAGE(Y26:Y29)</f>
        <v>134.32350315879953</v>
      </c>
    </row>
    <row r="31" spans="2:25" x14ac:dyDescent="0.3">
      <c r="B31" s="720" t="s">
        <v>56</v>
      </c>
      <c r="C31" s="721"/>
      <c r="D31" s="69"/>
      <c r="E31" s="480">
        <f>STDEV(E26:E29)</f>
        <v>0.58945147102935969</v>
      </c>
      <c r="F31" s="481"/>
      <c r="G31" s="480">
        <f>STDEV(G26:G29)</f>
        <v>1.9916235177342532</v>
      </c>
      <c r="H31" s="481"/>
      <c r="I31" s="480">
        <f>STDEV(I26:I29)</f>
        <v>2.5079155394023034</v>
      </c>
      <c r="J31" s="481"/>
      <c r="K31" s="480">
        <f>STDEV(K26:K29)</f>
        <v>2.1136585238382133</v>
      </c>
      <c r="L31" s="481"/>
      <c r="M31" s="480">
        <f>STDEV(M26:M29)</f>
        <v>2.1330813609010302</v>
      </c>
      <c r="N31" s="481"/>
      <c r="O31" s="480">
        <f>STDEV(O26:O29)</f>
        <v>0.91628142355711706</v>
      </c>
      <c r="P31" s="481"/>
      <c r="Q31" s="480">
        <f>STDEV(Q26:Q29)</f>
        <v>4.6634824327597446</v>
      </c>
      <c r="R31" s="481"/>
      <c r="S31" s="480">
        <f>STDEV(S26:S29)</f>
        <v>1.4448526870869174</v>
      </c>
      <c r="T31" s="481"/>
      <c r="U31" s="480">
        <f>STDEV(U26:U29)</f>
        <v>4.1228842476496359</v>
      </c>
      <c r="V31" s="481"/>
      <c r="W31" s="480">
        <f>STDEV(W26:W29)</f>
        <v>0.32438692830855309</v>
      </c>
      <c r="X31" s="482"/>
      <c r="Y31" s="483">
        <f>STDEV(Y26:Y29)</f>
        <v>0.68751885287993775</v>
      </c>
    </row>
    <row r="32" spans="2:25" ht="15" thickBot="1" x14ac:dyDescent="0.35">
      <c r="B32" s="732" t="s">
        <v>57</v>
      </c>
      <c r="C32" s="733"/>
      <c r="D32" s="70"/>
      <c r="E32" s="484">
        <f>(E31/E30)*100</f>
        <v>0.4625379051098199</v>
      </c>
      <c r="F32" s="485"/>
      <c r="G32" s="484">
        <f>(G31/G30)*100</f>
        <v>1.4268894727914843</v>
      </c>
      <c r="H32" s="485"/>
      <c r="I32" s="484">
        <f>(I31/I30)*100</f>
        <v>1.7651777064267662</v>
      </c>
      <c r="J32" s="485"/>
      <c r="K32" s="484">
        <f>(K31/K30)*100</f>
        <v>1.5942746730367254</v>
      </c>
      <c r="L32" s="485"/>
      <c r="M32" s="484">
        <f>(M31/M30)*100</f>
        <v>1.6030218629912201</v>
      </c>
      <c r="N32" s="485"/>
      <c r="O32" s="484">
        <f>(O31/O30)*100</f>
        <v>0.7746051226750611</v>
      </c>
      <c r="P32" s="485"/>
      <c r="Q32" s="484">
        <f>(Q31/Q30)*100</f>
        <v>3.5914234253297375</v>
      </c>
      <c r="R32" s="485"/>
      <c r="S32" s="484">
        <f>(S31/S30)*100</f>
        <v>1.0666208193283817</v>
      </c>
      <c r="T32" s="485"/>
      <c r="U32" s="484">
        <f>(U31/U30)*100</f>
        <v>3.1537664873164362</v>
      </c>
      <c r="V32" s="485"/>
      <c r="W32" s="484">
        <f>(W31/W30)*100</f>
        <v>0.25455682214767716</v>
      </c>
      <c r="X32" s="486"/>
      <c r="Y32" s="487">
        <f>(Y31/Y30)*100</f>
        <v>0.51183808991873991</v>
      </c>
    </row>
    <row r="33" spans="2:20" s="12" customFormat="1" ht="5.0999999999999996" customHeight="1" x14ac:dyDescent="0.3">
      <c r="B33" s="116"/>
      <c r="C33" s="116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</row>
    <row r="35" spans="2:20" ht="15" thickBot="1" x14ac:dyDescent="0.35">
      <c r="H35" s="43"/>
      <c r="I35" s="43"/>
      <c r="J35" s="532" t="s">
        <v>11</v>
      </c>
      <c r="K35" s="532"/>
      <c r="L35" s="532"/>
      <c r="M35" s="532"/>
      <c r="N35" s="532"/>
      <c r="O35" s="532"/>
      <c r="P35" s="187"/>
    </row>
    <row r="36" spans="2:20" x14ac:dyDescent="0.3">
      <c r="B36" s="725" t="s">
        <v>54</v>
      </c>
      <c r="C36" s="705" t="s">
        <v>5</v>
      </c>
      <c r="D36" s="728" t="s">
        <v>4</v>
      </c>
      <c r="E36" s="728" t="s">
        <v>6</v>
      </c>
      <c r="F36" s="728" t="s">
        <v>79</v>
      </c>
      <c r="G36" s="730" t="s">
        <v>7</v>
      </c>
      <c r="O36" s="38"/>
    </row>
    <row r="37" spans="2:20" ht="15" thickBot="1" x14ac:dyDescent="0.35">
      <c r="B37" s="726"/>
      <c r="C37" s="727"/>
      <c r="D37" s="729"/>
      <c r="E37" s="729"/>
      <c r="F37" s="729"/>
      <c r="G37" s="731"/>
      <c r="O37" s="38"/>
    </row>
    <row r="38" spans="2:20" x14ac:dyDescent="0.3">
      <c r="B38" s="152">
        <f>C6</f>
        <v>10</v>
      </c>
      <c r="C38" s="477">
        <f>AVERAGE(E6:E9,G6:G9,I6:I9,K6:K9,M6:M9,O6:O9,Q6:Q9,S6:S9,U6:U9,W6:W9,Y6:Y9)</f>
        <v>8.7960325934494019</v>
      </c>
      <c r="D38" s="74">
        <f>STDEV(E6:E9,G6:G9,I6:I9,K6:K9,M6:M9,O6:O9,Q6:Q9,S6:S9,U6:U9,W6:W9,Y6:Y9)</f>
        <v>0.65940528294223855</v>
      </c>
      <c r="E38" s="93">
        <f>((C38-B38)/B38)*100</f>
        <v>-12.039674065505981</v>
      </c>
      <c r="F38" s="93">
        <f>(C38/B38)*100</f>
        <v>87.960325934494023</v>
      </c>
      <c r="G38" s="94">
        <f>(D38/C38)*100</f>
        <v>7.4966216409124282</v>
      </c>
      <c r="O38" s="38"/>
    </row>
    <row r="39" spans="2:20" x14ac:dyDescent="0.3">
      <c r="B39" s="153">
        <f>C16</f>
        <v>50</v>
      </c>
      <c r="C39" s="478">
        <f>AVERAGE(E16:E19,G16:G19,I16:I19,K16:K19,M16:M19,O16:O19,Q16:Q19,S16:S19,U16:U19,W16:W19,Y16:Y19)</f>
        <v>44.315384365936438</v>
      </c>
      <c r="D39" s="75">
        <f>STDEV(E16:E19,G16:G19,I16:I19,K16:K19,M16:M19,O16:O19,Q16:Q19,S16:S19,U16:U19,W16:W19,Y16:Y19)</f>
        <v>2.2287857588762554</v>
      </c>
      <c r="E39" s="92">
        <f>((C39-B39)/B39)*100</f>
        <v>-11.369231268127123</v>
      </c>
      <c r="F39" s="92">
        <f>(C39/B39)*100</f>
        <v>88.630768731872877</v>
      </c>
      <c r="G39" s="95">
        <f t="shared" ref="G39:G40" si="14">(D39/C39)*100</f>
        <v>5.0293725097179545</v>
      </c>
      <c r="O39" s="38"/>
    </row>
    <row r="40" spans="2:20" ht="15" thickBot="1" x14ac:dyDescent="0.35">
      <c r="B40" s="154">
        <f>C26</f>
        <v>140</v>
      </c>
      <c r="C40" s="479">
        <f>AVERAGE(E26:E29,G26:G29,I26:I29,K26:K29,M26:M29,O26:O29,Q26:Q29,S26:S29,U26:U29,W26:W29,Y26:Y29)</f>
        <v>131.89308402485986</v>
      </c>
      <c r="D40" s="76">
        <f>STDEV(E26:E29,G26:G29,I26:I29,K26:K29,M26:M29,O26:O29,Q26:Q29,S26:S29,U26:U29,W26:W29,Y26:Y29)</f>
        <v>6.5064310635388267</v>
      </c>
      <c r="E40" s="96">
        <f>((C40-B40)/B40)*100</f>
        <v>-5.790654267957243</v>
      </c>
      <c r="F40" s="96">
        <f t="shared" ref="F40" si="15">(C40/B40)*100</f>
        <v>94.209345732042763</v>
      </c>
      <c r="G40" s="97">
        <f t="shared" si="14"/>
        <v>4.933110110847406</v>
      </c>
      <c r="O40" s="38"/>
    </row>
    <row r="44" spans="2:20" ht="18" x14ac:dyDescent="0.35">
      <c r="B44" s="1" t="s">
        <v>8</v>
      </c>
      <c r="C44" s="10" t="str">
        <f>C2</f>
        <v>-  Cocaine</v>
      </c>
    </row>
    <row r="45" spans="2:20" ht="15" thickBot="1" x14ac:dyDescent="0.35"/>
    <row r="46" spans="2:20" x14ac:dyDescent="0.3">
      <c r="B46" s="737" t="s">
        <v>58</v>
      </c>
      <c r="C46" s="232" t="str">
        <f>D4</f>
        <v>Run 1</v>
      </c>
      <c r="D46" s="233">
        <f>D5</f>
        <v>43672</v>
      </c>
      <c r="E46" s="234"/>
      <c r="F46" s="137" t="str">
        <f>F4</f>
        <v>Run 2</v>
      </c>
      <c r="G46" s="233">
        <f>F5</f>
        <v>43675</v>
      </c>
      <c r="H46" s="234"/>
      <c r="I46" s="137" t="str">
        <f>H4</f>
        <v>Run 3</v>
      </c>
      <c r="J46" s="233">
        <f>H5</f>
        <v>43676</v>
      </c>
      <c r="K46" s="235"/>
      <c r="L46" s="137" t="str">
        <f>J4</f>
        <v>Run 4</v>
      </c>
      <c r="M46" s="233">
        <f>J5</f>
        <v>43677</v>
      </c>
      <c r="N46" s="234"/>
      <c r="O46" s="137" t="str">
        <f>L4</f>
        <v>Run 5</v>
      </c>
      <c r="P46" s="233">
        <f>L5</f>
        <v>43678</v>
      </c>
      <c r="Q46" s="235"/>
      <c r="R46" s="236" t="str">
        <f>N4</f>
        <v>Run 6</v>
      </c>
      <c r="S46" s="233">
        <f>N5</f>
        <v>43679</v>
      </c>
      <c r="T46" s="235"/>
    </row>
    <row r="47" spans="2:20" ht="15" customHeight="1" x14ac:dyDescent="0.3">
      <c r="B47" s="738"/>
      <c r="C47" s="711" t="s">
        <v>10</v>
      </c>
      <c r="D47" s="712"/>
      <c r="E47" s="713" t="str">
        <f>"Ratio
"&amp;Summary!$L$4&amp;"/IS"</f>
        <v>Ratio
Coc/IS</v>
      </c>
      <c r="F47" s="712" t="s">
        <v>10</v>
      </c>
      <c r="G47" s="712"/>
      <c r="H47" s="709" t="str">
        <f>"Ratio
"&amp;Summary!$L$4&amp;"/IS"</f>
        <v>Ratio
Coc/IS</v>
      </c>
      <c r="I47" s="711" t="s">
        <v>10</v>
      </c>
      <c r="J47" s="712"/>
      <c r="K47" s="713" t="str">
        <f>"Ratio
"&amp;Summary!$L$4&amp;"/IS"</f>
        <v>Ratio
Coc/IS</v>
      </c>
      <c r="L47" s="712" t="s">
        <v>10</v>
      </c>
      <c r="M47" s="712"/>
      <c r="N47" s="709" t="str">
        <f>"Ratio
"&amp;Summary!$L$4&amp;"/IS"</f>
        <v>Ratio
Coc/IS</v>
      </c>
      <c r="O47" s="711" t="s">
        <v>10</v>
      </c>
      <c r="P47" s="712"/>
      <c r="Q47" s="713" t="str">
        <f>"Ratio
"&amp;Summary!$L$4&amp;"/IS"</f>
        <v>Ratio
Coc/IS</v>
      </c>
      <c r="R47" s="712" t="s">
        <v>10</v>
      </c>
      <c r="S47" s="712"/>
      <c r="T47" s="713" t="str">
        <f>"Ratio
"&amp;Summary!$L$4&amp;"/IS"</f>
        <v>Ratio
Coc/IS</v>
      </c>
    </row>
    <row r="48" spans="2:20" ht="15" thickBot="1" x14ac:dyDescent="0.35">
      <c r="B48" s="739"/>
      <c r="C48" s="206" t="str">
        <f>Summary!$L$4</f>
        <v>Coc</v>
      </c>
      <c r="D48" s="207" t="str">
        <f>Summary!$L$5</f>
        <v>Coc-d8</v>
      </c>
      <c r="E48" s="714"/>
      <c r="F48" s="207" t="str">
        <f>Summary!$L$4</f>
        <v>Coc</v>
      </c>
      <c r="G48" s="207" t="str">
        <f>Summary!$L$5</f>
        <v>Coc-d8</v>
      </c>
      <c r="H48" s="710"/>
      <c r="I48" s="206" t="str">
        <f>Summary!$L$4</f>
        <v>Coc</v>
      </c>
      <c r="J48" s="207" t="str">
        <f>Summary!$L$5</f>
        <v>Coc-d8</v>
      </c>
      <c r="K48" s="714"/>
      <c r="L48" s="207" t="str">
        <f>Summary!$L$4</f>
        <v>Coc</v>
      </c>
      <c r="M48" s="207" t="str">
        <f>Summary!$L$5</f>
        <v>Coc-d8</v>
      </c>
      <c r="N48" s="710"/>
      <c r="O48" s="206" t="str">
        <f>Summary!$L$4</f>
        <v>Coc</v>
      </c>
      <c r="P48" s="207" t="str">
        <f>Summary!$L$5</f>
        <v>Coc-d8</v>
      </c>
      <c r="Q48" s="714"/>
      <c r="R48" s="207" t="str">
        <f>Summary!$L$4</f>
        <v>Coc</v>
      </c>
      <c r="S48" s="207" t="str">
        <f>Summary!$L$5</f>
        <v>Coc-d8</v>
      </c>
      <c r="T48" s="714"/>
    </row>
    <row r="49" spans="2:20" x14ac:dyDescent="0.3">
      <c r="B49" s="463">
        <f>Summary!C8</f>
        <v>2.5</v>
      </c>
      <c r="C49" s="501">
        <v>10670.1740607134</v>
      </c>
      <c r="D49" s="502">
        <v>66628.623554611593</v>
      </c>
      <c r="E49" s="226">
        <f>C49/D49</f>
        <v>0.16014399655078693</v>
      </c>
      <c r="F49" s="502">
        <v>15720.1354234847</v>
      </c>
      <c r="G49" s="502">
        <v>96276.976948935393</v>
      </c>
      <c r="H49" s="229">
        <f>F49/G49</f>
        <v>0.16328031811616339</v>
      </c>
      <c r="I49" s="501">
        <v>17016.4709094996</v>
      </c>
      <c r="J49" s="502">
        <v>107710.38801115</v>
      </c>
      <c r="K49" s="226">
        <f>I49/J49</f>
        <v>0.15798356336566238</v>
      </c>
      <c r="L49" s="502">
        <v>14834.9630218168</v>
      </c>
      <c r="M49" s="502">
        <v>93548.709092867502</v>
      </c>
      <c r="N49" s="229">
        <f>L49/M49</f>
        <v>0.1585800933617359</v>
      </c>
      <c r="O49" s="501">
        <v>15420.7068641348</v>
      </c>
      <c r="P49" s="502">
        <v>101531.20761905301</v>
      </c>
      <c r="Q49" s="226">
        <f>O49/P49</f>
        <v>0.1518814483325519</v>
      </c>
      <c r="R49" s="502">
        <v>12037.39759742</v>
      </c>
      <c r="S49" s="502">
        <v>71323.702576826297</v>
      </c>
      <c r="T49" s="226">
        <f>R49/S49</f>
        <v>0.16877135037197377</v>
      </c>
    </row>
    <row r="50" spans="2:20" x14ac:dyDescent="0.3">
      <c r="B50" s="239">
        <f>Summary!D8</f>
        <v>5</v>
      </c>
      <c r="C50" s="503">
        <v>26647.799652246202</v>
      </c>
      <c r="D50" s="504">
        <v>83627.984447011404</v>
      </c>
      <c r="E50" s="227">
        <f t="shared" ref="E50:E56" si="16">C50/D50</f>
        <v>0.31864691978952159</v>
      </c>
      <c r="F50" s="504">
        <v>30050.515734547502</v>
      </c>
      <c r="G50" s="505">
        <v>94933.048496627904</v>
      </c>
      <c r="H50" s="230">
        <f t="shared" ref="H50:H56" si="17">F50/G50</f>
        <v>0.3165443037006751</v>
      </c>
      <c r="I50" s="503">
        <v>31402.0322324558</v>
      </c>
      <c r="J50" s="505">
        <v>100416.882568569</v>
      </c>
      <c r="K50" s="227">
        <f t="shared" ref="K50:K56" si="18">I50/J50</f>
        <v>0.31271666107552315</v>
      </c>
      <c r="L50" s="504">
        <v>28261.0081997212</v>
      </c>
      <c r="M50" s="505">
        <v>93486.143813303497</v>
      </c>
      <c r="N50" s="230">
        <f t="shared" ref="N50:N56" si="19">L50/M50</f>
        <v>0.3023015716228476</v>
      </c>
      <c r="O50" s="503">
        <v>29855.113006879099</v>
      </c>
      <c r="P50" s="505">
        <v>99270.712662331003</v>
      </c>
      <c r="Q50" s="227">
        <f t="shared" ref="Q50:Q56" si="20">O50/P50</f>
        <v>0.30074442105025645</v>
      </c>
      <c r="R50" s="504">
        <v>21754.274157079199</v>
      </c>
      <c r="S50" s="505">
        <v>70866.381471621295</v>
      </c>
      <c r="T50" s="227">
        <f t="shared" ref="T50:T56" si="21">R50/S50</f>
        <v>0.30697594127605876</v>
      </c>
    </row>
    <row r="51" spans="2:20" x14ac:dyDescent="0.3">
      <c r="B51" s="239">
        <f>Summary!E8</f>
        <v>25</v>
      </c>
      <c r="C51" s="503">
        <v>133897.73365801101</v>
      </c>
      <c r="D51" s="504">
        <v>83848.081950656298</v>
      </c>
      <c r="E51" s="227">
        <f t="shared" si="16"/>
        <v>1.5969087251967005</v>
      </c>
      <c r="F51" s="504">
        <v>161878.87424524801</v>
      </c>
      <c r="G51" s="505">
        <v>98989.717666841796</v>
      </c>
      <c r="H51" s="230">
        <f t="shared" si="17"/>
        <v>1.6353099903776365</v>
      </c>
      <c r="I51" s="503">
        <v>157347.17481545199</v>
      </c>
      <c r="J51" s="505">
        <v>102425.67278858701</v>
      </c>
      <c r="K51" s="227">
        <f t="shared" si="18"/>
        <v>1.5362083599902379</v>
      </c>
      <c r="L51" s="504">
        <v>153614.959178316</v>
      </c>
      <c r="M51" s="505">
        <v>99217.446225604304</v>
      </c>
      <c r="N51" s="230">
        <f t="shared" si="19"/>
        <v>1.5482656026947177</v>
      </c>
      <c r="O51" s="503">
        <v>151882.01896870101</v>
      </c>
      <c r="P51" s="505">
        <v>99797.0896969202</v>
      </c>
      <c r="Q51" s="227">
        <f t="shared" si="20"/>
        <v>1.5219082984279468</v>
      </c>
      <c r="R51" s="504">
        <v>115713.051834599</v>
      </c>
      <c r="S51" s="505">
        <v>72225.202486004506</v>
      </c>
      <c r="T51" s="227">
        <f t="shared" si="21"/>
        <v>1.6021146061448757</v>
      </c>
    </row>
    <row r="52" spans="2:20" x14ac:dyDescent="0.3">
      <c r="B52" s="239">
        <f>Summary!F8</f>
        <v>50</v>
      </c>
      <c r="C52" s="503">
        <v>275745.51390944899</v>
      </c>
      <c r="D52" s="505">
        <v>83735.140153560496</v>
      </c>
      <c r="E52" s="227">
        <f t="shared" si="16"/>
        <v>3.2930680405354766</v>
      </c>
      <c r="F52" s="504">
        <v>340683.38993830897</v>
      </c>
      <c r="G52" s="505">
        <v>103399.354444827</v>
      </c>
      <c r="H52" s="230">
        <f t="shared" si="17"/>
        <v>3.2948309181184947</v>
      </c>
      <c r="I52" s="503">
        <v>338050.29048688099</v>
      </c>
      <c r="J52" s="505">
        <v>103873.53795879</v>
      </c>
      <c r="K52" s="227">
        <f t="shared" si="18"/>
        <v>3.2544409012139019</v>
      </c>
      <c r="L52" s="504">
        <v>323493.78266271198</v>
      </c>
      <c r="M52" s="505">
        <v>99644.190690897507</v>
      </c>
      <c r="N52" s="230">
        <f t="shared" si="19"/>
        <v>3.2464891371962654</v>
      </c>
      <c r="O52" s="503">
        <v>297862.97057519102</v>
      </c>
      <c r="P52" s="505">
        <v>97997.415577811407</v>
      </c>
      <c r="Q52" s="227">
        <f t="shared" si="20"/>
        <v>3.0394982236922705</v>
      </c>
      <c r="R52" s="504">
        <v>263157.00206216099</v>
      </c>
      <c r="S52" s="505">
        <v>76571.303083224906</v>
      </c>
      <c r="T52" s="227">
        <f t="shared" si="21"/>
        <v>3.4367575248933293</v>
      </c>
    </row>
    <row r="53" spans="2:20" x14ac:dyDescent="0.3">
      <c r="B53" s="239">
        <f>Summary!G8</f>
        <v>75</v>
      </c>
      <c r="C53" s="503">
        <v>443022.34161244502</v>
      </c>
      <c r="D53" s="505">
        <v>87986.4214960229</v>
      </c>
      <c r="E53" s="227">
        <f t="shared" si="16"/>
        <v>5.0351217162806217</v>
      </c>
      <c r="F53" s="504">
        <v>532697.96943362604</v>
      </c>
      <c r="G53" s="505">
        <v>103237.82537219601</v>
      </c>
      <c r="H53" s="230">
        <f t="shared" si="17"/>
        <v>5.1599107934822133</v>
      </c>
      <c r="I53" s="503">
        <v>547935.86409648298</v>
      </c>
      <c r="J53" s="505">
        <v>108500.75183978101</v>
      </c>
      <c r="K53" s="227">
        <f t="shared" si="18"/>
        <v>5.0500651360056876</v>
      </c>
      <c r="L53" s="504">
        <v>515617.56097693898</v>
      </c>
      <c r="M53" s="505">
        <v>101208.77201600101</v>
      </c>
      <c r="N53" s="230">
        <f t="shared" si="19"/>
        <v>5.0945935881468891</v>
      </c>
      <c r="O53" s="503">
        <v>490152.23778416798</v>
      </c>
      <c r="P53" s="505">
        <v>96738.365649688203</v>
      </c>
      <c r="Q53" s="227">
        <f t="shared" si="20"/>
        <v>5.0667822894498924</v>
      </c>
      <c r="R53" s="504">
        <v>442281.660305475</v>
      </c>
      <c r="S53" s="505">
        <v>75396.650030993798</v>
      </c>
      <c r="T53" s="227">
        <f t="shared" si="21"/>
        <v>5.8660651384864364</v>
      </c>
    </row>
    <row r="54" spans="2:20" x14ac:dyDescent="0.3">
      <c r="B54" s="239">
        <f>Summary!H8</f>
        <v>100</v>
      </c>
      <c r="C54" s="503">
        <v>584956.99455874995</v>
      </c>
      <c r="D54" s="505">
        <v>89117.928319498606</v>
      </c>
      <c r="E54" s="227">
        <f t="shared" si="16"/>
        <v>6.5638531504189377</v>
      </c>
      <c r="F54" s="504">
        <v>747275.00362045504</v>
      </c>
      <c r="G54" s="505">
        <v>109710.42915752401</v>
      </c>
      <c r="H54" s="230">
        <f t="shared" si="17"/>
        <v>6.8113397181912898</v>
      </c>
      <c r="I54" s="503">
        <v>739350.49312005902</v>
      </c>
      <c r="J54" s="505">
        <v>108748.687446012</v>
      </c>
      <c r="K54" s="227">
        <f t="shared" si="18"/>
        <v>6.7987072808313904</v>
      </c>
      <c r="L54" s="504">
        <v>621373.42120868596</v>
      </c>
      <c r="M54" s="505">
        <v>90681.598611955007</v>
      </c>
      <c r="N54" s="230">
        <f t="shared" si="19"/>
        <v>6.8522548203816864</v>
      </c>
      <c r="O54" s="503">
        <v>684413.45945233596</v>
      </c>
      <c r="P54" s="505">
        <v>105868.11903982201</v>
      </c>
      <c r="Q54" s="227">
        <f t="shared" si="20"/>
        <v>6.4647739627346708</v>
      </c>
      <c r="R54" s="504">
        <v>610560.60070830502</v>
      </c>
      <c r="S54" s="505">
        <v>80063.573634726199</v>
      </c>
      <c r="T54" s="227">
        <f t="shared" si="21"/>
        <v>7.625947393928028</v>
      </c>
    </row>
    <row r="55" spans="2:20" x14ac:dyDescent="0.3">
      <c r="B55" s="239">
        <f>Summary!I8</f>
        <v>150</v>
      </c>
      <c r="C55" s="503">
        <v>908045.68353886495</v>
      </c>
      <c r="D55" s="505">
        <v>89397.990673178705</v>
      </c>
      <c r="E55" s="227">
        <f t="shared" si="16"/>
        <v>10.157338847340535</v>
      </c>
      <c r="F55" s="504">
        <v>1051911.30955626</v>
      </c>
      <c r="G55" s="505">
        <v>102904.339156006</v>
      </c>
      <c r="H55" s="230">
        <f t="shared" si="17"/>
        <v>10.22222501192619</v>
      </c>
      <c r="I55" s="503">
        <v>1073841.2492716501</v>
      </c>
      <c r="J55" s="505">
        <v>107625.765943807</v>
      </c>
      <c r="K55" s="227">
        <f t="shared" si="18"/>
        <v>9.9775480328039521</v>
      </c>
      <c r="L55" s="504">
        <v>1027916.02498382</v>
      </c>
      <c r="M55" s="505">
        <v>100098.092669975</v>
      </c>
      <c r="N55" s="230">
        <f t="shared" si="19"/>
        <v>10.269087028190192</v>
      </c>
      <c r="O55" s="503">
        <v>993740.28497961699</v>
      </c>
      <c r="P55" s="505">
        <v>103902.04325925</v>
      </c>
      <c r="Q55" s="227">
        <f t="shared" si="20"/>
        <v>9.5642034921305363</v>
      </c>
      <c r="R55" s="504">
        <v>932430.65104383195</v>
      </c>
      <c r="S55" s="505">
        <v>80914.965231815702</v>
      </c>
      <c r="T55" s="227">
        <f t="shared" si="21"/>
        <v>11.523587118556913</v>
      </c>
    </row>
    <row r="56" spans="2:20" ht="15" thickBot="1" x14ac:dyDescent="0.35">
      <c r="B56" s="240">
        <f>Summary!J8</f>
        <v>200</v>
      </c>
      <c r="C56" s="506">
        <v>1203145.9314908599</v>
      </c>
      <c r="D56" s="507">
        <v>89824.205803005199</v>
      </c>
      <c r="E56" s="228">
        <f t="shared" si="16"/>
        <v>13.394451091830382</v>
      </c>
      <c r="F56" s="508">
        <v>1488589.9164582801</v>
      </c>
      <c r="G56" s="507">
        <v>106564.03611618</v>
      </c>
      <c r="H56" s="231">
        <f t="shared" si="17"/>
        <v>13.968970871517714</v>
      </c>
      <c r="I56" s="506">
        <v>1452952.98944323</v>
      </c>
      <c r="J56" s="507">
        <v>106590.62146559299</v>
      </c>
      <c r="K56" s="228">
        <f t="shared" si="18"/>
        <v>13.631152248345199</v>
      </c>
      <c r="L56" s="508">
        <v>1422661.1722156201</v>
      </c>
      <c r="M56" s="507">
        <v>104731.035846172</v>
      </c>
      <c r="N56" s="231">
        <f t="shared" si="19"/>
        <v>13.583950170274377</v>
      </c>
      <c r="O56" s="506">
        <v>1405993.28314417</v>
      </c>
      <c r="P56" s="507">
        <v>103373.31473584</v>
      </c>
      <c r="Q56" s="228">
        <f t="shared" si="20"/>
        <v>13.601124107677526</v>
      </c>
      <c r="R56" s="508">
        <v>1296211.4844049199</v>
      </c>
      <c r="S56" s="507">
        <v>83028.435076680194</v>
      </c>
      <c r="T56" s="228">
        <f t="shared" si="21"/>
        <v>15.611657418423158</v>
      </c>
    </row>
    <row r="57" spans="2:20" ht="15" thickBot="1" x14ac:dyDescent="0.35"/>
    <row r="58" spans="2:20" x14ac:dyDescent="0.3">
      <c r="B58" s="737" t="s">
        <v>58</v>
      </c>
      <c r="C58" s="137" t="str">
        <f>P4</f>
        <v>Run 7</v>
      </c>
      <c r="D58" s="233">
        <f>P5</f>
        <v>43682</v>
      </c>
      <c r="E58" s="237"/>
      <c r="F58" s="137" t="str">
        <f>R4</f>
        <v>Run 8</v>
      </c>
      <c r="G58" s="233">
        <f>R5</f>
        <v>43683</v>
      </c>
      <c r="H58" s="235"/>
      <c r="I58" s="137" t="str">
        <f>T4</f>
        <v>Run 9</v>
      </c>
      <c r="J58" s="233">
        <f>T5</f>
        <v>43684</v>
      </c>
      <c r="K58" s="235"/>
      <c r="L58" s="236" t="str">
        <f>V4</f>
        <v>Run 10</v>
      </c>
      <c r="M58" s="233">
        <f>V5</f>
        <v>43685</v>
      </c>
      <c r="N58" s="238"/>
      <c r="O58" s="137" t="str">
        <f>X4</f>
        <v>Run 11</v>
      </c>
      <c r="P58" s="233">
        <f>X5</f>
        <v>43686</v>
      </c>
      <c r="Q58" s="235"/>
      <c r="R58" s="734" t="s">
        <v>9</v>
      </c>
    </row>
    <row r="59" spans="2:20" x14ac:dyDescent="0.3">
      <c r="B59" s="738"/>
      <c r="C59" s="711" t="s">
        <v>10</v>
      </c>
      <c r="D59" s="712"/>
      <c r="E59" s="709" t="str">
        <f>"Ratio
"&amp;Summary!$L$4&amp;"/IS"</f>
        <v>Ratio
Coc/IS</v>
      </c>
      <c r="F59" s="711" t="s">
        <v>10</v>
      </c>
      <c r="G59" s="712"/>
      <c r="H59" s="713" t="str">
        <f>"Ratio
"&amp;Summary!$L$4&amp;"/IS"</f>
        <v>Ratio
Coc/IS</v>
      </c>
      <c r="I59" s="711" t="s">
        <v>10</v>
      </c>
      <c r="J59" s="712"/>
      <c r="K59" s="713" t="str">
        <f>"Ratio
"&amp;Summary!$L$4&amp;"/IS"</f>
        <v>Ratio
Coc/IS</v>
      </c>
      <c r="L59" s="712" t="s">
        <v>10</v>
      </c>
      <c r="M59" s="712"/>
      <c r="N59" s="713" t="str">
        <f>"Ratio
"&amp;Summary!$L$4&amp;"/IS"</f>
        <v>Ratio
Coc/IS</v>
      </c>
      <c r="O59" s="712" t="s">
        <v>10</v>
      </c>
      <c r="P59" s="712"/>
      <c r="Q59" s="709" t="str">
        <f>"Ratio
"&amp;Summary!$L$4&amp;"/IS"</f>
        <v>Ratio
Coc/IS</v>
      </c>
      <c r="R59" s="735"/>
    </row>
    <row r="60" spans="2:20" ht="15" thickBot="1" x14ac:dyDescent="0.35">
      <c r="B60" s="739"/>
      <c r="C60" s="206" t="str">
        <f>Summary!$L$4</f>
        <v>Coc</v>
      </c>
      <c r="D60" s="207" t="str">
        <f>Summary!$L$5</f>
        <v>Coc-d8</v>
      </c>
      <c r="E60" s="710"/>
      <c r="F60" s="242" t="str">
        <f>Summary!$L$4</f>
        <v>Coc</v>
      </c>
      <c r="G60" s="241" t="str">
        <f>Summary!$L$5</f>
        <v>Coc-d8</v>
      </c>
      <c r="H60" s="714"/>
      <c r="I60" s="242" t="str">
        <f>Summary!$L$4</f>
        <v>Coc</v>
      </c>
      <c r="J60" s="241" t="str">
        <f>Summary!$L$5</f>
        <v>Coc-d8</v>
      </c>
      <c r="K60" s="714"/>
      <c r="L60" s="241" t="str">
        <f>Summary!$L$4</f>
        <v>Coc</v>
      </c>
      <c r="M60" s="207" t="str">
        <f>Summary!$L$5</f>
        <v>Coc-d8</v>
      </c>
      <c r="N60" s="714"/>
      <c r="O60" s="207" t="str">
        <f>Summary!$L$4</f>
        <v>Coc</v>
      </c>
      <c r="P60" s="207" t="str">
        <f>Summary!$L$5</f>
        <v>Coc-d8</v>
      </c>
      <c r="Q60" s="710"/>
      <c r="R60" s="736"/>
    </row>
    <row r="61" spans="2:20" x14ac:dyDescent="0.3">
      <c r="B61" s="463">
        <f t="shared" ref="B61:B68" si="22">B49</f>
        <v>2.5</v>
      </c>
      <c r="C61" s="509">
        <v>10651.266753461799</v>
      </c>
      <c r="D61" s="510">
        <v>77203.107444735695</v>
      </c>
      <c r="E61" s="229">
        <f>C61/D61</f>
        <v>0.13796422328060171</v>
      </c>
      <c r="F61" s="509">
        <v>14181.041014368</v>
      </c>
      <c r="G61" s="510">
        <v>94122.147715315907</v>
      </c>
      <c r="H61" s="226">
        <f>F61/G61</f>
        <v>0.15066635599158143</v>
      </c>
      <c r="I61" s="509">
        <v>14804.6964462748</v>
      </c>
      <c r="J61" s="510">
        <v>92899.424023045402</v>
      </c>
      <c r="K61" s="226">
        <f>I61/J61</f>
        <v>0.1593626290148174</v>
      </c>
      <c r="L61" s="510">
        <v>21012.663687057899</v>
      </c>
      <c r="M61" s="510">
        <v>111885.635357779</v>
      </c>
      <c r="N61" s="368">
        <f>L61/M61</f>
        <v>0.18780483857347077</v>
      </c>
      <c r="O61" s="509">
        <v>21701.4364173754</v>
      </c>
      <c r="P61" s="510">
        <v>123272.817874877</v>
      </c>
      <c r="Q61" s="229">
        <f>O61/P61</f>
        <v>0.176043971343322</v>
      </c>
      <c r="R61" s="500">
        <f t="shared" ref="R61:R68" si="23">AVERAGE(E49,H49,K49,N49,Q49,T49,E61,H61,K61,N61,Q61)</f>
        <v>0.16113479893660612</v>
      </c>
    </row>
    <row r="62" spans="2:20" x14ac:dyDescent="0.3">
      <c r="B62" s="239">
        <f t="shared" si="22"/>
        <v>5</v>
      </c>
      <c r="C62" s="511">
        <v>20511.821617493901</v>
      </c>
      <c r="D62" s="505">
        <v>79874.711245109196</v>
      </c>
      <c r="E62" s="230">
        <f t="shared" ref="E62:E68" si="24">C62/D62</f>
        <v>0.25679994703893039</v>
      </c>
      <c r="F62" s="511">
        <v>26637.049565599598</v>
      </c>
      <c r="G62" s="505">
        <v>88835.185033899907</v>
      </c>
      <c r="H62" s="227">
        <f t="shared" ref="H62:H68" si="25">F62/G62</f>
        <v>0.29984796626961241</v>
      </c>
      <c r="I62" s="511">
        <v>25659.532727413101</v>
      </c>
      <c r="J62" s="505">
        <v>93680.700675263099</v>
      </c>
      <c r="K62" s="227">
        <f t="shared" ref="K62:K68" si="26">I62/J62</f>
        <v>0.27390415040083749</v>
      </c>
      <c r="L62" s="505">
        <v>40088.405124995297</v>
      </c>
      <c r="M62" s="505">
        <v>119341.522401326</v>
      </c>
      <c r="N62" s="369">
        <f t="shared" ref="N62:N68" si="27">L62/M62</f>
        <v>0.33591330425788063</v>
      </c>
      <c r="O62" s="511">
        <v>40737.378310785003</v>
      </c>
      <c r="P62" s="505">
        <v>123430.62944733701</v>
      </c>
      <c r="Q62" s="230">
        <f t="shared" ref="Q62:Q68" si="28">O62/P62</f>
        <v>0.33004270085300053</v>
      </c>
      <c r="R62" s="366">
        <f t="shared" si="23"/>
        <v>0.30494889884864951</v>
      </c>
    </row>
    <row r="63" spans="2:20" x14ac:dyDescent="0.3">
      <c r="B63" s="239">
        <f t="shared" si="22"/>
        <v>25</v>
      </c>
      <c r="C63" s="511">
        <v>115416.81169899</v>
      </c>
      <c r="D63" s="505">
        <v>77061.8585253739</v>
      </c>
      <c r="E63" s="230">
        <f t="shared" si="24"/>
        <v>1.4977164307682391</v>
      </c>
      <c r="F63" s="511">
        <v>149233.892990169</v>
      </c>
      <c r="G63" s="505">
        <v>95368.869190457699</v>
      </c>
      <c r="H63" s="227">
        <f t="shared" si="25"/>
        <v>1.564807198165886</v>
      </c>
      <c r="I63" s="511">
        <v>143991.81990440199</v>
      </c>
      <c r="J63" s="505">
        <v>98429.323609177998</v>
      </c>
      <c r="K63" s="227">
        <f t="shared" si="26"/>
        <v>1.4628955541352062</v>
      </c>
      <c r="L63" s="505">
        <v>208632.46458755099</v>
      </c>
      <c r="M63" s="505">
        <v>122059.493897857</v>
      </c>
      <c r="N63" s="369">
        <f t="shared" si="27"/>
        <v>1.7092686355240898</v>
      </c>
      <c r="O63" s="511">
        <v>202614.728729686</v>
      </c>
      <c r="P63" s="505">
        <v>122409.040575829</v>
      </c>
      <c r="Q63" s="230">
        <f t="shared" si="28"/>
        <v>1.6552268343625469</v>
      </c>
      <c r="R63" s="366">
        <f t="shared" si="23"/>
        <v>1.5755118396170986</v>
      </c>
    </row>
    <row r="64" spans="2:20" x14ac:dyDescent="0.3">
      <c r="B64" s="239">
        <f t="shared" si="22"/>
        <v>50</v>
      </c>
      <c r="C64" s="511">
        <v>275269.658531769</v>
      </c>
      <c r="D64" s="505">
        <v>85021.164972434897</v>
      </c>
      <c r="E64" s="230">
        <f t="shared" si="24"/>
        <v>3.2376603945736977</v>
      </c>
      <c r="F64" s="511">
        <v>313937.238571639</v>
      </c>
      <c r="G64" s="505">
        <v>96115.061074322599</v>
      </c>
      <c r="H64" s="227">
        <f t="shared" si="25"/>
        <v>3.2662647774720939</v>
      </c>
      <c r="I64" s="511">
        <v>299758.19956062798</v>
      </c>
      <c r="J64" s="505">
        <v>97919.706870507303</v>
      </c>
      <c r="K64" s="227">
        <f t="shared" si="26"/>
        <v>3.0612652870482902</v>
      </c>
      <c r="L64" s="505">
        <v>450162.57001947501</v>
      </c>
      <c r="M64" s="505">
        <v>127370.96163372</v>
      </c>
      <c r="N64" s="369">
        <f t="shared" si="27"/>
        <v>3.5342637304883127</v>
      </c>
      <c r="O64" s="511">
        <v>441023.96613485197</v>
      </c>
      <c r="P64" s="505">
        <v>128727.164695917</v>
      </c>
      <c r="Q64" s="230">
        <f t="shared" si="28"/>
        <v>3.4260365104494568</v>
      </c>
      <c r="R64" s="366">
        <f t="shared" si="23"/>
        <v>3.2809614041528721</v>
      </c>
    </row>
    <row r="65" spans="2:18" x14ac:dyDescent="0.3">
      <c r="B65" s="239">
        <f t="shared" si="22"/>
        <v>75</v>
      </c>
      <c r="C65" s="511">
        <v>393469.72192065202</v>
      </c>
      <c r="D65" s="505">
        <v>73724.419987626796</v>
      </c>
      <c r="E65" s="230">
        <f t="shared" si="24"/>
        <v>5.3370338076133832</v>
      </c>
      <c r="F65" s="511">
        <v>488219.11531326501</v>
      </c>
      <c r="G65" s="505">
        <v>90692.565536495196</v>
      </c>
      <c r="H65" s="227">
        <f t="shared" si="25"/>
        <v>5.3832319377579294</v>
      </c>
      <c r="I65" s="511">
        <v>515140.96532239602</v>
      </c>
      <c r="J65" s="505">
        <v>98668.869750576298</v>
      </c>
      <c r="K65" s="227">
        <f t="shared" si="26"/>
        <v>5.220906721893277</v>
      </c>
      <c r="L65" s="505">
        <v>692016.310250132</v>
      </c>
      <c r="M65" s="505">
        <v>121123.06446014599</v>
      </c>
      <c r="N65" s="369">
        <f t="shared" si="27"/>
        <v>5.7133322487710929</v>
      </c>
      <c r="O65" s="511">
        <v>678318.06810407701</v>
      </c>
      <c r="P65" s="505">
        <v>130339.13021283199</v>
      </c>
      <c r="Q65" s="230">
        <f t="shared" si="28"/>
        <v>5.2042549846423327</v>
      </c>
      <c r="R65" s="366">
        <f t="shared" si="23"/>
        <v>5.2846634875027059</v>
      </c>
    </row>
    <row r="66" spans="2:18" x14ac:dyDescent="0.3">
      <c r="B66" s="239">
        <f t="shared" si="22"/>
        <v>100</v>
      </c>
      <c r="C66" s="511">
        <v>627649.19428619801</v>
      </c>
      <c r="D66" s="505">
        <v>90745.235340161598</v>
      </c>
      <c r="E66" s="230">
        <f t="shared" si="24"/>
        <v>6.9166077087511395</v>
      </c>
      <c r="F66" s="511">
        <v>720263.96309421596</v>
      </c>
      <c r="G66" s="505">
        <v>100154.18243736</v>
      </c>
      <c r="H66" s="227">
        <f t="shared" si="25"/>
        <v>7.1915515215222765</v>
      </c>
      <c r="I66" s="511">
        <v>653616.29832202604</v>
      </c>
      <c r="J66" s="505">
        <v>97222.1727360558</v>
      </c>
      <c r="K66" s="227">
        <f t="shared" si="26"/>
        <v>6.7229139189935632</v>
      </c>
      <c r="L66" s="505">
        <v>932748.25587819004</v>
      </c>
      <c r="M66" s="505">
        <v>123033.61114521</v>
      </c>
      <c r="N66" s="369">
        <f t="shared" si="27"/>
        <v>7.5812474916087531</v>
      </c>
      <c r="O66" s="511">
        <v>912977.722959348</v>
      </c>
      <c r="P66" s="505">
        <v>131596.42957149501</v>
      </c>
      <c r="Q66" s="230">
        <f t="shared" si="28"/>
        <v>6.9377089175761899</v>
      </c>
      <c r="R66" s="366">
        <f t="shared" si="23"/>
        <v>6.95153689863072</v>
      </c>
    </row>
    <row r="67" spans="2:18" x14ac:dyDescent="0.3">
      <c r="B67" s="239">
        <f t="shared" si="22"/>
        <v>150</v>
      </c>
      <c r="C67" s="511">
        <v>845759.55879887799</v>
      </c>
      <c r="D67" s="505">
        <v>81479.393589096406</v>
      </c>
      <c r="E67" s="230">
        <f t="shared" si="24"/>
        <v>10.380042383035823</v>
      </c>
      <c r="F67" s="511">
        <v>1095974.6411866499</v>
      </c>
      <c r="G67" s="505">
        <v>107602.567183639</v>
      </c>
      <c r="H67" s="227">
        <f t="shared" si="25"/>
        <v>10.185394920143626</v>
      </c>
      <c r="I67" s="511">
        <v>981484.91107726004</v>
      </c>
      <c r="J67" s="505">
        <v>100030.403475959</v>
      </c>
      <c r="K67" s="227">
        <f t="shared" si="26"/>
        <v>9.8118659624635729</v>
      </c>
      <c r="L67" s="505">
        <v>1274009.7181168301</v>
      </c>
      <c r="M67" s="505">
        <v>122993.686406725</v>
      </c>
      <c r="N67" s="369">
        <f t="shared" si="27"/>
        <v>10.35833427989008</v>
      </c>
      <c r="O67" s="511">
        <v>1372986.5699801</v>
      </c>
      <c r="P67" s="505">
        <v>132717.131703772</v>
      </c>
      <c r="Q67" s="230">
        <f t="shared" si="28"/>
        <v>10.345209788323642</v>
      </c>
      <c r="R67" s="366">
        <f t="shared" si="23"/>
        <v>10.254076078618642</v>
      </c>
    </row>
    <row r="68" spans="2:18" ht="15" thickBot="1" x14ac:dyDescent="0.35">
      <c r="B68" s="240">
        <f t="shared" si="22"/>
        <v>200</v>
      </c>
      <c r="C68" s="512">
        <v>1134534.3841146899</v>
      </c>
      <c r="D68" s="507">
        <v>79492.162435017395</v>
      </c>
      <c r="E68" s="231">
        <f t="shared" si="24"/>
        <v>14.272279799183218</v>
      </c>
      <c r="F68" s="512">
        <v>1486533.9890699901</v>
      </c>
      <c r="G68" s="507">
        <v>104220.415942476</v>
      </c>
      <c r="H68" s="228">
        <f t="shared" si="25"/>
        <v>14.2633664971216</v>
      </c>
      <c r="I68" s="512">
        <v>1436781.4275704999</v>
      </c>
      <c r="J68" s="507">
        <v>99641.904401339503</v>
      </c>
      <c r="K68" s="228">
        <f t="shared" si="26"/>
        <v>14.419449690397377</v>
      </c>
      <c r="L68" s="507">
        <v>1821824.16530973</v>
      </c>
      <c r="M68" s="507">
        <v>123605.71702255101</v>
      </c>
      <c r="N68" s="370">
        <f t="shared" si="27"/>
        <v>14.738995971985267</v>
      </c>
      <c r="O68" s="512">
        <v>1902292.13470687</v>
      </c>
      <c r="P68" s="507">
        <v>134830.896672759</v>
      </c>
      <c r="Q68" s="231">
        <f t="shared" si="28"/>
        <v>14.108725682688467</v>
      </c>
      <c r="R68" s="367">
        <f t="shared" si="23"/>
        <v>14.144920322676752</v>
      </c>
    </row>
  </sheetData>
  <mergeCells count="115">
    <mergeCell ref="G36:G37"/>
    <mergeCell ref="F36:F37"/>
    <mergeCell ref="B14:B15"/>
    <mergeCell ref="C14:C15"/>
    <mergeCell ref="B12:C12"/>
    <mergeCell ref="R58:R60"/>
    <mergeCell ref="B46:B48"/>
    <mergeCell ref="C26:C29"/>
    <mergeCell ref="C24:C25"/>
    <mergeCell ref="B24:B25"/>
    <mergeCell ref="C16:C19"/>
    <mergeCell ref="B20:C20"/>
    <mergeCell ref="B21:C21"/>
    <mergeCell ref="B22:C22"/>
    <mergeCell ref="B30:C30"/>
    <mergeCell ref="B31:C31"/>
    <mergeCell ref="B32:C32"/>
    <mergeCell ref="B58:B60"/>
    <mergeCell ref="C47:D47"/>
    <mergeCell ref="E47:E48"/>
    <mergeCell ref="C59:D59"/>
    <mergeCell ref="E59:E60"/>
    <mergeCell ref="F59:G59"/>
    <mergeCell ref="H59:H60"/>
    <mergeCell ref="C6:C9"/>
    <mergeCell ref="B10:C10"/>
    <mergeCell ref="B11:C11"/>
    <mergeCell ref="B4:B5"/>
    <mergeCell ref="C4:C5"/>
    <mergeCell ref="B36:B37"/>
    <mergeCell ref="C36:C37"/>
    <mergeCell ref="E36:E37"/>
    <mergeCell ref="D36:D37"/>
    <mergeCell ref="Q59:Q60"/>
    <mergeCell ref="N47:N48"/>
    <mergeCell ref="O47:P47"/>
    <mergeCell ref="Q47:Q48"/>
    <mergeCell ref="R47:S47"/>
    <mergeCell ref="O59:P59"/>
    <mergeCell ref="T47:T48"/>
    <mergeCell ref="F47:G47"/>
    <mergeCell ref="H47:H48"/>
    <mergeCell ref="I47:J47"/>
    <mergeCell ref="K47:K48"/>
    <mergeCell ref="L47:M47"/>
    <mergeCell ref="I59:J59"/>
    <mergeCell ref="K59:K60"/>
    <mergeCell ref="L59:M59"/>
    <mergeCell ref="N59:N60"/>
    <mergeCell ref="L5:M5"/>
    <mergeCell ref="N4:O4"/>
    <mergeCell ref="N5:O5"/>
    <mergeCell ref="D4:E4"/>
    <mergeCell ref="D5:E5"/>
    <mergeCell ref="F4:G4"/>
    <mergeCell ref="F5:G5"/>
    <mergeCell ref="H4:I4"/>
    <mergeCell ref="H5:I5"/>
    <mergeCell ref="V4:W4"/>
    <mergeCell ref="V5:W5"/>
    <mergeCell ref="X4:Y4"/>
    <mergeCell ref="X5:Y5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P4:Q4"/>
    <mergeCell ref="P5:Q5"/>
    <mergeCell ref="R4:S4"/>
    <mergeCell ref="R5:S5"/>
    <mergeCell ref="T4:U4"/>
    <mergeCell ref="T5:U5"/>
    <mergeCell ref="J4:K4"/>
    <mergeCell ref="J5:K5"/>
    <mergeCell ref="L4:M4"/>
    <mergeCell ref="X15:Y15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N15:O15"/>
    <mergeCell ref="P15:Q15"/>
    <mergeCell ref="R15:S15"/>
    <mergeCell ref="T15:U15"/>
    <mergeCell ref="V15:W15"/>
    <mergeCell ref="D15:E15"/>
    <mergeCell ref="F15:G15"/>
    <mergeCell ref="H15:I15"/>
    <mergeCell ref="J15:K15"/>
    <mergeCell ref="L15:M15"/>
    <mergeCell ref="X25:Y25"/>
    <mergeCell ref="N25:O25"/>
    <mergeCell ref="P25:Q25"/>
    <mergeCell ref="R25:S25"/>
    <mergeCell ref="T25:U25"/>
    <mergeCell ref="V25:W25"/>
    <mergeCell ref="D25:E25"/>
    <mergeCell ref="F25:G25"/>
    <mergeCell ref="H25:I25"/>
    <mergeCell ref="J25:K25"/>
    <mergeCell ref="L25:M25"/>
  </mergeCells>
  <pageMargins left="0.7" right="0.7" top="0.75" bottom="0.75" header="0.3" footer="0.3"/>
  <pageSetup paperSize="9" orientation="portrait" r:id="rId1"/>
  <ignoredErrors>
    <ignoredError sqref="D7:Y29 D6:N6 P6:Y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8"/>
  <sheetViews>
    <sheetView showGridLines="0" topLeftCell="A13" workbookViewId="0">
      <selection activeCell="O15" sqref="O15:P18"/>
    </sheetView>
  </sheetViews>
  <sheetFormatPr defaultColWidth="8.88671875" defaultRowHeight="14.4" x14ac:dyDescent="0.3"/>
  <cols>
    <col min="1" max="1" width="1.6640625" style="12" customWidth="1"/>
    <col min="2" max="2" width="9.6640625" style="12" customWidth="1"/>
    <col min="3" max="3" width="9.6640625" style="85" customWidth="1"/>
    <col min="4" max="4" width="13.6640625" style="12" customWidth="1"/>
    <col min="5" max="5" width="9.6640625" style="12" customWidth="1"/>
    <col min="6" max="6" width="13.6640625" style="14" customWidth="1"/>
    <col min="7" max="7" width="12.109375" style="13" bestFit="1" customWidth="1"/>
    <col min="8" max="8" width="12.6640625" style="13" customWidth="1"/>
    <col min="9" max="9" width="14.6640625" style="13" customWidth="1"/>
    <col min="10" max="10" width="13.6640625" style="12" customWidth="1"/>
    <col min="11" max="11" width="13.6640625" style="14" customWidth="1"/>
    <col min="12" max="12" width="13.6640625" style="12" customWidth="1"/>
    <col min="13" max="13" width="14.6640625" style="12" customWidth="1"/>
    <col min="14" max="16384" width="8.88671875" style="12"/>
  </cols>
  <sheetData>
    <row r="2" spans="2:15" customFormat="1" ht="18" x14ac:dyDescent="0.35">
      <c r="B2" s="1" t="s">
        <v>0</v>
      </c>
      <c r="C2" s="84"/>
      <c r="D2" s="10" t="str">
        <f>"-"&amp;Summary!C4</f>
        <v>-  Cocaine</v>
      </c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2:15" ht="15" thickBot="1" x14ac:dyDescent="0.35"/>
    <row r="4" spans="2:15" ht="45" customHeight="1" thickBot="1" x14ac:dyDescent="0.35">
      <c r="B4" s="742" t="s">
        <v>14</v>
      </c>
      <c r="C4" s="743"/>
      <c r="D4" s="439" t="s">
        <v>225</v>
      </c>
      <c r="E4" s="83" t="s">
        <v>3</v>
      </c>
      <c r="F4" s="83" t="s">
        <v>15</v>
      </c>
      <c r="G4" s="83" t="s">
        <v>16</v>
      </c>
      <c r="H4" s="83" t="s">
        <v>73</v>
      </c>
      <c r="I4" s="83" t="s">
        <v>71</v>
      </c>
      <c r="J4" s="83" t="s">
        <v>72</v>
      </c>
      <c r="K4" s="435" t="s">
        <v>221</v>
      </c>
      <c r="L4" s="83" t="s">
        <v>74</v>
      </c>
      <c r="M4" s="430" t="s">
        <v>155</v>
      </c>
    </row>
    <row r="5" spans="2:15" ht="15" customHeight="1" x14ac:dyDescent="0.3">
      <c r="B5" s="77" t="str">
        <f>'Raw Data'!$D$4</f>
        <v>Run 1</v>
      </c>
      <c r="C5" s="88">
        <f>'Raw Data'!$D$5</f>
        <v>43672</v>
      </c>
      <c r="D5" s="740">
        <f>Summary!C9</f>
        <v>10</v>
      </c>
      <c r="E5" s="488">
        <f>'Raw Data'!$E$10</f>
        <v>9.3113813024223848</v>
      </c>
      <c r="F5" s="491">
        <f>'Raw Data'!$E$11</f>
        <v>1.097814547383984</v>
      </c>
      <c r="G5" s="17">
        <f>COUNT('Raw Data'!E$6:E$9)-1</f>
        <v>1</v>
      </c>
      <c r="H5" s="494">
        <f>F5^2*G5</f>
        <v>1.2051967804479016</v>
      </c>
      <c r="I5" s="494">
        <f>H16/G16</f>
        <v>0.20449416444192733</v>
      </c>
      <c r="J5" s="498">
        <f>(I5)^(1/2)</f>
        <v>0.45221030996863321</v>
      </c>
      <c r="K5" s="18">
        <v>2</v>
      </c>
      <c r="L5" s="498">
        <f>J5/SQRT(K5)</f>
        <v>0.31976097670129111</v>
      </c>
      <c r="M5" s="499">
        <f>L5/D5</f>
        <v>3.1976097670129114E-2</v>
      </c>
    </row>
    <row r="6" spans="2:15" ht="15" customHeight="1" x14ac:dyDescent="0.3">
      <c r="B6" s="77" t="str">
        <f>'Raw Data'!$F$4</f>
        <v>Run 2</v>
      </c>
      <c r="C6" s="88">
        <f>'Raw Data'!$F$5</f>
        <v>43675</v>
      </c>
      <c r="D6" s="740"/>
      <c r="E6" s="489">
        <f>'Raw Data'!$G$10</f>
        <v>9.3017949616905078</v>
      </c>
      <c r="F6" s="492">
        <f>'Raw Data'!$G$11</f>
        <v>4.7930761101441309E-2</v>
      </c>
      <c r="G6" s="19">
        <f>COUNT('Raw Data'!G$6:G$9)-1</f>
        <v>1</v>
      </c>
      <c r="H6" s="495">
        <f>F6^2*G6</f>
        <v>2.2973578597634391E-3</v>
      </c>
      <c r="I6" s="98"/>
      <c r="J6" s="59"/>
      <c r="K6" s="99"/>
      <c r="L6" s="59"/>
      <c r="M6" s="100"/>
    </row>
    <row r="7" spans="2:15" ht="15" customHeight="1" x14ac:dyDescent="0.3">
      <c r="B7" s="77" t="str">
        <f>'Raw Data'!$H$4</f>
        <v>Run 3</v>
      </c>
      <c r="C7" s="88">
        <f>'Raw Data'!$H$5</f>
        <v>43676</v>
      </c>
      <c r="D7" s="740"/>
      <c r="E7" s="489">
        <f>'Raw Data'!$I$10</f>
        <v>9.2144415562608231</v>
      </c>
      <c r="F7" s="492">
        <f>'Raw Data'!$I$11</f>
        <v>8.6642227580490241E-2</v>
      </c>
      <c r="G7" s="19">
        <f>COUNT('Raw Data'!I$6:I$9)-1</f>
        <v>1</v>
      </c>
      <c r="H7" s="495">
        <f t="shared" ref="H7:H15" si="0">F7^2*G7</f>
        <v>7.5068756001094635E-3</v>
      </c>
      <c r="I7" s="98"/>
      <c r="J7" s="59"/>
      <c r="K7" s="99"/>
      <c r="L7" s="59"/>
      <c r="M7" s="100"/>
    </row>
    <row r="8" spans="2:15" ht="15" customHeight="1" x14ac:dyDescent="0.3">
      <c r="B8" s="77" t="str">
        <f>'Raw Data'!$J$4</f>
        <v>Run 4</v>
      </c>
      <c r="C8" s="88">
        <f>'Raw Data'!$J$5</f>
        <v>43677</v>
      </c>
      <c r="D8" s="740"/>
      <c r="E8" s="489">
        <f>'Raw Data'!$K$10</f>
        <v>9.5128653075693634</v>
      </c>
      <c r="F8" s="492">
        <f>'Raw Data'!$K$11</f>
        <v>0.80502902945999177</v>
      </c>
      <c r="G8" s="19">
        <f>COUNT('Raw Data'!K$6:K$9)-1</f>
        <v>1</v>
      </c>
      <c r="H8" s="495">
        <f t="shared" si="0"/>
        <v>0.64807173827329634</v>
      </c>
      <c r="I8" s="98"/>
      <c r="J8" s="59"/>
      <c r="K8" s="99"/>
      <c r="L8" s="59"/>
      <c r="M8" s="100"/>
      <c r="O8" s="22" t="s">
        <v>161</v>
      </c>
    </row>
    <row r="9" spans="2:15" ht="15" customHeight="1" x14ac:dyDescent="0.3">
      <c r="B9" s="77" t="str">
        <f>'Raw Data'!$L$4</f>
        <v>Run 5</v>
      </c>
      <c r="C9" s="88">
        <f>'Raw Data'!$L$5</f>
        <v>43678</v>
      </c>
      <c r="D9" s="740"/>
      <c r="E9" s="489">
        <f>'Raw Data'!$M$10</f>
        <v>8.7466074357265988</v>
      </c>
      <c r="F9" s="492">
        <f>'Raw Data'!$M$11</f>
        <v>0.33021232021427122</v>
      </c>
      <c r="G9" s="19">
        <f>COUNT('Raw Data'!M$6:M$9)-1</f>
        <v>1</v>
      </c>
      <c r="H9" s="495">
        <f t="shared" si="0"/>
        <v>0.10904017642129239</v>
      </c>
      <c r="I9" s="98"/>
      <c r="J9" s="59"/>
      <c r="K9" s="99"/>
      <c r="L9" s="59"/>
      <c r="M9" s="100"/>
    </row>
    <row r="10" spans="2:15" ht="15" customHeight="1" x14ac:dyDescent="0.3">
      <c r="B10" s="77" t="str">
        <f>'Raw Data'!$N$4</f>
        <v>Run 6</v>
      </c>
      <c r="C10" s="88">
        <f>'Raw Data'!$N$5</f>
        <v>43679</v>
      </c>
      <c r="D10" s="740"/>
      <c r="E10" s="489">
        <f>'Raw Data'!$O$10</f>
        <v>7.7124285598149722</v>
      </c>
      <c r="F10" s="492">
        <f>'Raw Data'!$O$11</f>
        <v>0.42643471765988089</v>
      </c>
      <c r="G10" s="19">
        <f>COUNT('Raw Data'!O$6:O$9)-1</f>
        <v>1</v>
      </c>
      <c r="H10" s="495">
        <f>F10^2*G10</f>
        <v>0.18184656842566232</v>
      </c>
      <c r="I10" s="98"/>
      <c r="J10" s="59"/>
      <c r="K10" s="99"/>
      <c r="L10" s="59"/>
      <c r="M10" s="100"/>
    </row>
    <row r="11" spans="2:15" ht="15" customHeight="1" x14ac:dyDescent="0.3">
      <c r="B11" s="77" t="str">
        <f>'Raw Data'!$P$4</f>
        <v>Run 7</v>
      </c>
      <c r="C11" s="88">
        <f>'Raw Data'!$P$5</f>
        <v>43682</v>
      </c>
      <c r="D11" s="740"/>
      <c r="E11" s="489">
        <f>'Raw Data'!$Q$10</f>
        <v>8.024215350101052</v>
      </c>
      <c r="F11" s="492">
        <f>'Raw Data'!$Q$11</f>
        <v>1.4392988531866406E-2</v>
      </c>
      <c r="G11" s="19">
        <f>COUNT('Raw Data'!Q$6:Q$9)-1</f>
        <v>1</v>
      </c>
      <c r="H11" s="495">
        <f t="shared" si="0"/>
        <v>2.0715811887843787E-4</v>
      </c>
      <c r="I11" s="98"/>
      <c r="J11" s="59"/>
      <c r="K11" s="99"/>
      <c r="L11" s="59"/>
      <c r="M11" s="100"/>
    </row>
    <row r="12" spans="2:15" ht="15" customHeight="1" x14ac:dyDescent="0.3">
      <c r="B12" s="77" t="str">
        <f>'Raw Data'!$R$4</f>
        <v>Run 8</v>
      </c>
      <c r="C12" s="88">
        <f>'Raw Data'!$R$5</f>
        <v>43683</v>
      </c>
      <c r="D12" s="740"/>
      <c r="E12" s="489">
        <f>'Raw Data'!$S$10</f>
        <v>8.5246932434453377</v>
      </c>
      <c r="F12" s="492">
        <f>'Raw Data'!$S$11</f>
        <v>0.16142960704893033</v>
      </c>
      <c r="G12" s="19">
        <f>COUNT('Raw Data'!S$6:S$9)-1</f>
        <v>1</v>
      </c>
      <c r="H12" s="495">
        <f t="shared" si="0"/>
        <v>2.6059518031972057E-2</v>
      </c>
      <c r="I12" s="98"/>
      <c r="J12" s="59"/>
      <c r="K12" s="99"/>
      <c r="L12" s="59"/>
      <c r="M12" s="100"/>
    </row>
    <row r="13" spans="2:15" ht="15" customHeight="1" x14ac:dyDescent="0.3">
      <c r="B13" s="77" t="str">
        <f>'Raw Data'!$T$4</f>
        <v>Run 9</v>
      </c>
      <c r="C13" s="88">
        <f>'Raw Data'!$T$5</f>
        <v>43684</v>
      </c>
      <c r="D13" s="740"/>
      <c r="E13" s="489">
        <f>'Raw Data'!$U$10</f>
        <v>8.458217376765095</v>
      </c>
      <c r="F13" s="492">
        <f>'Raw Data'!$U$11</f>
        <v>0.20330553978736121</v>
      </c>
      <c r="G13" s="19">
        <f>COUNT('Raw Data'!U$6:U$9)-1</f>
        <v>1</v>
      </c>
      <c r="H13" s="495">
        <f t="shared" si="0"/>
        <v>4.1333142508230315E-2</v>
      </c>
      <c r="I13" s="98"/>
      <c r="J13" s="59"/>
      <c r="K13" s="99"/>
      <c r="L13" s="59"/>
      <c r="M13" s="100"/>
    </row>
    <row r="14" spans="2:15" ht="15" customHeight="1" x14ac:dyDescent="0.3">
      <c r="B14" s="77" t="str">
        <f>'Raw Data'!$V$4</f>
        <v>Run 10</v>
      </c>
      <c r="C14" s="88">
        <f>'Raw Data'!$V$5</f>
        <v>43685</v>
      </c>
      <c r="D14" s="740"/>
      <c r="E14" s="489">
        <f>'Raw Data'!$W$10</f>
        <v>8.6535272422384946</v>
      </c>
      <c r="F14" s="492">
        <f>'Raw Data'!$W$11</f>
        <v>0.16000860919392709</v>
      </c>
      <c r="G14" s="19">
        <f>COUNT('Raw Data'!W$6:W$9)-1</f>
        <v>1</v>
      </c>
      <c r="H14" s="495">
        <f t="shared" si="0"/>
        <v>2.5602755016174889E-2</v>
      </c>
      <c r="I14" s="98"/>
      <c r="J14" s="59"/>
      <c r="K14" s="99"/>
      <c r="L14" s="59"/>
      <c r="M14" s="100"/>
    </row>
    <row r="15" spans="2:15" ht="15" customHeight="1" thickBot="1" x14ac:dyDescent="0.35">
      <c r="B15" s="89" t="str">
        <f>'Raw Data'!$X$4</f>
        <v>Run 11</v>
      </c>
      <c r="C15" s="90">
        <f>'Raw Data'!$X$5</f>
        <v>43686</v>
      </c>
      <c r="D15" s="741"/>
      <c r="E15" s="490">
        <f>'Raw Data'!$Y$10</f>
        <v>9.2961861919088129</v>
      </c>
      <c r="F15" s="493">
        <f>'Raw Data'!$Y$11</f>
        <v>4.7683730536932784E-2</v>
      </c>
      <c r="G15" s="82">
        <f>COUNT('Raw Data'!Y$6:Y$9)-1</f>
        <v>1</v>
      </c>
      <c r="H15" s="496">
        <f t="shared" si="0"/>
        <v>2.273738157918816E-3</v>
      </c>
      <c r="I15" s="101"/>
      <c r="J15" s="102"/>
      <c r="K15" s="103"/>
      <c r="L15" s="102"/>
      <c r="M15" s="104"/>
    </row>
    <row r="16" spans="2:15" ht="15" customHeight="1" thickBot="1" x14ac:dyDescent="0.35">
      <c r="B16" s="7"/>
      <c r="C16" s="86"/>
      <c r="D16" s="7"/>
      <c r="E16" s="7"/>
      <c r="F16" s="91" t="s">
        <v>17</v>
      </c>
      <c r="G16" s="15">
        <f>SUM(G5:G15)</f>
        <v>11</v>
      </c>
      <c r="H16" s="497">
        <f>SUM(H5:H15)</f>
        <v>2.2494358088612008</v>
      </c>
      <c r="I16" s="48"/>
      <c r="J16" s="7"/>
      <c r="K16" s="20"/>
      <c r="L16" s="7"/>
      <c r="M16" s="7"/>
    </row>
    <row r="17" spans="2:13" ht="15" customHeight="1" x14ac:dyDescent="0.3">
      <c r="B17" s="7"/>
      <c r="C17" s="86"/>
      <c r="D17" s="7"/>
      <c r="E17" s="7"/>
      <c r="F17" s="20"/>
      <c r="G17" s="48"/>
      <c r="H17" s="81"/>
      <c r="I17" s="48"/>
      <c r="J17" s="7"/>
      <c r="K17" s="20"/>
      <c r="L17" s="7"/>
      <c r="M17" s="7"/>
    </row>
    <row r="18" spans="2:13" ht="15" customHeight="1" thickBot="1" x14ac:dyDescent="0.35">
      <c r="B18" s="7"/>
      <c r="C18" s="86"/>
      <c r="D18" s="7"/>
      <c r="E18" s="7"/>
      <c r="F18" s="20"/>
      <c r="G18" s="48"/>
      <c r="H18" s="81"/>
      <c r="I18" s="48"/>
      <c r="J18" s="7"/>
      <c r="K18" s="20"/>
      <c r="L18" s="7"/>
      <c r="M18" s="7"/>
    </row>
    <row r="19" spans="2:13" ht="45" customHeight="1" thickBot="1" x14ac:dyDescent="0.35">
      <c r="B19" s="742" t="s">
        <v>14</v>
      </c>
      <c r="C19" s="743"/>
      <c r="D19" s="439" t="s">
        <v>225</v>
      </c>
      <c r="E19" s="83" t="s">
        <v>3</v>
      </c>
      <c r="F19" s="83" t="s">
        <v>15</v>
      </c>
      <c r="G19" s="83" t="s">
        <v>16</v>
      </c>
      <c r="H19" s="83" t="s">
        <v>73</v>
      </c>
      <c r="I19" s="83" t="s">
        <v>71</v>
      </c>
      <c r="J19" s="83" t="s">
        <v>72</v>
      </c>
      <c r="K19" s="435" t="s">
        <v>221</v>
      </c>
      <c r="L19" s="83" t="s">
        <v>74</v>
      </c>
      <c r="M19" s="430" t="s">
        <v>155</v>
      </c>
    </row>
    <row r="20" spans="2:13" ht="15" customHeight="1" x14ac:dyDescent="0.3">
      <c r="B20" s="77" t="str">
        <f>'Raw Data'!$D$4</f>
        <v>Run 1</v>
      </c>
      <c r="C20" s="88">
        <f>'Raw Data'!$D$5</f>
        <v>43672</v>
      </c>
      <c r="D20" s="740">
        <f>Summary!D9</f>
        <v>50</v>
      </c>
      <c r="E20" s="488">
        <f>'Raw Data'!$E$20</f>
        <v>41.441564494807295</v>
      </c>
      <c r="F20" s="491">
        <f>'Raw Data'!$E$21</f>
        <v>1.2762895298249333</v>
      </c>
      <c r="G20" s="17">
        <f>COUNT('Raw Data'!E$16:E$19)-1</f>
        <v>1</v>
      </c>
      <c r="H20" s="494">
        <f>F20^2*G20</f>
        <v>1.6289149639407492</v>
      </c>
      <c r="I20" s="494">
        <f>H31/G31</f>
        <v>1.1585748915924177</v>
      </c>
      <c r="J20" s="498">
        <f>(I20)^(1/2)</f>
        <v>1.0763711681350525</v>
      </c>
      <c r="K20" s="18">
        <v>2</v>
      </c>
      <c r="L20" s="498">
        <f>J20/SQRT(K20)</f>
        <v>0.76110935206198105</v>
      </c>
      <c r="M20" s="499">
        <f>L20/D20</f>
        <v>1.5222187041239621E-2</v>
      </c>
    </row>
    <row r="21" spans="2:13" ht="15" customHeight="1" x14ac:dyDescent="0.3">
      <c r="B21" s="77" t="str">
        <f>'Raw Data'!$F$4</f>
        <v>Run 2</v>
      </c>
      <c r="C21" s="88">
        <f>'Raw Data'!$F$5</f>
        <v>43675</v>
      </c>
      <c r="D21" s="740"/>
      <c r="E21" s="489">
        <f>'Raw Data'!$G$20</f>
        <v>46.915085989001028</v>
      </c>
      <c r="F21" s="492">
        <f>'Raw Data'!$G$21</f>
        <v>0.47634563245641298</v>
      </c>
      <c r="G21" s="458">
        <f>COUNT('Raw Data'!G$16:G$19)-1</f>
        <v>1</v>
      </c>
      <c r="H21" s="495">
        <f>F21^2*G21</f>
        <v>0.22690516156030008</v>
      </c>
      <c r="I21" s="98"/>
      <c r="J21" s="59"/>
      <c r="K21" s="99"/>
      <c r="L21" s="59"/>
      <c r="M21" s="100"/>
    </row>
    <row r="22" spans="2:13" ht="15" customHeight="1" x14ac:dyDescent="0.3">
      <c r="B22" s="77" t="str">
        <f>'Raw Data'!$H$4</f>
        <v>Run 3</v>
      </c>
      <c r="C22" s="88">
        <f>'Raw Data'!$H$5</f>
        <v>43676</v>
      </c>
      <c r="D22" s="740"/>
      <c r="E22" s="489">
        <f>'Raw Data'!$I$20</f>
        <v>43.60952919260022</v>
      </c>
      <c r="F22" s="492">
        <f>'Raw Data'!$I$21</f>
        <v>0.55488083961807155</v>
      </c>
      <c r="G22" s="458">
        <f>COUNT('Raw Data'!I$16:I$19)-1</f>
        <v>1</v>
      </c>
      <c r="H22" s="495">
        <f t="shared" ref="H22:H30" si="1">F22^2*G22</f>
        <v>0.30789274617525603</v>
      </c>
      <c r="I22" s="98"/>
      <c r="J22" s="59"/>
      <c r="K22" s="99"/>
      <c r="L22" s="59"/>
      <c r="M22" s="100"/>
    </row>
    <row r="23" spans="2:13" ht="15" customHeight="1" x14ac:dyDescent="0.3">
      <c r="B23" s="77" t="str">
        <f>'Raw Data'!$J$4</f>
        <v>Run 4</v>
      </c>
      <c r="C23" s="88">
        <f>'Raw Data'!$J$5</f>
        <v>43677</v>
      </c>
      <c r="D23" s="740"/>
      <c r="E23" s="489">
        <f>'Raw Data'!$K$20</f>
        <v>47.139874981669074</v>
      </c>
      <c r="F23" s="492">
        <f>'Raw Data'!$K$21</f>
        <v>1.9964650237425641</v>
      </c>
      <c r="G23" s="458">
        <f>COUNT('Raw Data'!K$16:K$19)-1</f>
        <v>1</v>
      </c>
      <c r="H23" s="495">
        <f t="shared" si="1"/>
        <v>3.9858725910273969</v>
      </c>
      <c r="I23" s="98"/>
      <c r="J23" s="59"/>
      <c r="K23" s="99"/>
      <c r="L23" s="59"/>
      <c r="M23" s="100"/>
    </row>
    <row r="24" spans="2:13" ht="15" customHeight="1" x14ac:dyDescent="0.3">
      <c r="B24" s="77" t="str">
        <f>'Raw Data'!$L$4</f>
        <v>Run 5</v>
      </c>
      <c r="C24" s="88">
        <f>'Raw Data'!$L$5</f>
        <v>43678</v>
      </c>
      <c r="D24" s="740"/>
      <c r="E24" s="489">
        <f>'Raw Data'!$M$20</f>
        <v>43.53136260492915</v>
      </c>
      <c r="F24" s="492">
        <f>'Raw Data'!$M$21</f>
        <v>0.11316694038539996</v>
      </c>
      <c r="G24" s="458">
        <f>COUNT('Raw Data'!M$16:M$19)-1</f>
        <v>1</v>
      </c>
      <c r="H24" s="495">
        <f t="shared" si="1"/>
        <v>1.2806756396192668E-2</v>
      </c>
      <c r="I24" s="98"/>
      <c r="J24" s="59"/>
      <c r="K24" s="99"/>
      <c r="L24" s="59"/>
      <c r="M24" s="100"/>
    </row>
    <row r="25" spans="2:13" ht="15" customHeight="1" x14ac:dyDescent="0.3">
      <c r="B25" s="77" t="str">
        <f>'Raw Data'!$N$4</f>
        <v>Run 6</v>
      </c>
      <c r="C25" s="88">
        <f>'Raw Data'!$N$5</f>
        <v>43679</v>
      </c>
      <c r="D25" s="740"/>
      <c r="E25" s="489">
        <f>'Raw Data'!$O$20</f>
        <v>42.44069621496007</v>
      </c>
      <c r="F25" s="492">
        <f>'Raw Data'!$O$21</f>
        <v>1.3875496614475726</v>
      </c>
      <c r="G25" s="458">
        <f>COUNT('Raw Data'!O$16:O$19)-1</f>
        <v>1</v>
      </c>
      <c r="H25" s="495">
        <f t="shared" si="1"/>
        <v>1.9252940629832735</v>
      </c>
      <c r="I25" s="98"/>
      <c r="J25" s="59"/>
      <c r="K25" s="99"/>
      <c r="L25" s="59"/>
      <c r="M25" s="100"/>
    </row>
    <row r="26" spans="2:13" ht="15" customHeight="1" x14ac:dyDescent="0.3">
      <c r="B26" s="77" t="str">
        <f>'Raw Data'!$P$4</f>
        <v>Run 7</v>
      </c>
      <c r="C26" s="88">
        <f>'Raw Data'!$P$5</f>
        <v>43682</v>
      </c>
      <c r="D26" s="740"/>
      <c r="E26" s="489">
        <f>'Raw Data'!$Q$20</f>
        <v>42.127121084576324</v>
      </c>
      <c r="F26" s="492">
        <f>'Raw Data'!$Q$21</f>
        <v>1.925307979659457</v>
      </c>
      <c r="G26" s="458">
        <f>COUNT('Raw Data'!Q$16:Q$19)-1</f>
        <v>1</v>
      </c>
      <c r="H26" s="495">
        <f t="shared" si="1"/>
        <v>3.7068108165403801</v>
      </c>
      <c r="I26" s="98"/>
      <c r="J26" s="59"/>
      <c r="K26" s="99"/>
      <c r="L26" s="59"/>
      <c r="M26" s="100"/>
    </row>
    <row r="27" spans="2:13" ht="15" customHeight="1" x14ac:dyDescent="0.3">
      <c r="B27" s="77" t="str">
        <f>'Raw Data'!$R$4</f>
        <v>Run 8</v>
      </c>
      <c r="C27" s="88">
        <f>'Raw Data'!$R$5</f>
        <v>43683</v>
      </c>
      <c r="D27" s="740"/>
      <c r="E27" s="489">
        <f>'Raw Data'!$S$20</f>
        <v>42.313059125533776</v>
      </c>
      <c r="F27" s="492">
        <f>'Raw Data'!$S$21</f>
        <v>0.45604211668747058</v>
      </c>
      <c r="G27" s="458">
        <f>COUNT('Raw Data'!S$16:S$19)-1</f>
        <v>1</v>
      </c>
      <c r="H27" s="495">
        <f t="shared" si="1"/>
        <v>0.20797441219278853</v>
      </c>
      <c r="I27" s="98"/>
      <c r="J27" s="59"/>
      <c r="K27" s="99"/>
      <c r="L27" s="59"/>
      <c r="M27" s="100"/>
    </row>
    <row r="28" spans="2:13" ht="15" customHeight="1" x14ac:dyDescent="0.3">
      <c r="B28" s="77" t="str">
        <f>'Raw Data'!$T$4</f>
        <v>Run 9</v>
      </c>
      <c r="C28" s="88">
        <f>'Raw Data'!$T$5</f>
        <v>43684</v>
      </c>
      <c r="D28" s="740"/>
      <c r="E28" s="489">
        <f>'Raw Data'!$U$20</f>
        <v>45.723435887541797</v>
      </c>
      <c r="F28" s="492">
        <f>'Raw Data'!$U$21</f>
        <v>0.79483810341040417</v>
      </c>
      <c r="G28" s="458">
        <f>COUNT('Raw Data'!U$16:U$19)-1</f>
        <v>1</v>
      </c>
      <c r="H28" s="495">
        <f t="shared" si="1"/>
        <v>0.63176761063304832</v>
      </c>
      <c r="I28" s="98"/>
      <c r="J28" s="59"/>
      <c r="K28" s="99"/>
      <c r="L28" s="59"/>
      <c r="M28" s="100"/>
    </row>
    <row r="29" spans="2:13" ht="15" customHeight="1" x14ac:dyDescent="0.3">
      <c r="B29" s="77" t="str">
        <f>'Raw Data'!$V$4</f>
        <v>Run 10</v>
      </c>
      <c r="C29" s="88">
        <f>'Raw Data'!$V$5</f>
        <v>43685</v>
      </c>
      <c r="D29" s="740"/>
      <c r="E29" s="489">
        <f>'Raw Data'!$W$20</f>
        <v>45.437220230766698</v>
      </c>
      <c r="F29" s="492">
        <f>'Raw Data'!$W$21</f>
        <v>0.32937047737293002</v>
      </c>
      <c r="G29" s="458">
        <f>COUNT('Raw Data'!W$16:W$19)-1</f>
        <v>1</v>
      </c>
      <c r="H29" s="495">
        <f t="shared" si="1"/>
        <v>0.1084849113648718</v>
      </c>
      <c r="I29" s="98"/>
      <c r="J29" s="59"/>
      <c r="K29" s="99"/>
      <c r="L29" s="59"/>
      <c r="M29" s="100"/>
    </row>
    <row r="30" spans="2:13" ht="15" customHeight="1" thickBot="1" x14ac:dyDescent="0.35">
      <c r="B30" s="89" t="str">
        <f>'Raw Data'!$X$4</f>
        <v>Run 11</v>
      </c>
      <c r="C30" s="90">
        <f>'Raw Data'!$X$5</f>
        <v>43686</v>
      </c>
      <c r="D30" s="741"/>
      <c r="E30" s="490">
        <f>'Raw Data'!$Y$20</f>
        <v>46.790278218915326</v>
      </c>
      <c r="F30" s="493">
        <f>'Raw Data'!$Y$21</f>
        <v>3.9997183680052673E-2</v>
      </c>
      <c r="G30" s="82">
        <f>COUNT('Raw Data'!Y$16:Y$19)-1</f>
        <v>1</v>
      </c>
      <c r="H30" s="496">
        <f t="shared" si="1"/>
        <v>1.599774702335872E-3</v>
      </c>
      <c r="I30" s="101"/>
      <c r="J30" s="102"/>
      <c r="K30" s="103"/>
      <c r="L30" s="102"/>
      <c r="M30" s="104"/>
    </row>
    <row r="31" spans="2:13" ht="15" customHeight="1" thickBot="1" x14ac:dyDescent="0.35">
      <c r="B31" s="7"/>
      <c r="C31" s="86"/>
      <c r="D31" s="7"/>
      <c r="E31" s="7"/>
      <c r="F31" s="91" t="s">
        <v>17</v>
      </c>
      <c r="G31" s="15">
        <f>SUM(G20:G30)</f>
        <v>11</v>
      </c>
      <c r="H31" s="497">
        <f>SUM(H20:H30)</f>
        <v>12.744323807516594</v>
      </c>
      <c r="I31" s="48"/>
      <c r="J31" s="7"/>
      <c r="K31" s="20"/>
      <c r="L31" s="7"/>
      <c r="M31" s="7"/>
    </row>
    <row r="32" spans="2:13" ht="15" customHeight="1" x14ac:dyDescent="0.3">
      <c r="B32" s="7"/>
      <c r="C32" s="86"/>
      <c r="D32" s="7"/>
      <c r="E32" s="7"/>
      <c r="F32" s="20"/>
      <c r="G32" s="48"/>
      <c r="H32" s="81"/>
      <c r="I32" s="48"/>
      <c r="J32" s="7"/>
      <c r="K32" s="20"/>
      <c r="L32" s="7"/>
      <c r="M32" s="7"/>
    </row>
    <row r="33" spans="2:13" ht="15" customHeight="1" thickBot="1" x14ac:dyDescent="0.35">
      <c r="B33" s="7"/>
      <c r="C33" s="86"/>
      <c r="D33" s="7"/>
      <c r="E33" s="7"/>
      <c r="F33" s="20"/>
      <c r="G33" s="48"/>
      <c r="H33" s="81"/>
      <c r="I33" s="48"/>
      <c r="J33" s="7"/>
      <c r="K33" s="20"/>
      <c r="L33" s="7"/>
      <c r="M33" s="7"/>
    </row>
    <row r="34" spans="2:13" ht="45" customHeight="1" thickBot="1" x14ac:dyDescent="0.35">
      <c r="B34" s="742" t="s">
        <v>14</v>
      </c>
      <c r="C34" s="743"/>
      <c r="D34" s="439" t="s">
        <v>225</v>
      </c>
      <c r="E34" s="83" t="s">
        <v>3</v>
      </c>
      <c r="F34" s="83" t="s">
        <v>15</v>
      </c>
      <c r="G34" s="83" t="s">
        <v>16</v>
      </c>
      <c r="H34" s="83" t="s">
        <v>73</v>
      </c>
      <c r="I34" s="83" t="s">
        <v>71</v>
      </c>
      <c r="J34" s="83" t="s">
        <v>72</v>
      </c>
      <c r="K34" s="435" t="s">
        <v>221</v>
      </c>
      <c r="L34" s="83" t="s">
        <v>74</v>
      </c>
      <c r="M34" s="430" t="s">
        <v>155</v>
      </c>
    </row>
    <row r="35" spans="2:13" ht="15" customHeight="1" x14ac:dyDescent="0.3">
      <c r="B35" s="77" t="str">
        <f>'Raw Data'!$D$4</f>
        <v>Run 1</v>
      </c>
      <c r="C35" s="88">
        <f>'Raw Data'!$D$5</f>
        <v>43672</v>
      </c>
      <c r="D35" s="740">
        <f>Summary!E9</f>
        <v>140</v>
      </c>
      <c r="E35" s="488">
        <f>'Raw Data'!$E$30</f>
        <v>127.43852223082274</v>
      </c>
      <c r="F35" s="491">
        <f>'Raw Data'!$E$31</f>
        <v>0.58945147102935969</v>
      </c>
      <c r="G35" s="17">
        <f>COUNT('Raw Data'!E$26:E$29)-1</f>
        <v>1</v>
      </c>
      <c r="H35" s="494">
        <f>F35^2*G35</f>
        <v>0.34745303669867605</v>
      </c>
      <c r="I35" s="494">
        <f>H46/G46</f>
        <v>5.6247789982291723</v>
      </c>
      <c r="J35" s="498">
        <f>(I35)^(1/2)</f>
        <v>2.371661653404459</v>
      </c>
      <c r="K35" s="18">
        <v>2</v>
      </c>
      <c r="L35" s="498">
        <f>J35/SQRT(K35)</f>
        <v>1.6770180378023922</v>
      </c>
      <c r="M35" s="499">
        <f>L35/D35</f>
        <v>1.1978700270017087E-2</v>
      </c>
    </row>
    <row r="36" spans="2:13" ht="15" customHeight="1" x14ac:dyDescent="0.3">
      <c r="B36" s="77" t="str">
        <f>'Raw Data'!$F$4</f>
        <v>Run 2</v>
      </c>
      <c r="C36" s="88">
        <f>'Raw Data'!$F$5</f>
        <v>43675</v>
      </c>
      <c r="D36" s="740"/>
      <c r="E36" s="489">
        <f>'Raw Data'!$G$30</f>
        <v>139.57798103576698</v>
      </c>
      <c r="F36" s="492">
        <f>'Raw Data'!$G$31</f>
        <v>1.9916235177342532</v>
      </c>
      <c r="G36" s="458">
        <f>COUNT('Raw Data'!G$26:G$29)-1</f>
        <v>1</v>
      </c>
      <c r="H36" s="495">
        <f>F36^2*G36</f>
        <v>3.9665642363921609</v>
      </c>
      <c r="I36" s="98"/>
      <c r="J36" s="59"/>
      <c r="K36" s="99"/>
      <c r="L36" s="59"/>
      <c r="M36" s="100"/>
    </row>
    <row r="37" spans="2:13" ht="15" customHeight="1" x14ac:dyDescent="0.3">
      <c r="B37" s="77" t="str">
        <f>'Raw Data'!$H$4</f>
        <v>Run 3</v>
      </c>
      <c r="C37" s="88">
        <f>'Raw Data'!$H$5</f>
        <v>43676</v>
      </c>
      <c r="D37" s="740"/>
      <c r="E37" s="489">
        <f>'Raw Data'!$I$30</f>
        <v>142.07722714100299</v>
      </c>
      <c r="F37" s="492">
        <f>'Raw Data'!$I$31</f>
        <v>2.5079155394023034</v>
      </c>
      <c r="G37" s="458">
        <f>COUNT('Raw Data'!I$26:I$29)-1</f>
        <v>1</v>
      </c>
      <c r="H37" s="495">
        <f t="shared" ref="H37:H45" si="2">F37^2*G37</f>
        <v>6.289640352775546</v>
      </c>
      <c r="I37" s="98"/>
      <c r="J37" s="59"/>
      <c r="K37" s="99"/>
      <c r="L37" s="59"/>
      <c r="M37" s="100"/>
    </row>
    <row r="38" spans="2:13" ht="15" customHeight="1" x14ac:dyDescent="0.3">
      <c r="B38" s="77" t="str">
        <f>'Raw Data'!$J$4</f>
        <v>Run 4</v>
      </c>
      <c r="C38" s="88">
        <f>'Raw Data'!$J$5</f>
        <v>43677</v>
      </c>
      <c r="D38" s="740"/>
      <c r="E38" s="489">
        <f>'Raw Data'!$K$30</f>
        <v>132.57806572390575</v>
      </c>
      <c r="F38" s="492">
        <f>'Raw Data'!$K$31</f>
        <v>2.1136585238382133</v>
      </c>
      <c r="G38" s="458">
        <f>COUNT('Raw Data'!K$26:K$29)-1</f>
        <v>1</v>
      </c>
      <c r="H38" s="495">
        <f t="shared" si="2"/>
        <v>4.4675523553939351</v>
      </c>
      <c r="I38" s="98"/>
      <c r="J38" s="59"/>
      <c r="K38" s="99"/>
      <c r="L38" s="59"/>
      <c r="M38" s="100"/>
    </row>
    <row r="39" spans="2:13" ht="15" customHeight="1" x14ac:dyDescent="0.3">
      <c r="B39" s="77" t="str">
        <f>'Raw Data'!$L$4</f>
        <v>Run 5</v>
      </c>
      <c r="C39" s="88">
        <f>'Raw Data'!$L$5</f>
        <v>43678</v>
      </c>
      <c r="D39" s="740"/>
      <c r="E39" s="489">
        <f>'Raw Data'!$M$30</f>
        <v>133.06626753803127</v>
      </c>
      <c r="F39" s="492">
        <f>'Raw Data'!$M$31</f>
        <v>2.1330813609010302</v>
      </c>
      <c r="G39" s="458">
        <f>COUNT('Raw Data'!M$26:M$29)-1</f>
        <v>1</v>
      </c>
      <c r="H39" s="495">
        <f t="shared" si="2"/>
        <v>4.5500360922233911</v>
      </c>
      <c r="I39" s="98"/>
      <c r="J39" s="59"/>
      <c r="K39" s="99"/>
      <c r="L39" s="59"/>
      <c r="M39" s="100"/>
    </row>
    <row r="40" spans="2:13" ht="15" customHeight="1" x14ac:dyDescent="0.3">
      <c r="B40" s="77" t="str">
        <f>'Raw Data'!$N$4</f>
        <v>Run 6</v>
      </c>
      <c r="C40" s="88">
        <f>'Raw Data'!$N$5</f>
        <v>43679</v>
      </c>
      <c r="D40" s="740"/>
      <c r="E40" s="489">
        <f>'Raw Data'!$O$30</f>
        <v>118.290132189261</v>
      </c>
      <c r="F40" s="492">
        <f>'Raw Data'!$O$31</f>
        <v>0.91628142355711706</v>
      </c>
      <c r="G40" s="458">
        <f>COUNT('Raw Data'!O$26:O$29)-1</f>
        <v>1</v>
      </c>
      <c r="H40" s="495">
        <f t="shared" si="2"/>
        <v>0.83957164715585697</v>
      </c>
      <c r="I40" s="98"/>
      <c r="J40" s="59"/>
      <c r="K40" s="99"/>
      <c r="L40" s="59"/>
      <c r="M40" s="100"/>
    </row>
    <row r="41" spans="2:13" ht="15" customHeight="1" x14ac:dyDescent="0.3">
      <c r="B41" s="77" t="str">
        <f>'Raw Data'!$P$4</f>
        <v>Run 7</v>
      </c>
      <c r="C41" s="88">
        <f>'Raw Data'!$P$5</f>
        <v>43682</v>
      </c>
      <c r="D41" s="740"/>
      <c r="E41" s="489">
        <f>'Raw Data'!$Q$30</f>
        <v>129.85053223936075</v>
      </c>
      <c r="F41" s="492">
        <f>'Raw Data'!$Q$31</f>
        <v>4.6634824327597446</v>
      </c>
      <c r="G41" s="458">
        <f>COUNT('Raw Data'!Q$26:Q$29)-1</f>
        <v>1</v>
      </c>
      <c r="H41" s="495">
        <f t="shared" si="2"/>
        <v>21.748068400658745</v>
      </c>
      <c r="I41" s="98"/>
      <c r="J41" s="59"/>
      <c r="K41" s="99"/>
      <c r="L41" s="59"/>
      <c r="M41" s="100"/>
    </row>
    <row r="42" spans="2:13" ht="15" customHeight="1" x14ac:dyDescent="0.3">
      <c r="B42" s="77" t="str">
        <f>'Raw Data'!$R$4</f>
        <v>Run 8</v>
      </c>
      <c r="C42" s="88">
        <f>'Raw Data'!$R$5</f>
        <v>43683</v>
      </c>
      <c r="D42" s="740"/>
      <c r="E42" s="489">
        <f>'Raw Data'!$S$30</f>
        <v>135.46076177255725</v>
      </c>
      <c r="F42" s="492">
        <f>'Raw Data'!$S$31</f>
        <v>1.4448526870869174</v>
      </c>
      <c r="G42" s="458">
        <f>COUNT('Raw Data'!S$26:S$29)-1</f>
        <v>1</v>
      </c>
      <c r="H42" s="495">
        <f t="shared" si="2"/>
        <v>2.0875992873822855</v>
      </c>
      <c r="I42" s="98"/>
      <c r="J42" s="59"/>
      <c r="K42" s="99"/>
      <c r="L42" s="59"/>
      <c r="M42" s="100"/>
    </row>
    <row r="43" spans="2:13" ht="15" customHeight="1" x14ac:dyDescent="0.3">
      <c r="B43" s="77" t="str">
        <f>'Raw Data'!$T$4</f>
        <v>Run 9</v>
      </c>
      <c r="C43" s="88">
        <f>'Raw Data'!$T$5</f>
        <v>43684</v>
      </c>
      <c r="D43" s="740"/>
      <c r="E43" s="489">
        <f>'Raw Data'!$U$30</f>
        <v>130.72890032381025</v>
      </c>
      <c r="F43" s="492">
        <f>'Raw Data'!$U$31</f>
        <v>4.1228842476496359</v>
      </c>
      <c r="G43" s="458">
        <f>COUNT('Raw Data'!U$26:U$29)-1</f>
        <v>1</v>
      </c>
      <c r="H43" s="495">
        <f t="shared" si="2"/>
        <v>16.998174519517505</v>
      </c>
      <c r="I43" s="98"/>
      <c r="J43" s="59"/>
      <c r="K43" s="99"/>
      <c r="L43" s="59"/>
      <c r="M43" s="100"/>
    </row>
    <row r="44" spans="2:13" ht="15" customHeight="1" x14ac:dyDescent="0.3">
      <c r="B44" s="77" t="str">
        <f>'Raw Data'!$V$4</f>
        <v>Run 10</v>
      </c>
      <c r="C44" s="88">
        <f>'Raw Data'!$V$5</f>
        <v>43685</v>
      </c>
      <c r="D44" s="740"/>
      <c r="E44" s="489">
        <f>'Raw Data'!$W$30</f>
        <v>127.43203092013974</v>
      </c>
      <c r="F44" s="492">
        <f>'Raw Data'!$W$31</f>
        <v>0.32438692830855309</v>
      </c>
      <c r="G44" s="458">
        <f>COUNT('Raw Data'!W$26:W$29)-1</f>
        <v>1</v>
      </c>
      <c r="H44" s="495">
        <f t="shared" si="2"/>
        <v>0.10522687925745837</v>
      </c>
      <c r="I44" s="98"/>
      <c r="J44" s="59"/>
      <c r="K44" s="99"/>
      <c r="L44" s="59"/>
      <c r="M44" s="100"/>
    </row>
    <row r="45" spans="2:13" ht="15" customHeight="1" thickBot="1" x14ac:dyDescent="0.35">
      <c r="B45" s="89" t="str">
        <f>'Raw Data'!$X$4</f>
        <v>Run 11</v>
      </c>
      <c r="C45" s="90">
        <f>'Raw Data'!$X$5</f>
        <v>43686</v>
      </c>
      <c r="D45" s="741"/>
      <c r="E45" s="490">
        <f>'Raw Data'!$Y$30</f>
        <v>134.32350315879953</v>
      </c>
      <c r="F45" s="493">
        <f>'Raw Data'!$Y$31</f>
        <v>0.68751885287993775</v>
      </c>
      <c r="G45" s="82">
        <f>COUNT('Raw Data'!Y$26:Y$29)-1</f>
        <v>1</v>
      </c>
      <c r="H45" s="496">
        <f t="shared" si="2"/>
        <v>0.47268217306534549</v>
      </c>
      <c r="I45" s="101"/>
      <c r="J45" s="102"/>
      <c r="K45" s="103"/>
      <c r="L45" s="102"/>
      <c r="M45" s="104"/>
    </row>
    <row r="46" spans="2:13" ht="15" customHeight="1" thickBot="1" x14ac:dyDescent="0.35">
      <c r="B46" s="7"/>
      <c r="C46" s="86"/>
      <c r="D46" s="7"/>
      <c r="E46" s="7"/>
      <c r="F46" s="91" t="s">
        <v>17</v>
      </c>
      <c r="G46" s="15">
        <f>SUM(G35:G45)</f>
        <v>11</v>
      </c>
      <c r="H46" s="497">
        <f>SUM(H35:H45)</f>
        <v>61.872568980520896</v>
      </c>
      <c r="I46" s="48"/>
      <c r="J46" s="7"/>
      <c r="K46" s="20"/>
      <c r="L46" s="7"/>
      <c r="M46" s="7"/>
    </row>
    <row r="47" spans="2:13" ht="5.0999999999999996" customHeight="1" x14ac:dyDescent="0.3">
      <c r="B47" s="7"/>
      <c r="C47" s="86"/>
      <c r="D47" s="7"/>
      <c r="E47" s="7"/>
      <c r="F47" s="440"/>
      <c r="G47" s="441"/>
      <c r="H47" s="81"/>
      <c r="I47" s="441"/>
      <c r="J47" s="7"/>
      <c r="K47" s="253"/>
      <c r="L47" s="7"/>
      <c r="M47" s="7"/>
    </row>
    <row r="48" spans="2:13" ht="15.6" x14ac:dyDescent="0.35">
      <c r="B48" s="11" t="s">
        <v>224</v>
      </c>
      <c r="C48" s="87"/>
    </row>
  </sheetData>
  <mergeCells count="6">
    <mergeCell ref="D35:D45"/>
    <mergeCell ref="B4:C4"/>
    <mergeCell ref="B19:C19"/>
    <mergeCell ref="B34:C34"/>
    <mergeCell ref="D5:D15"/>
    <mergeCell ref="D20:D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164"/>
  <sheetViews>
    <sheetView showGridLines="0" topLeftCell="A109" zoomScale="85" zoomScaleNormal="85" workbookViewId="0">
      <selection activeCell="N17" sqref="N17"/>
    </sheetView>
  </sheetViews>
  <sheetFormatPr defaultRowHeight="14.4" x14ac:dyDescent="0.3"/>
  <cols>
    <col min="1" max="1" width="1.6640625" customWidth="1"/>
    <col min="2" max="24" width="12.109375" customWidth="1"/>
    <col min="25" max="25" width="9.6640625" customWidth="1"/>
  </cols>
  <sheetData>
    <row r="2" spans="2:21" ht="18.75" customHeight="1" x14ac:dyDescent="0.35">
      <c r="B2" s="1" t="s">
        <v>81</v>
      </c>
      <c r="G2" s="10" t="str">
        <f>"-"&amp;Summary!C4</f>
        <v>-  Cocaine</v>
      </c>
    </row>
    <row r="3" spans="2:21" ht="15" customHeight="1" thickBot="1" x14ac:dyDescent="0.35"/>
    <row r="4" spans="2:21" ht="35.1" customHeight="1" thickBot="1" x14ac:dyDescent="0.35">
      <c r="B4" s="742" t="s">
        <v>85</v>
      </c>
      <c r="C4" s="743"/>
      <c r="D4" s="743"/>
      <c r="E4" s="743"/>
      <c r="F4" s="743"/>
      <c r="G4" s="743"/>
      <c r="H4" s="743"/>
      <c r="I4" s="750"/>
      <c r="K4" s="747" t="s">
        <v>289</v>
      </c>
      <c r="L4" s="748"/>
      <c r="M4" s="749"/>
      <c r="O4" s="380" t="s">
        <v>104</v>
      </c>
      <c r="P4" s="16"/>
      <c r="Q4" s="16"/>
      <c r="R4" s="16"/>
      <c r="S4" s="169"/>
      <c r="T4" s="169"/>
      <c r="U4" s="143"/>
    </row>
    <row r="5" spans="2:21" ht="15" customHeight="1" thickBot="1" x14ac:dyDescent="0.35">
      <c r="B5" s="287" t="s">
        <v>19</v>
      </c>
      <c r="C5" s="285"/>
      <c r="D5" s="751" t="s">
        <v>20</v>
      </c>
      <c r="E5" s="752"/>
      <c r="F5" s="752"/>
      <c r="G5" s="752"/>
      <c r="H5" s="752"/>
      <c r="I5" s="753"/>
      <c r="K5" s="287" t="s">
        <v>19</v>
      </c>
      <c r="L5" s="285"/>
      <c r="M5" s="289" t="s">
        <v>20</v>
      </c>
      <c r="O5" s="133"/>
      <c r="P5" s="7"/>
      <c r="Q5" s="7"/>
      <c r="R5" s="7"/>
      <c r="S5" s="7"/>
      <c r="T5" s="36"/>
      <c r="U5" s="179"/>
    </row>
    <row r="6" spans="2:21" ht="15" customHeight="1" x14ac:dyDescent="0.35">
      <c r="B6" s="156" t="s">
        <v>250</v>
      </c>
      <c r="C6" s="113"/>
      <c r="D6" s="132">
        <v>10</v>
      </c>
      <c r="E6" s="248">
        <v>25</v>
      </c>
      <c r="F6" s="248">
        <v>50</v>
      </c>
      <c r="G6" s="248">
        <v>100</v>
      </c>
      <c r="H6" s="248">
        <v>250</v>
      </c>
      <c r="I6" s="117">
        <v>1000</v>
      </c>
      <c r="K6" s="156" t="s">
        <v>250</v>
      </c>
      <c r="L6" s="113"/>
      <c r="M6" s="52">
        <v>10000</v>
      </c>
      <c r="O6" s="744" t="s">
        <v>219</v>
      </c>
      <c r="P6" s="745"/>
      <c r="Q6" s="745"/>
      <c r="R6" s="745"/>
      <c r="S6" s="746"/>
      <c r="T6" s="180" t="s">
        <v>287</v>
      </c>
      <c r="U6" s="179"/>
    </row>
    <row r="7" spans="2:21" ht="15" customHeight="1" thickBot="1" x14ac:dyDescent="0.35">
      <c r="B7" s="156" t="s">
        <v>251</v>
      </c>
      <c r="C7" s="113"/>
      <c r="D7" s="71">
        <v>0.09</v>
      </c>
      <c r="E7" s="43">
        <v>0.3</v>
      </c>
      <c r="F7" s="43">
        <v>0.3</v>
      </c>
      <c r="G7" s="43">
        <v>0.3</v>
      </c>
      <c r="H7" s="43">
        <v>2.6</v>
      </c>
      <c r="I7" s="52">
        <v>5</v>
      </c>
      <c r="K7" s="156" t="s">
        <v>251</v>
      </c>
      <c r="L7" s="113"/>
      <c r="M7" s="52">
        <v>25</v>
      </c>
      <c r="O7" s="134"/>
      <c r="P7" s="135"/>
      <c r="Q7" s="135"/>
      <c r="R7" s="135"/>
      <c r="S7" s="135"/>
      <c r="T7" s="135"/>
      <c r="U7" s="181"/>
    </row>
    <row r="8" spans="2:21" ht="15" customHeight="1" x14ac:dyDescent="0.3">
      <c r="B8" s="156" t="s">
        <v>18</v>
      </c>
      <c r="C8" s="113"/>
      <c r="D8" s="71">
        <v>2</v>
      </c>
      <c r="E8" s="43">
        <v>2</v>
      </c>
      <c r="F8" s="43">
        <v>2</v>
      </c>
      <c r="G8" s="43">
        <v>2</v>
      </c>
      <c r="H8" s="43">
        <v>2</v>
      </c>
      <c r="I8" s="52">
        <v>2</v>
      </c>
      <c r="K8" s="156" t="s">
        <v>18</v>
      </c>
      <c r="L8" s="113"/>
      <c r="M8" s="52">
        <f>SQRT(3)</f>
        <v>1.7320508075688772</v>
      </c>
    </row>
    <row r="9" spans="2:21" ht="15" customHeight="1" thickBot="1" x14ac:dyDescent="0.35">
      <c r="B9" s="156" t="s">
        <v>178</v>
      </c>
      <c r="C9" s="113"/>
      <c r="D9" s="71">
        <f>D7/D8</f>
        <v>4.4999999999999998E-2</v>
      </c>
      <c r="E9" s="43">
        <f t="shared" ref="E9:I9" si="0">E7/E8</f>
        <v>0.15</v>
      </c>
      <c r="F9" s="43">
        <f t="shared" si="0"/>
        <v>0.15</v>
      </c>
      <c r="G9" s="43">
        <f t="shared" si="0"/>
        <v>0.15</v>
      </c>
      <c r="H9" s="43">
        <f t="shared" si="0"/>
        <v>1.3</v>
      </c>
      <c r="I9" s="52">
        <f t="shared" si="0"/>
        <v>2.5</v>
      </c>
      <c r="K9" s="156" t="s">
        <v>178</v>
      </c>
      <c r="L9" s="113"/>
      <c r="M9" s="52">
        <f>M7/M8</f>
        <v>14.433756729740645</v>
      </c>
    </row>
    <row r="10" spans="2:21" s="57" customFormat="1" ht="18" customHeight="1" thickBot="1" x14ac:dyDescent="0.4">
      <c r="B10" s="260" t="s">
        <v>179</v>
      </c>
      <c r="C10" s="261"/>
      <c r="D10" s="263">
        <f t="shared" ref="D10:I10" si="1">D11^2</f>
        <v>2.0249999999999998E-5</v>
      </c>
      <c r="E10" s="264">
        <f t="shared" si="1"/>
        <v>3.6000000000000001E-5</v>
      </c>
      <c r="F10" s="264">
        <f t="shared" si="1"/>
        <v>9.0000000000000002E-6</v>
      </c>
      <c r="G10" s="264">
        <f t="shared" si="1"/>
        <v>2.2500000000000001E-6</v>
      </c>
      <c r="H10" s="264">
        <f t="shared" si="1"/>
        <v>2.7039999999999999E-5</v>
      </c>
      <c r="I10" s="262">
        <f t="shared" si="1"/>
        <v>6.2500000000000003E-6</v>
      </c>
      <c r="K10" s="260" t="s">
        <v>187</v>
      </c>
      <c r="L10" s="261"/>
      <c r="M10" s="262">
        <f>M11^2</f>
        <v>2.0833333333333334E-6</v>
      </c>
    </row>
    <row r="11" spans="2:21" s="9" customFormat="1" ht="18" customHeight="1" thickBot="1" x14ac:dyDescent="0.35">
      <c r="B11" s="166" t="s">
        <v>180</v>
      </c>
      <c r="C11" s="147"/>
      <c r="D11" s="256">
        <f>D9/D6</f>
        <v>4.4999999999999997E-3</v>
      </c>
      <c r="E11" s="257">
        <f t="shared" ref="E11:I11" si="2">E9/E6</f>
        <v>6.0000000000000001E-3</v>
      </c>
      <c r="F11" s="257">
        <f t="shared" si="2"/>
        <v>3.0000000000000001E-3</v>
      </c>
      <c r="G11" s="257">
        <f t="shared" si="2"/>
        <v>1.5E-3</v>
      </c>
      <c r="H11" s="257">
        <f t="shared" si="2"/>
        <v>5.1999999999999998E-3</v>
      </c>
      <c r="I11" s="258">
        <f t="shared" si="2"/>
        <v>2.5000000000000001E-3</v>
      </c>
      <c r="K11" s="166" t="s">
        <v>220</v>
      </c>
      <c r="L11" s="147"/>
      <c r="M11" s="259">
        <f>M9/M6</f>
        <v>1.4433756729740645E-3</v>
      </c>
    </row>
    <row r="12" spans="2:21" ht="15" customHeight="1" x14ac:dyDescent="0.3"/>
    <row r="13" spans="2:21" ht="15" customHeight="1" thickBot="1" x14ac:dyDescent="0.35"/>
    <row r="14" spans="2:21" ht="18" customHeight="1" thickBot="1" x14ac:dyDescent="0.35">
      <c r="B14" s="110" t="s">
        <v>83</v>
      </c>
      <c r="C14" s="111"/>
      <c r="D14" s="127" t="str">
        <f>Summary!L4</f>
        <v>Coc</v>
      </c>
      <c r="F14" s="110" t="s">
        <v>84</v>
      </c>
      <c r="G14" s="111"/>
      <c r="H14" s="127" t="str">
        <f>Summary!L5</f>
        <v>Coc-d8</v>
      </c>
      <c r="O14" s="157" t="s">
        <v>252</v>
      </c>
      <c r="P14" s="158"/>
      <c r="Q14" s="111"/>
    </row>
    <row r="15" spans="2:21" ht="15" customHeight="1" x14ac:dyDescent="0.3">
      <c r="B15" s="287" t="s">
        <v>19</v>
      </c>
      <c r="C15" s="285"/>
      <c r="D15" s="289" t="s">
        <v>20</v>
      </c>
      <c r="F15" s="287" t="s">
        <v>19</v>
      </c>
      <c r="G15" s="285"/>
      <c r="H15" s="289" t="s">
        <v>20</v>
      </c>
      <c r="O15" s="287" t="s">
        <v>19</v>
      </c>
      <c r="P15" s="285"/>
      <c r="Q15" s="290" t="s">
        <v>20</v>
      </c>
    </row>
    <row r="16" spans="2:21" ht="15" customHeight="1" thickBot="1" x14ac:dyDescent="0.4">
      <c r="B16" s="164" t="s">
        <v>302</v>
      </c>
      <c r="C16" s="100"/>
      <c r="D16" s="107">
        <v>1</v>
      </c>
      <c r="F16" s="164" t="s">
        <v>302</v>
      </c>
      <c r="G16" s="100"/>
      <c r="H16" s="469">
        <v>0.1004</v>
      </c>
      <c r="O16" s="156" t="s">
        <v>288</v>
      </c>
      <c r="P16" s="100"/>
      <c r="Q16" s="117">
        <f>H10</f>
        <v>2.7039999999999999E-5</v>
      </c>
    </row>
    <row r="17" spans="2:22" ht="15" customHeight="1" thickBot="1" x14ac:dyDescent="0.4">
      <c r="B17" s="164" t="s">
        <v>82</v>
      </c>
      <c r="C17" s="100"/>
      <c r="D17" s="52">
        <f>D16*1000000</f>
        <v>1000000</v>
      </c>
      <c r="F17" s="164" t="s">
        <v>82</v>
      </c>
      <c r="G17" s="100"/>
      <c r="H17" s="52">
        <f>H16*1000000</f>
        <v>100400</v>
      </c>
      <c r="O17" s="266" t="s">
        <v>185</v>
      </c>
      <c r="P17" s="115"/>
      <c r="Q17" s="144">
        <f>Q18^2</f>
        <v>2.7039999999999999E-5</v>
      </c>
    </row>
    <row r="18" spans="2:22" ht="15" customHeight="1" thickBot="1" x14ac:dyDescent="0.35">
      <c r="B18" s="156" t="s">
        <v>249</v>
      </c>
      <c r="C18" s="100"/>
      <c r="D18" s="52">
        <v>5000</v>
      </c>
      <c r="F18" s="156" t="s">
        <v>249</v>
      </c>
      <c r="G18" s="100"/>
      <c r="H18" s="52">
        <v>1000</v>
      </c>
      <c r="O18" s="167" t="s">
        <v>186</v>
      </c>
      <c r="P18" s="142"/>
      <c r="Q18" s="265">
        <f>SQRT(Q16)</f>
        <v>5.1999999999999998E-3</v>
      </c>
    </row>
    <row r="19" spans="2:22" ht="15" customHeight="1" x14ac:dyDescent="0.3">
      <c r="B19" s="156" t="s">
        <v>18</v>
      </c>
      <c r="C19" s="100"/>
      <c r="D19" s="52">
        <v>2</v>
      </c>
      <c r="F19" s="156" t="s">
        <v>18</v>
      </c>
      <c r="G19" s="100"/>
      <c r="H19" s="52">
        <v>2</v>
      </c>
      <c r="O19" s="35"/>
      <c r="P19" s="7"/>
      <c r="Q19" s="248"/>
    </row>
    <row r="20" spans="2:22" ht="15" customHeight="1" thickBot="1" x14ac:dyDescent="0.35">
      <c r="B20" s="156" t="s">
        <v>178</v>
      </c>
      <c r="C20" s="100"/>
      <c r="D20" s="52">
        <f>D18/D19</f>
        <v>2500</v>
      </c>
      <c r="F20" s="156" t="s">
        <v>178</v>
      </c>
      <c r="G20" s="100"/>
      <c r="H20" s="52">
        <f>H18/H19</f>
        <v>500</v>
      </c>
    </row>
    <row r="21" spans="2:22" s="275" customFormat="1" ht="18" customHeight="1" thickBot="1" x14ac:dyDescent="0.4">
      <c r="B21" s="270" t="s">
        <v>181</v>
      </c>
      <c r="C21" s="271"/>
      <c r="D21" s="272">
        <f>D22^2</f>
        <v>6.2500000000000003E-6</v>
      </c>
      <c r="E21" s="212"/>
      <c r="F21" s="433" t="s">
        <v>183</v>
      </c>
      <c r="G21" s="273"/>
      <c r="H21" s="274">
        <f>H22^2</f>
        <v>2.4801193631847114E-5</v>
      </c>
    </row>
    <row r="22" spans="2:22" s="9" customFormat="1" ht="18" customHeight="1" thickBot="1" x14ac:dyDescent="0.35">
      <c r="B22" s="432" t="s">
        <v>182</v>
      </c>
      <c r="C22" s="146"/>
      <c r="D22" s="267">
        <f>D20/D17</f>
        <v>2.5000000000000001E-3</v>
      </c>
      <c r="F22" s="148" t="s">
        <v>184</v>
      </c>
      <c r="G22" s="149"/>
      <c r="H22" s="268">
        <f>H20/H17</f>
        <v>4.9800796812749003E-3</v>
      </c>
    </row>
    <row r="23" spans="2:22" s="12" customFormat="1" ht="15" customHeight="1" x14ac:dyDescent="0.3">
      <c r="B23" s="35"/>
      <c r="C23" s="35"/>
      <c r="D23" s="7"/>
      <c r="E23" s="7"/>
    </row>
    <row r="24" spans="2:22" s="12" customFormat="1" ht="15" customHeight="1" x14ac:dyDescent="0.3">
      <c r="B24" s="35"/>
      <c r="C24" s="35"/>
      <c r="D24" s="7"/>
      <c r="E24" s="7"/>
    </row>
    <row r="25" spans="2:22" s="12" customFormat="1" ht="15" customHeight="1" thickBot="1" x14ac:dyDescent="0.35">
      <c r="B25" s="35"/>
      <c r="C25" s="35"/>
      <c r="D25" s="7"/>
      <c r="F25" s="35"/>
      <c r="G25" s="35"/>
      <c r="H25" s="7"/>
      <c r="J25" s="35"/>
      <c r="K25" s="35"/>
      <c r="L25" s="7"/>
      <c r="N25" s="35"/>
      <c r="O25" s="35"/>
      <c r="P25" s="7"/>
      <c r="Q25" s="7"/>
      <c r="R25" s="7"/>
      <c r="S25" s="7"/>
      <c r="T25" s="7"/>
      <c r="U25" s="7"/>
    </row>
    <row r="26" spans="2:22" ht="18.75" customHeight="1" x14ac:dyDescent="0.35">
      <c r="B26" s="168" t="str">
        <f>Summary!L4&amp;"-CAL Working Solution Prep"</f>
        <v>Coc-CAL Working Solution Prep</v>
      </c>
      <c r="C26" s="128"/>
      <c r="D26" s="16"/>
      <c r="E26" s="16"/>
      <c r="F26" s="16"/>
      <c r="G26" s="16"/>
      <c r="H26" s="16"/>
      <c r="I26" s="16"/>
      <c r="J26" s="143"/>
      <c r="K26" s="7"/>
      <c r="L26" s="7"/>
      <c r="M26" s="168" t="str">
        <f>Summary!L4&amp;"-IS Working Solution Prep"</f>
        <v>Coc-IS Working Solution Prep</v>
      </c>
      <c r="N26" s="128"/>
      <c r="O26" s="16"/>
      <c r="P26" s="16"/>
      <c r="Q26" s="16"/>
      <c r="R26" s="16"/>
      <c r="S26" s="16"/>
      <c r="T26" s="16"/>
      <c r="U26" s="143"/>
      <c r="V26" s="12"/>
    </row>
    <row r="27" spans="2:22" ht="15" customHeight="1" thickBot="1" x14ac:dyDescent="0.35">
      <c r="B27" s="133"/>
      <c r="C27" s="7"/>
      <c r="D27" s="7"/>
      <c r="E27" s="7"/>
      <c r="F27" s="7"/>
      <c r="G27" s="7"/>
      <c r="H27" s="7"/>
      <c r="I27" s="7"/>
      <c r="J27" s="21"/>
      <c r="K27" s="7"/>
      <c r="L27" s="7"/>
      <c r="M27" s="133"/>
      <c r="N27" s="7"/>
      <c r="O27" s="7"/>
      <c r="P27" s="7"/>
      <c r="Q27" s="7"/>
      <c r="R27" s="7"/>
      <c r="S27" s="7"/>
      <c r="T27" s="7"/>
      <c r="U27" s="21"/>
      <c r="V27" s="12"/>
    </row>
    <row r="28" spans="2:22" ht="15" customHeight="1" x14ac:dyDescent="0.35">
      <c r="B28" s="744" t="s">
        <v>254</v>
      </c>
      <c r="C28" s="745"/>
      <c r="D28" s="745"/>
      <c r="E28" s="745"/>
      <c r="F28" s="745"/>
      <c r="G28" s="746"/>
      <c r="H28" s="173" t="s">
        <v>188</v>
      </c>
      <c r="I28" s="174"/>
      <c r="J28" s="175"/>
      <c r="K28" s="7"/>
      <c r="L28" s="7"/>
      <c r="M28" s="744" t="s">
        <v>266</v>
      </c>
      <c r="N28" s="745"/>
      <c r="O28" s="745"/>
      <c r="P28" s="745"/>
      <c r="Q28" s="746"/>
      <c r="R28" s="173" t="s">
        <v>190</v>
      </c>
      <c r="S28" s="174"/>
      <c r="T28" s="176"/>
      <c r="U28" s="21"/>
      <c r="V28" s="12"/>
    </row>
    <row r="29" spans="2:22" ht="15" customHeight="1" x14ac:dyDescent="0.3">
      <c r="B29" s="133"/>
      <c r="C29" s="7"/>
      <c r="D29" s="172"/>
      <c r="E29" s="172"/>
      <c r="F29" s="172"/>
      <c r="G29" s="7"/>
      <c r="H29" s="176"/>
      <c r="I29" s="177"/>
      <c r="J29" s="175"/>
      <c r="K29" s="7"/>
      <c r="L29" s="7"/>
      <c r="M29" s="133"/>
      <c r="N29" s="7"/>
      <c r="O29" s="172"/>
      <c r="P29" s="172"/>
      <c r="Q29" s="172"/>
      <c r="R29" s="176"/>
      <c r="S29" s="177"/>
      <c r="T29" s="176"/>
      <c r="U29" s="21"/>
      <c r="V29" s="12"/>
    </row>
    <row r="30" spans="2:22" ht="15" customHeight="1" thickBot="1" x14ac:dyDescent="0.35">
      <c r="B30" s="133"/>
      <c r="C30" s="7"/>
      <c r="D30" s="7"/>
      <c r="E30" s="7"/>
      <c r="F30" s="7"/>
      <c r="G30" s="7"/>
      <c r="H30" s="7"/>
      <c r="I30" s="7"/>
      <c r="J30" s="21"/>
      <c r="K30" s="7"/>
      <c r="L30" s="7"/>
      <c r="M30" s="133"/>
      <c r="N30" s="7"/>
      <c r="O30" s="7"/>
      <c r="P30" s="7"/>
      <c r="Q30" s="7"/>
      <c r="R30" s="7"/>
      <c r="S30" s="7"/>
      <c r="T30" s="7"/>
      <c r="U30" s="21"/>
      <c r="V30" s="12"/>
    </row>
    <row r="31" spans="2:22" ht="15" customHeight="1" x14ac:dyDescent="0.35">
      <c r="B31" s="744" t="s">
        <v>255</v>
      </c>
      <c r="C31" s="745"/>
      <c r="D31" s="745"/>
      <c r="E31" s="745"/>
      <c r="F31" s="745"/>
      <c r="G31" s="746"/>
      <c r="H31" s="173" t="s">
        <v>258</v>
      </c>
      <c r="I31" s="174"/>
      <c r="J31" s="175"/>
      <c r="K31" s="7"/>
      <c r="L31" s="7"/>
      <c r="M31" s="744" t="s">
        <v>189</v>
      </c>
      <c r="N31" s="745"/>
      <c r="O31" s="745"/>
      <c r="P31" s="745"/>
      <c r="Q31" s="746"/>
      <c r="R31" s="173" t="s">
        <v>275</v>
      </c>
      <c r="S31" s="174"/>
      <c r="T31" s="178"/>
      <c r="U31" s="21"/>
      <c r="V31" s="12"/>
    </row>
    <row r="32" spans="2:22" ht="15" customHeight="1" thickBot="1" x14ac:dyDescent="0.35">
      <c r="B32" s="133"/>
      <c r="C32" s="7"/>
      <c r="D32" s="172"/>
      <c r="E32" s="172"/>
      <c r="F32" s="514" t="s">
        <v>264</v>
      </c>
      <c r="H32" s="176"/>
      <c r="I32" s="177"/>
      <c r="J32" s="175"/>
      <c r="K32" s="7"/>
      <c r="L32" s="7"/>
      <c r="M32" s="134"/>
      <c r="N32" s="135"/>
      <c r="O32" s="521"/>
      <c r="P32" s="521"/>
      <c r="Q32" s="521"/>
      <c r="R32" s="522"/>
      <c r="S32" s="523"/>
      <c r="T32" s="522"/>
      <c r="U32" s="136"/>
      <c r="V32" s="12"/>
    </row>
    <row r="33" spans="2:24" ht="15" customHeight="1" thickBot="1" x14ac:dyDescent="0.35">
      <c r="B33" s="133"/>
      <c r="C33" s="7"/>
      <c r="D33" s="172"/>
      <c r="E33" s="172"/>
      <c r="F33" s="172"/>
      <c r="G33" s="7"/>
      <c r="H33" s="176"/>
      <c r="I33" s="177"/>
      <c r="J33" s="175"/>
      <c r="K33" s="7"/>
      <c r="L33" s="7"/>
      <c r="M33" s="16"/>
      <c r="N33" s="16"/>
      <c r="O33" s="524"/>
      <c r="P33" s="524"/>
      <c r="Q33" s="524"/>
      <c r="R33" s="178"/>
      <c r="S33" s="174"/>
      <c r="T33" s="178"/>
      <c r="U33" s="16"/>
      <c r="V33" s="12"/>
    </row>
    <row r="34" spans="2:24" ht="15" customHeight="1" x14ac:dyDescent="0.35">
      <c r="B34" s="744" t="s">
        <v>255</v>
      </c>
      <c r="C34" s="745"/>
      <c r="D34" s="745"/>
      <c r="E34" s="745"/>
      <c r="F34" s="745"/>
      <c r="G34" s="746"/>
      <c r="H34" s="173" t="s">
        <v>257</v>
      </c>
      <c r="I34" s="174"/>
      <c r="J34" s="175"/>
      <c r="K34" s="7"/>
      <c r="L34" s="7"/>
      <c r="M34" s="7"/>
      <c r="N34" s="7"/>
      <c r="O34" s="172"/>
      <c r="P34" s="172"/>
      <c r="Q34" s="172"/>
      <c r="R34" s="176"/>
      <c r="S34" s="177"/>
      <c r="T34" s="176"/>
      <c r="U34" s="7"/>
      <c r="V34" s="12"/>
    </row>
    <row r="35" spans="2:24" ht="15" customHeight="1" x14ac:dyDescent="0.3">
      <c r="B35" s="455"/>
      <c r="C35" s="456"/>
      <c r="D35" s="456"/>
      <c r="E35" s="456"/>
      <c r="F35" s="513" t="s">
        <v>265</v>
      </c>
      <c r="H35" s="176"/>
      <c r="I35" s="177"/>
      <c r="J35" s="175"/>
      <c r="K35" s="7"/>
      <c r="L35" s="7"/>
      <c r="M35" s="7"/>
      <c r="N35" s="7"/>
      <c r="O35" s="172"/>
      <c r="P35" s="172"/>
      <c r="Q35" s="172"/>
      <c r="R35" s="176"/>
      <c r="S35" s="177"/>
      <c r="T35" s="176"/>
      <c r="U35" s="7"/>
      <c r="V35" s="12"/>
    </row>
    <row r="36" spans="2:24" ht="15" customHeight="1" thickBot="1" x14ac:dyDescent="0.35">
      <c r="B36" s="133"/>
      <c r="C36" s="7"/>
      <c r="D36" s="7"/>
      <c r="E36" s="7"/>
      <c r="F36" s="7"/>
      <c r="G36" s="7"/>
      <c r="H36" s="7"/>
      <c r="I36" s="7"/>
      <c r="J36" s="2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12"/>
    </row>
    <row r="37" spans="2:24" ht="15" customHeight="1" x14ac:dyDescent="0.35">
      <c r="B37" s="744" t="s">
        <v>256</v>
      </c>
      <c r="C37" s="745"/>
      <c r="D37" s="745"/>
      <c r="E37" s="745"/>
      <c r="F37" s="745"/>
      <c r="G37" s="746"/>
      <c r="H37" s="173" t="s">
        <v>258</v>
      </c>
      <c r="I37" s="174"/>
      <c r="J37" s="21"/>
      <c r="K37" s="7"/>
      <c r="L37" s="7"/>
      <c r="M37" s="7"/>
      <c r="N37" s="7"/>
      <c r="O37" s="172"/>
      <c r="P37" s="172"/>
      <c r="Q37" s="172"/>
      <c r="R37" s="176"/>
      <c r="S37" s="177"/>
      <c r="T37" s="176"/>
      <c r="U37" s="7"/>
      <c r="V37" s="12"/>
    </row>
    <row r="38" spans="2:24" ht="15" customHeight="1" x14ac:dyDescent="0.3">
      <c r="B38" s="455"/>
      <c r="C38" s="456"/>
      <c r="D38" s="456"/>
      <c r="E38" s="456"/>
      <c r="F38" s="456"/>
      <c r="G38" s="456"/>
      <c r="H38" s="176"/>
      <c r="I38" s="177"/>
      <c r="J38" s="21"/>
      <c r="K38" s="7"/>
      <c r="L38" s="7"/>
      <c r="M38" s="7"/>
      <c r="N38" s="7"/>
      <c r="O38" s="172"/>
      <c r="P38" s="172"/>
      <c r="Q38" s="172"/>
      <c r="R38" s="176"/>
      <c r="S38" s="177"/>
      <c r="T38" s="176"/>
      <c r="U38" s="7"/>
      <c r="V38" s="12"/>
    </row>
    <row r="39" spans="2:24" ht="15" customHeight="1" thickBot="1" x14ac:dyDescent="0.35">
      <c r="B39" s="455"/>
      <c r="C39" s="456"/>
      <c r="D39" s="456"/>
      <c r="E39" s="456"/>
      <c r="F39" s="456"/>
      <c r="G39" s="456"/>
      <c r="H39" s="176"/>
      <c r="I39" s="177"/>
      <c r="J39" s="21"/>
      <c r="K39" s="7"/>
      <c r="L39" s="7"/>
      <c r="M39" s="7"/>
      <c r="N39" s="7"/>
      <c r="O39" s="172"/>
      <c r="P39" s="172"/>
      <c r="Q39" s="172"/>
      <c r="R39" s="176"/>
      <c r="S39" s="177"/>
      <c r="T39" s="176"/>
      <c r="U39" s="7"/>
      <c r="V39" s="12"/>
    </row>
    <row r="40" spans="2:24" ht="15" customHeight="1" x14ac:dyDescent="0.35">
      <c r="B40" s="744" t="s">
        <v>267</v>
      </c>
      <c r="C40" s="745"/>
      <c r="D40" s="745"/>
      <c r="E40" s="745"/>
      <c r="F40" s="745"/>
      <c r="G40" s="746"/>
      <c r="H40" s="173" t="s">
        <v>258</v>
      </c>
      <c r="I40" s="174"/>
      <c r="J40" s="21"/>
      <c r="K40" s="7"/>
      <c r="L40" s="7"/>
      <c r="M40" s="7"/>
      <c r="N40" s="7"/>
      <c r="O40" s="172"/>
      <c r="P40" s="172"/>
      <c r="Q40" s="172"/>
      <c r="R40" s="176"/>
      <c r="S40" s="177"/>
      <c r="T40" s="176"/>
      <c r="U40" s="7"/>
      <c r="V40" s="12"/>
    </row>
    <row r="41" spans="2:24" ht="15" customHeight="1" x14ac:dyDescent="0.3">
      <c r="B41" s="455"/>
      <c r="C41" s="456"/>
      <c r="D41" s="456"/>
      <c r="E41" s="456"/>
      <c r="F41" s="456"/>
      <c r="G41" s="456"/>
      <c r="H41" s="176"/>
      <c r="I41" s="177"/>
      <c r="J41" s="21"/>
      <c r="K41" s="7"/>
      <c r="L41" s="7"/>
      <c r="M41" s="7"/>
      <c r="N41" s="7"/>
      <c r="O41" s="172"/>
      <c r="P41" s="172"/>
      <c r="Q41" s="172"/>
      <c r="R41" s="176"/>
      <c r="S41" s="177"/>
      <c r="T41" s="176"/>
      <c r="U41" s="7"/>
      <c r="V41" s="12"/>
    </row>
    <row r="42" spans="2:24" ht="15" customHeight="1" thickBot="1" x14ac:dyDescent="0.35">
      <c r="B42" s="455"/>
      <c r="C42" s="456"/>
      <c r="D42" s="456"/>
      <c r="E42" s="456"/>
      <c r="F42" s="456"/>
      <c r="G42" s="456"/>
      <c r="H42" s="176"/>
      <c r="I42" s="177"/>
      <c r="J42" s="21"/>
      <c r="K42" s="7"/>
      <c r="L42" s="7"/>
      <c r="M42" s="7"/>
      <c r="N42" s="7"/>
      <c r="O42" s="172"/>
      <c r="P42" s="172"/>
      <c r="Q42" s="172"/>
      <c r="R42" s="176"/>
      <c r="S42" s="177"/>
      <c r="T42" s="176"/>
      <c r="U42" s="7"/>
      <c r="V42" s="12"/>
    </row>
    <row r="43" spans="2:24" ht="15" customHeight="1" x14ac:dyDescent="0.35">
      <c r="B43" s="744" t="s">
        <v>276</v>
      </c>
      <c r="C43" s="745"/>
      <c r="D43" s="745"/>
      <c r="E43" s="745"/>
      <c r="F43" s="745"/>
      <c r="G43" s="746"/>
      <c r="H43" s="173" t="s">
        <v>278</v>
      </c>
      <c r="I43" s="174"/>
      <c r="J43" s="21"/>
      <c r="K43" s="7"/>
      <c r="L43" s="7"/>
      <c r="M43" s="7"/>
      <c r="N43" s="7"/>
      <c r="O43" s="172"/>
      <c r="P43" s="172"/>
      <c r="Q43" s="172"/>
      <c r="R43" s="176"/>
      <c r="S43" s="177"/>
      <c r="T43" s="176"/>
      <c r="U43" s="7"/>
      <c r="V43" s="12"/>
    </row>
    <row r="44" spans="2:24" ht="15" customHeight="1" thickBot="1" x14ac:dyDescent="0.35">
      <c r="B44" s="134"/>
      <c r="C44" s="135"/>
      <c r="D44" s="135"/>
      <c r="E44" s="135"/>
      <c r="F44" s="135"/>
      <c r="G44" s="135"/>
      <c r="H44" s="135"/>
      <c r="I44" s="135"/>
      <c r="J44" s="13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12"/>
    </row>
    <row r="45" spans="2:24" ht="15" customHeight="1" x14ac:dyDescent="0.3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7"/>
      <c r="M45" s="7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2:24" ht="15" customHeight="1" x14ac:dyDescent="0.3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7"/>
      <c r="M46" s="7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spans="2:24" ht="15" customHeight="1" x14ac:dyDescent="0.35">
      <c r="B47" s="526" t="s">
        <v>277</v>
      </c>
      <c r="C47" s="26"/>
      <c r="D47" s="26"/>
      <c r="G47" s="26"/>
      <c r="H47" s="26"/>
      <c r="I47" s="26"/>
      <c r="J47" s="26"/>
      <c r="K47" s="26"/>
      <c r="L47" s="7"/>
      <c r="M47" s="7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2:24" ht="15" customHeight="1" thickBot="1" x14ac:dyDescent="0.4">
      <c r="B48" s="525"/>
      <c r="C48" s="26"/>
      <c r="D48" s="26"/>
      <c r="E48" s="520" t="s">
        <v>280</v>
      </c>
      <c r="F48" s="520" t="s">
        <v>281</v>
      </c>
      <c r="G48" s="26"/>
      <c r="H48" s="26"/>
      <c r="I48" s="26"/>
      <c r="J48" s="26"/>
      <c r="K48" s="26"/>
      <c r="L48" s="7"/>
      <c r="M48" s="7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2:21" s="12" customFormat="1" ht="18" customHeight="1" thickBot="1" x14ac:dyDescent="0.35">
      <c r="B49" s="110" t="s">
        <v>102</v>
      </c>
      <c r="C49" s="111"/>
      <c r="D49" s="108" t="s">
        <v>259</v>
      </c>
      <c r="E49" s="108" t="s">
        <v>260</v>
      </c>
      <c r="F49" s="108" t="s">
        <v>260</v>
      </c>
      <c r="G49" s="108" t="s">
        <v>261</v>
      </c>
      <c r="H49" s="109" t="s">
        <v>262</v>
      </c>
      <c r="I49" s="47"/>
      <c r="J49" s="47"/>
      <c r="K49" s="131" t="s">
        <v>92</v>
      </c>
      <c r="L49" s="108" t="s">
        <v>93</v>
      </c>
      <c r="M49" s="108" t="s">
        <v>94</v>
      </c>
      <c r="N49" s="108" t="s">
        <v>95</v>
      </c>
      <c r="O49" s="108" t="s">
        <v>96</v>
      </c>
      <c r="P49" s="108" t="s">
        <v>97</v>
      </c>
      <c r="Q49" s="108" t="s">
        <v>98</v>
      </c>
      <c r="R49" s="109" t="s">
        <v>99</v>
      </c>
      <c r="S49" s="47"/>
      <c r="T49" s="131" t="s">
        <v>295</v>
      </c>
      <c r="U49" s="109" t="s">
        <v>100</v>
      </c>
    </row>
    <row r="50" spans="2:21" s="12" customFormat="1" ht="15" customHeight="1" x14ac:dyDescent="0.3">
      <c r="B50" s="137" t="s">
        <v>86</v>
      </c>
      <c r="C50" s="138"/>
      <c r="D50" s="204"/>
      <c r="E50" s="204"/>
      <c r="F50" s="204"/>
      <c r="G50" s="204"/>
      <c r="H50" s="208"/>
      <c r="I50" s="47"/>
      <c r="J50" s="47"/>
      <c r="K50" s="515"/>
      <c r="L50" s="204"/>
      <c r="M50" s="204"/>
      <c r="N50" s="204"/>
      <c r="O50" s="204"/>
      <c r="P50" s="204"/>
      <c r="Q50" s="204"/>
      <c r="R50" s="208"/>
      <c r="S50" s="7"/>
      <c r="T50" s="515"/>
      <c r="U50" s="208"/>
    </row>
    <row r="51" spans="2:21" s="12" customFormat="1" ht="15" customHeight="1" x14ac:dyDescent="0.3">
      <c r="B51" s="124" t="s">
        <v>87</v>
      </c>
      <c r="C51" s="100"/>
      <c r="D51" s="204"/>
      <c r="E51" s="204"/>
      <c r="F51" s="204"/>
      <c r="G51" s="204"/>
      <c r="H51" s="208"/>
      <c r="I51" s="47"/>
      <c r="J51" s="47"/>
      <c r="K51" s="515"/>
      <c r="L51" s="204"/>
      <c r="M51" s="204"/>
      <c r="N51" s="204"/>
      <c r="O51" s="204"/>
      <c r="P51" s="204"/>
      <c r="Q51" s="204"/>
      <c r="R51" s="208"/>
      <c r="S51" s="7"/>
      <c r="T51" s="515"/>
      <c r="U51" s="208">
        <v>1</v>
      </c>
    </row>
    <row r="52" spans="2:21" s="12" customFormat="1" ht="15" customHeight="1" x14ac:dyDescent="0.3">
      <c r="B52" s="124" t="s">
        <v>88</v>
      </c>
      <c r="C52" s="125"/>
      <c r="D52" s="204"/>
      <c r="E52" s="204"/>
      <c r="F52" s="204"/>
      <c r="G52" s="204"/>
      <c r="H52" s="208"/>
      <c r="I52" s="47"/>
      <c r="J52" s="47"/>
      <c r="K52" s="515">
        <v>1</v>
      </c>
      <c r="L52" s="204"/>
      <c r="M52" s="204"/>
      <c r="N52" s="204"/>
      <c r="O52" s="204"/>
      <c r="P52" s="204"/>
      <c r="Q52" s="204"/>
      <c r="R52" s="208"/>
      <c r="S52" s="7"/>
      <c r="T52" s="515"/>
      <c r="U52" s="208"/>
    </row>
    <row r="53" spans="2:21" s="12" customFormat="1" ht="15" customHeight="1" x14ac:dyDescent="0.3">
      <c r="B53" s="124" t="s">
        <v>89</v>
      </c>
      <c r="C53" s="125"/>
      <c r="D53" s="204"/>
      <c r="E53" s="204"/>
      <c r="F53" s="204"/>
      <c r="G53" s="204"/>
      <c r="H53" s="208"/>
      <c r="I53" s="47"/>
      <c r="J53" s="47"/>
      <c r="K53" s="515"/>
      <c r="L53" s="204">
        <v>1</v>
      </c>
      <c r="M53" s="204"/>
      <c r="N53" s="204"/>
      <c r="O53" s="204">
        <v>1</v>
      </c>
      <c r="P53" s="204"/>
      <c r="Q53" s="204"/>
      <c r="R53" s="208">
        <v>1</v>
      </c>
      <c r="S53" s="7"/>
      <c r="T53" s="515"/>
      <c r="U53" s="208"/>
    </row>
    <row r="54" spans="2:21" s="12" customFormat="1" ht="15" customHeight="1" x14ac:dyDescent="0.3">
      <c r="B54" s="124" t="s">
        <v>90</v>
      </c>
      <c r="C54" s="125"/>
      <c r="D54" s="204">
        <v>1</v>
      </c>
      <c r="E54" s="204"/>
      <c r="F54" s="204">
        <v>1</v>
      </c>
      <c r="G54" s="204"/>
      <c r="H54" s="208"/>
      <c r="I54" s="47"/>
      <c r="J54" s="47"/>
      <c r="K54" s="515"/>
      <c r="L54" s="204"/>
      <c r="M54" s="204">
        <v>2</v>
      </c>
      <c r="N54" s="204">
        <v>3</v>
      </c>
      <c r="O54" s="204">
        <v>4</v>
      </c>
      <c r="P54" s="204">
        <v>1</v>
      </c>
      <c r="Q54" s="204">
        <v>2</v>
      </c>
      <c r="R54" s="208">
        <v>1</v>
      </c>
      <c r="S54" s="7"/>
      <c r="T54" s="515"/>
      <c r="U54" s="208"/>
    </row>
    <row r="55" spans="2:21" s="12" customFormat="1" ht="15" customHeight="1" x14ac:dyDescent="0.3">
      <c r="B55" s="124" t="s">
        <v>91</v>
      </c>
      <c r="C55" s="125"/>
      <c r="D55" s="204">
        <v>2</v>
      </c>
      <c r="E55" s="204"/>
      <c r="F55" s="204">
        <v>3</v>
      </c>
      <c r="G55" s="204"/>
      <c r="H55" s="208"/>
      <c r="I55" s="47"/>
      <c r="J55" s="47"/>
      <c r="K55" s="515">
        <v>3</v>
      </c>
      <c r="L55" s="204">
        <v>3</v>
      </c>
      <c r="M55" s="204">
        <v>3</v>
      </c>
      <c r="N55" s="204">
        <v>2</v>
      </c>
      <c r="O55" s="204">
        <v>2</v>
      </c>
      <c r="P55" s="204">
        <v>3</v>
      </c>
      <c r="Q55" s="204">
        <v>2</v>
      </c>
      <c r="R55" s="208">
        <v>2</v>
      </c>
      <c r="S55" s="7"/>
      <c r="T55" s="515"/>
      <c r="U55" s="208"/>
    </row>
    <row r="56" spans="2:21" s="12" customFormat="1" ht="15" customHeight="1" thickBot="1" x14ac:dyDescent="0.35">
      <c r="B56" s="139" t="s">
        <v>101</v>
      </c>
      <c r="C56" s="140"/>
      <c r="D56" s="209"/>
      <c r="E56" s="209"/>
      <c r="F56" s="209"/>
      <c r="G56" s="209"/>
      <c r="H56" s="210"/>
      <c r="I56" s="47"/>
      <c r="J56" s="47"/>
      <c r="K56" s="516"/>
      <c r="L56" s="209"/>
      <c r="M56" s="209"/>
      <c r="N56" s="209"/>
      <c r="O56" s="209"/>
      <c r="P56" s="209"/>
      <c r="Q56" s="209"/>
      <c r="R56" s="210"/>
      <c r="T56" s="516"/>
      <c r="U56" s="210">
        <v>1</v>
      </c>
    </row>
    <row r="57" spans="2:21" s="12" customFormat="1" ht="15" customHeight="1" x14ac:dyDescent="0.3">
      <c r="B57" s="116"/>
      <c r="C57" s="116"/>
      <c r="D57" s="20"/>
      <c r="E57" s="253"/>
      <c r="F57" s="20"/>
      <c r="G57" s="253"/>
      <c r="H57" s="47"/>
      <c r="I57" s="47"/>
      <c r="J57" s="527" t="s">
        <v>259</v>
      </c>
      <c r="K57" s="517"/>
      <c r="L57" s="518"/>
      <c r="M57" s="518"/>
      <c r="N57" s="518"/>
      <c r="O57" s="518"/>
      <c r="P57" s="518">
        <v>1</v>
      </c>
      <c r="Q57" s="518">
        <v>1</v>
      </c>
      <c r="R57" s="519">
        <v>1</v>
      </c>
      <c r="T57" s="527" t="s">
        <v>295</v>
      </c>
      <c r="U57" s="114"/>
    </row>
    <row r="58" spans="2:21" s="12" customFormat="1" ht="15" customHeight="1" thickBot="1" x14ac:dyDescent="0.35">
      <c r="B58" s="116"/>
      <c r="C58" s="116"/>
      <c r="D58" s="20"/>
      <c r="E58" s="253"/>
      <c r="F58" s="20"/>
      <c r="G58" s="253"/>
      <c r="H58" s="47"/>
      <c r="I58" s="47"/>
      <c r="J58" s="528" t="s">
        <v>294</v>
      </c>
      <c r="K58" s="515"/>
      <c r="L58" s="204"/>
      <c r="M58" s="204"/>
      <c r="N58" s="204"/>
      <c r="O58" s="204"/>
      <c r="P58" s="204"/>
      <c r="Q58" s="204"/>
      <c r="R58" s="208"/>
      <c r="T58" s="529" t="s">
        <v>103</v>
      </c>
      <c r="U58" s="122">
        <v>1</v>
      </c>
    </row>
    <row r="59" spans="2:21" s="12" customFormat="1" ht="15" customHeight="1" x14ac:dyDescent="0.3">
      <c r="B59" s="116"/>
      <c r="C59" s="116"/>
      <c r="D59" s="253"/>
      <c r="E59" s="253"/>
      <c r="F59" s="253"/>
      <c r="G59" s="253"/>
      <c r="H59" s="456"/>
      <c r="I59" s="456"/>
      <c r="J59" s="528" t="s">
        <v>293</v>
      </c>
      <c r="K59" s="515">
        <v>1</v>
      </c>
      <c r="L59" s="204">
        <v>1</v>
      </c>
      <c r="M59" s="204">
        <v>1</v>
      </c>
      <c r="N59" s="204">
        <v>1</v>
      </c>
      <c r="O59" s="204">
        <v>1</v>
      </c>
      <c r="P59" s="204"/>
      <c r="Q59" s="204"/>
      <c r="R59" s="208"/>
    </row>
    <row r="60" spans="2:21" s="12" customFormat="1" ht="15" customHeight="1" x14ac:dyDescent="0.3">
      <c r="B60" s="116"/>
      <c r="C60" s="116"/>
      <c r="D60" s="20"/>
      <c r="E60" s="253"/>
      <c r="F60" s="20"/>
      <c r="G60" s="253"/>
      <c r="H60" s="47"/>
      <c r="I60" s="47"/>
      <c r="J60" s="528" t="s">
        <v>261</v>
      </c>
      <c r="K60" s="515"/>
      <c r="L60" s="204"/>
      <c r="M60" s="204"/>
      <c r="N60" s="204"/>
      <c r="O60" s="204"/>
      <c r="P60" s="204"/>
      <c r="Q60" s="204"/>
      <c r="R60" s="208"/>
    </row>
    <row r="61" spans="2:21" s="12" customFormat="1" ht="15" customHeight="1" x14ac:dyDescent="0.3">
      <c r="B61" s="116"/>
      <c r="C61" s="116"/>
      <c r="D61" s="253"/>
      <c r="E61" s="253"/>
      <c r="F61" s="253"/>
      <c r="G61" s="253"/>
      <c r="H61" s="456"/>
      <c r="I61" s="456"/>
      <c r="J61" s="528" t="s">
        <v>262</v>
      </c>
      <c r="K61" s="515"/>
      <c r="L61" s="204"/>
      <c r="M61" s="204"/>
      <c r="N61" s="204"/>
      <c r="O61" s="204"/>
      <c r="P61" s="204"/>
      <c r="Q61" s="204"/>
      <c r="R61" s="208"/>
    </row>
    <row r="62" spans="2:21" s="12" customFormat="1" ht="15" customHeight="1" thickBot="1" x14ac:dyDescent="0.35">
      <c r="B62" s="116"/>
      <c r="C62" s="116"/>
      <c r="D62" s="253"/>
      <c r="E62" s="253"/>
      <c r="F62" s="253"/>
      <c r="G62" s="253"/>
      <c r="H62" s="456"/>
      <c r="I62" s="456"/>
      <c r="J62" s="529" t="s">
        <v>103</v>
      </c>
      <c r="K62" s="410"/>
      <c r="L62" s="411"/>
      <c r="M62" s="411"/>
      <c r="N62" s="411"/>
      <c r="O62" s="411"/>
      <c r="P62" s="411"/>
      <c r="Q62" s="411"/>
      <c r="R62" s="415"/>
    </row>
    <row r="63" spans="2:21" s="12" customFormat="1" ht="15" customHeight="1" x14ac:dyDescent="0.3">
      <c r="B63" s="116"/>
      <c r="C63" s="116"/>
      <c r="D63" s="20"/>
      <c r="E63" s="20"/>
      <c r="F63" s="47"/>
      <c r="G63" s="47"/>
      <c r="H63" s="7"/>
    </row>
    <row r="64" spans="2:21" s="12" customFormat="1" ht="15" customHeight="1" thickBot="1" x14ac:dyDescent="0.35">
      <c r="B64" s="47"/>
      <c r="C64" s="35"/>
      <c r="D64" s="20"/>
      <c r="E64" s="14"/>
      <c r="F64" s="47"/>
      <c r="G64" s="47"/>
      <c r="H64" s="20"/>
      <c r="I64" s="14"/>
      <c r="J64" s="47"/>
      <c r="K64" s="47"/>
      <c r="L64" s="20"/>
      <c r="M64" s="14"/>
      <c r="N64" s="47"/>
      <c r="O64" s="47"/>
      <c r="P64" s="20"/>
      <c r="Q64" s="20"/>
      <c r="R64" s="20"/>
      <c r="S64" s="20"/>
      <c r="T64" s="20"/>
      <c r="U64" s="7"/>
    </row>
    <row r="65" spans="2:25" s="12" customFormat="1" ht="18" customHeight="1" thickBot="1" x14ac:dyDescent="0.35">
      <c r="B65" s="110" t="s">
        <v>268</v>
      </c>
      <c r="C65" s="129"/>
      <c r="D65" s="130"/>
      <c r="E65" s="14"/>
      <c r="F65" s="110" t="s">
        <v>282</v>
      </c>
      <c r="G65" s="129"/>
      <c r="H65" s="130"/>
      <c r="I65" s="14"/>
      <c r="J65" s="110" t="s">
        <v>283</v>
      </c>
      <c r="K65" s="129"/>
      <c r="L65" s="130"/>
      <c r="M65" s="251"/>
      <c r="N65" s="110" t="s">
        <v>269</v>
      </c>
      <c r="O65" s="129"/>
      <c r="P65" s="130"/>
      <c r="Q65" s="14"/>
      <c r="R65" s="110" t="s">
        <v>279</v>
      </c>
      <c r="S65" s="129"/>
      <c r="T65" s="130"/>
      <c r="U65" s="251"/>
      <c r="Y65" s="20"/>
    </row>
    <row r="66" spans="2:25" s="12" customFormat="1" ht="15" customHeight="1" x14ac:dyDescent="0.3">
      <c r="B66" s="287" t="s">
        <v>19</v>
      </c>
      <c r="C66" s="288"/>
      <c r="D66" s="289" t="s">
        <v>20</v>
      </c>
      <c r="E66" s="14"/>
      <c r="F66" s="287" t="s">
        <v>19</v>
      </c>
      <c r="G66" s="288"/>
      <c r="H66" s="289" t="s">
        <v>20</v>
      </c>
      <c r="I66" s="14"/>
      <c r="J66" s="287" t="s">
        <v>19</v>
      </c>
      <c r="K66" s="288"/>
      <c r="L66" s="453" t="s">
        <v>20</v>
      </c>
      <c r="M66" s="251"/>
      <c r="N66" s="287" t="s">
        <v>19</v>
      </c>
      <c r="O66" s="288"/>
      <c r="P66" s="289" t="s">
        <v>20</v>
      </c>
      <c r="Q66" s="14"/>
      <c r="R66" s="287" t="s">
        <v>19</v>
      </c>
      <c r="S66" s="288"/>
      <c r="T66" s="453" t="s">
        <v>20</v>
      </c>
      <c r="U66" s="251"/>
      <c r="Y66" s="20"/>
    </row>
    <row r="67" spans="2:25" s="12" customFormat="1" ht="15" customHeight="1" x14ac:dyDescent="0.35">
      <c r="B67" s="434" t="s">
        <v>181</v>
      </c>
      <c r="C67" s="113"/>
      <c r="D67" s="117">
        <f>$D$21</f>
        <v>6.2500000000000003E-6</v>
      </c>
      <c r="E67" s="14"/>
      <c r="F67" s="434" t="s">
        <v>181</v>
      </c>
      <c r="G67" s="113"/>
      <c r="H67" s="117">
        <f>$D$21</f>
        <v>6.2500000000000003E-6</v>
      </c>
      <c r="I67" s="14"/>
      <c r="J67" s="156" t="s">
        <v>274</v>
      </c>
      <c r="K67" s="113"/>
      <c r="L67" s="117">
        <f>D75</f>
        <v>4.579E-5</v>
      </c>
      <c r="M67" s="251"/>
      <c r="N67" s="434" t="s">
        <v>181</v>
      </c>
      <c r="O67" s="113"/>
      <c r="P67" s="117">
        <f>$D$21</f>
        <v>6.2500000000000003E-6</v>
      </c>
      <c r="Q67" s="14"/>
      <c r="R67" s="434" t="s">
        <v>181</v>
      </c>
      <c r="S67" s="113"/>
      <c r="T67" s="117">
        <f>$D$21</f>
        <v>6.2500000000000003E-6</v>
      </c>
      <c r="U67" s="251"/>
      <c r="Y67" s="20"/>
    </row>
    <row r="68" spans="2:25" s="12" customFormat="1" ht="15" customHeight="1" x14ac:dyDescent="0.35">
      <c r="B68" s="156" t="s">
        <v>191</v>
      </c>
      <c r="C68" s="113"/>
      <c r="D68" s="117">
        <f>D50*$D$10</f>
        <v>0</v>
      </c>
      <c r="E68" s="14"/>
      <c r="F68" s="156" t="s">
        <v>191</v>
      </c>
      <c r="G68" s="113"/>
      <c r="H68" s="117">
        <f>E50*$D$10</f>
        <v>0</v>
      </c>
      <c r="I68" s="14"/>
      <c r="J68" s="156" t="s">
        <v>191</v>
      </c>
      <c r="K68" s="113"/>
      <c r="L68" s="117">
        <f>F50*$D$10</f>
        <v>0</v>
      </c>
      <c r="M68" s="251"/>
      <c r="N68" s="156" t="s">
        <v>191</v>
      </c>
      <c r="O68" s="113"/>
      <c r="P68" s="117">
        <f>G50*$D$10</f>
        <v>0</v>
      </c>
      <c r="Q68" s="14"/>
      <c r="R68" s="156" t="s">
        <v>191</v>
      </c>
      <c r="S68" s="113"/>
      <c r="T68" s="117">
        <f>H50*$D$10</f>
        <v>0</v>
      </c>
      <c r="U68" s="251"/>
      <c r="Y68" s="20"/>
    </row>
    <row r="69" spans="2:25" s="12" customFormat="1" ht="15" customHeight="1" x14ac:dyDescent="0.35">
      <c r="B69" s="434" t="s">
        <v>192</v>
      </c>
      <c r="C69" s="113"/>
      <c r="D69" s="117">
        <f>D51*$E$10</f>
        <v>0</v>
      </c>
      <c r="E69" s="14"/>
      <c r="F69" s="434" t="s">
        <v>192</v>
      </c>
      <c r="G69" s="113"/>
      <c r="H69" s="117">
        <f>E51*$E$10</f>
        <v>0</v>
      </c>
      <c r="I69" s="14"/>
      <c r="J69" s="434" t="s">
        <v>192</v>
      </c>
      <c r="K69" s="113"/>
      <c r="L69" s="117">
        <f>F51*$E$10</f>
        <v>0</v>
      </c>
      <c r="M69" s="251"/>
      <c r="N69" s="434" t="s">
        <v>192</v>
      </c>
      <c r="O69" s="113"/>
      <c r="P69" s="117">
        <f>G51*$E$10</f>
        <v>0</v>
      </c>
      <c r="Q69" s="14"/>
      <c r="R69" s="434" t="s">
        <v>192</v>
      </c>
      <c r="S69" s="113"/>
      <c r="T69" s="117">
        <f>H51*$E$10</f>
        <v>0</v>
      </c>
      <c r="U69" s="251"/>
      <c r="Y69" s="20"/>
    </row>
    <row r="70" spans="2:25" s="12" customFormat="1" ht="15" customHeight="1" x14ac:dyDescent="0.35">
      <c r="B70" s="156" t="s">
        <v>193</v>
      </c>
      <c r="C70" s="113"/>
      <c r="D70" s="117">
        <f>D52*$F$10</f>
        <v>0</v>
      </c>
      <c r="E70" s="14"/>
      <c r="F70" s="156" t="s">
        <v>193</v>
      </c>
      <c r="G70" s="113"/>
      <c r="H70" s="117">
        <f>E52*$F$10</f>
        <v>0</v>
      </c>
      <c r="I70" s="14"/>
      <c r="J70" s="156" t="s">
        <v>193</v>
      </c>
      <c r="K70" s="113"/>
      <c r="L70" s="117">
        <f>F52*$F$10</f>
        <v>0</v>
      </c>
      <c r="M70" s="251"/>
      <c r="N70" s="156" t="s">
        <v>193</v>
      </c>
      <c r="O70" s="113"/>
      <c r="P70" s="117">
        <f>G52*$F$10</f>
        <v>0</v>
      </c>
      <c r="Q70" s="14"/>
      <c r="R70" s="156" t="s">
        <v>193</v>
      </c>
      <c r="S70" s="113"/>
      <c r="T70" s="117">
        <f>H52*$F$10</f>
        <v>0</v>
      </c>
      <c r="U70" s="251"/>
      <c r="Y70" s="20"/>
    </row>
    <row r="71" spans="2:25" s="12" customFormat="1" ht="15" customHeight="1" x14ac:dyDescent="0.35">
      <c r="B71" s="156" t="s">
        <v>194</v>
      </c>
      <c r="C71" s="113"/>
      <c r="D71" s="117">
        <f>D53*$G$10</f>
        <v>0</v>
      </c>
      <c r="E71" s="14"/>
      <c r="F71" s="156" t="s">
        <v>194</v>
      </c>
      <c r="G71" s="113"/>
      <c r="H71" s="117">
        <f>E53*$G$10</f>
        <v>0</v>
      </c>
      <c r="I71" s="14"/>
      <c r="J71" s="156" t="s">
        <v>194</v>
      </c>
      <c r="K71" s="113"/>
      <c r="L71" s="117">
        <f>F53*$G$10</f>
        <v>0</v>
      </c>
      <c r="M71" s="251"/>
      <c r="N71" s="156" t="s">
        <v>194</v>
      </c>
      <c r="O71" s="113"/>
      <c r="P71" s="117">
        <f>G53*$G$10</f>
        <v>0</v>
      </c>
      <c r="Q71" s="14"/>
      <c r="R71" s="156" t="s">
        <v>194</v>
      </c>
      <c r="S71" s="113"/>
      <c r="T71" s="117">
        <f>H53*$G$10</f>
        <v>0</v>
      </c>
      <c r="U71" s="251"/>
      <c r="Y71" s="20"/>
    </row>
    <row r="72" spans="2:25" s="12" customFormat="1" ht="15" customHeight="1" x14ac:dyDescent="0.35">
      <c r="B72" s="156" t="s">
        <v>195</v>
      </c>
      <c r="C72" s="113"/>
      <c r="D72" s="117">
        <f>D54*$H$10</f>
        <v>2.7039999999999999E-5</v>
      </c>
      <c r="E72" s="14"/>
      <c r="F72" s="156" t="s">
        <v>195</v>
      </c>
      <c r="G72" s="113"/>
      <c r="H72" s="117">
        <f>E54*$H$10</f>
        <v>0</v>
      </c>
      <c r="I72" s="14"/>
      <c r="J72" s="156" t="s">
        <v>195</v>
      </c>
      <c r="K72" s="113"/>
      <c r="L72" s="117">
        <f>F54*$H$10</f>
        <v>2.7039999999999999E-5</v>
      </c>
      <c r="M72" s="251"/>
      <c r="N72" s="156" t="s">
        <v>195</v>
      </c>
      <c r="O72" s="113"/>
      <c r="P72" s="117">
        <f>G54*$H$10</f>
        <v>0</v>
      </c>
      <c r="Q72" s="14"/>
      <c r="R72" s="156" t="s">
        <v>195</v>
      </c>
      <c r="S72" s="113"/>
      <c r="T72" s="117">
        <f>H54*$H$10</f>
        <v>0</v>
      </c>
      <c r="U72" s="251"/>
      <c r="Y72" s="20"/>
    </row>
    <row r="73" spans="2:25" s="12" customFormat="1" ht="15" customHeight="1" x14ac:dyDescent="0.35">
      <c r="B73" s="156" t="s">
        <v>196</v>
      </c>
      <c r="C73" s="113"/>
      <c r="D73" s="117">
        <f>D55*$I$10</f>
        <v>1.2500000000000001E-5</v>
      </c>
      <c r="E73" s="14"/>
      <c r="F73" s="156" t="s">
        <v>196</v>
      </c>
      <c r="G73" s="113"/>
      <c r="H73" s="117">
        <f>E55*$I$10</f>
        <v>0</v>
      </c>
      <c r="I73" s="14"/>
      <c r="J73" s="156" t="s">
        <v>196</v>
      </c>
      <c r="K73" s="113"/>
      <c r="L73" s="117">
        <f>F55*$I$10</f>
        <v>1.8750000000000002E-5</v>
      </c>
      <c r="M73" s="251"/>
      <c r="N73" s="156" t="s">
        <v>196</v>
      </c>
      <c r="O73" s="113"/>
      <c r="P73" s="117">
        <f>G55*$I$10</f>
        <v>0</v>
      </c>
      <c r="Q73" s="14"/>
      <c r="R73" s="156" t="s">
        <v>196</v>
      </c>
      <c r="S73" s="113"/>
      <c r="T73" s="117">
        <f>H55*$I$10</f>
        <v>0</v>
      </c>
      <c r="U73" s="251"/>
      <c r="Y73" s="20"/>
    </row>
    <row r="74" spans="2:25" s="12" customFormat="1" ht="15" customHeight="1" thickBot="1" x14ac:dyDescent="0.4">
      <c r="B74" s="156" t="s">
        <v>187</v>
      </c>
      <c r="C74" s="113"/>
      <c r="D74" s="117">
        <f>D56*$M$10</f>
        <v>0</v>
      </c>
      <c r="E74" s="14"/>
      <c r="F74" s="156" t="s">
        <v>187</v>
      </c>
      <c r="G74" s="113"/>
      <c r="H74" s="117">
        <f>F56*$M$10</f>
        <v>0</v>
      </c>
      <c r="I74" s="14"/>
      <c r="J74" s="156" t="s">
        <v>187</v>
      </c>
      <c r="K74" s="113"/>
      <c r="L74" s="117">
        <f>F56*$M$10</f>
        <v>0</v>
      </c>
      <c r="M74" s="251"/>
      <c r="N74" s="156" t="s">
        <v>187</v>
      </c>
      <c r="O74" s="113"/>
      <c r="P74" s="117">
        <f>G56*$M$10</f>
        <v>0</v>
      </c>
      <c r="Q74" s="14"/>
      <c r="R74" s="156" t="s">
        <v>187</v>
      </c>
      <c r="S74" s="113"/>
      <c r="T74" s="117">
        <f>H56*$M$10</f>
        <v>0</v>
      </c>
      <c r="U74" s="251"/>
      <c r="Y74" s="20"/>
    </row>
    <row r="75" spans="2:25" s="275" customFormat="1" ht="18" customHeight="1" thickBot="1" x14ac:dyDescent="0.4">
      <c r="B75" s="276" t="s">
        <v>274</v>
      </c>
      <c r="C75" s="271"/>
      <c r="D75" s="271">
        <f>SUM(D67:D74)</f>
        <v>4.579E-5</v>
      </c>
      <c r="E75" s="277"/>
      <c r="F75" s="276" t="s">
        <v>273</v>
      </c>
      <c r="G75" s="271"/>
      <c r="H75" s="272">
        <f>SUM(H67:H74)</f>
        <v>6.2500000000000003E-6</v>
      </c>
      <c r="I75" s="277"/>
      <c r="J75" s="276" t="s">
        <v>273</v>
      </c>
      <c r="K75" s="271"/>
      <c r="L75" s="272">
        <f>SUM(L67:L74)</f>
        <v>9.1579999999999987E-5</v>
      </c>
      <c r="M75" s="277"/>
      <c r="N75" s="276" t="s">
        <v>272</v>
      </c>
      <c r="O75" s="271"/>
      <c r="P75" s="272">
        <f>SUM(P67:P74)</f>
        <v>6.2500000000000003E-6</v>
      </c>
      <c r="Q75" s="277"/>
      <c r="R75" s="276" t="s">
        <v>271</v>
      </c>
      <c r="S75" s="271"/>
      <c r="T75" s="272">
        <f>SUM(T67:T74)</f>
        <v>6.2500000000000003E-6</v>
      </c>
      <c r="U75" s="277"/>
      <c r="Y75" s="204"/>
    </row>
    <row r="76" spans="2:25" s="22" customFormat="1" ht="18" customHeight="1" thickBot="1" x14ac:dyDescent="0.35">
      <c r="B76" s="145" t="s">
        <v>284</v>
      </c>
      <c r="C76" s="146"/>
      <c r="D76" s="146">
        <f>SQRT(D75)</f>
        <v>6.7668308682868675E-3</v>
      </c>
      <c r="E76" s="245"/>
      <c r="F76" s="145" t="s">
        <v>285</v>
      </c>
      <c r="G76" s="146"/>
      <c r="H76" s="267">
        <f>SQRT(H75)</f>
        <v>2.5000000000000001E-3</v>
      </c>
      <c r="I76" s="245"/>
      <c r="J76" s="145" t="s">
        <v>285</v>
      </c>
      <c r="K76" s="146"/>
      <c r="L76" s="267">
        <f>SQRT(L75)</f>
        <v>9.5697439882161933E-3</v>
      </c>
      <c r="M76" s="252"/>
      <c r="N76" s="145" t="s">
        <v>286</v>
      </c>
      <c r="O76" s="146"/>
      <c r="P76" s="146">
        <f>SQRT(P75)</f>
        <v>2.5000000000000001E-3</v>
      </c>
      <c r="Q76" s="245"/>
      <c r="R76" s="145" t="s">
        <v>290</v>
      </c>
      <c r="S76" s="146"/>
      <c r="T76" s="146">
        <f>SQRT(T75)</f>
        <v>2.5000000000000001E-3</v>
      </c>
      <c r="U76" s="252"/>
      <c r="Y76" s="246"/>
    </row>
    <row r="77" spans="2:25" s="12" customFormat="1" ht="15" customHeight="1" x14ac:dyDescent="0.3">
      <c r="B77" s="126"/>
      <c r="C77" s="35"/>
      <c r="D77" s="20"/>
      <c r="E77" s="14"/>
      <c r="F77" s="47"/>
      <c r="G77" s="47"/>
      <c r="H77" s="20"/>
      <c r="I77" s="14"/>
      <c r="J77" s="47"/>
      <c r="K77" s="47"/>
      <c r="L77" s="20"/>
      <c r="M77" s="14"/>
      <c r="N77" s="47"/>
      <c r="O77" s="47"/>
      <c r="P77" s="20"/>
      <c r="Q77" s="20"/>
      <c r="R77" s="20"/>
      <c r="S77" s="20"/>
      <c r="T77" s="20"/>
      <c r="U77" s="7"/>
    </row>
    <row r="78" spans="2:25" s="12" customFormat="1" ht="15" customHeight="1" thickBot="1" x14ac:dyDescent="0.35">
      <c r="B78" s="126"/>
      <c r="C78" s="35"/>
      <c r="D78" s="20"/>
      <c r="E78" s="14"/>
      <c r="F78" s="47"/>
      <c r="G78" s="47"/>
      <c r="H78" s="20"/>
      <c r="I78" s="14"/>
      <c r="J78" s="47"/>
      <c r="K78" s="47"/>
      <c r="L78" s="20"/>
      <c r="M78" s="14"/>
      <c r="N78" s="47"/>
      <c r="O78" s="47"/>
      <c r="P78" s="20"/>
      <c r="Q78" s="20"/>
      <c r="R78" s="20"/>
      <c r="S78" s="20"/>
      <c r="T78" s="20"/>
      <c r="U78" s="7"/>
    </row>
    <row r="79" spans="2:25" s="12" customFormat="1" ht="18" customHeight="1" thickBot="1" x14ac:dyDescent="0.35">
      <c r="B79" s="110" t="s">
        <v>111</v>
      </c>
      <c r="C79" s="129"/>
      <c r="D79" s="130"/>
      <c r="E79" s="14"/>
      <c r="F79" s="110" t="s">
        <v>112</v>
      </c>
      <c r="G79" s="129"/>
      <c r="H79" s="130"/>
      <c r="I79" s="14"/>
      <c r="J79" s="110" t="s">
        <v>113</v>
      </c>
      <c r="K79" s="129"/>
      <c r="L79" s="130"/>
      <c r="M79" s="14"/>
      <c r="N79" s="110" t="s">
        <v>114</v>
      </c>
      <c r="O79" s="129"/>
      <c r="P79" s="130"/>
      <c r="Q79" s="20"/>
      <c r="U79" s="7"/>
    </row>
    <row r="80" spans="2:25" s="12" customFormat="1" ht="15" customHeight="1" x14ac:dyDescent="0.3">
      <c r="B80" s="287" t="s">
        <v>19</v>
      </c>
      <c r="C80" s="288"/>
      <c r="D80" s="289" t="s">
        <v>20</v>
      </c>
      <c r="E80" s="14"/>
      <c r="F80" s="287" t="s">
        <v>19</v>
      </c>
      <c r="G80" s="288"/>
      <c r="H80" s="289" t="s">
        <v>20</v>
      </c>
      <c r="I80" s="14"/>
      <c r="J80" s="287" t="s">
        <v>19</v>
      </c>
      <c r="K80" s="288"/>
      <c r="L80" s="289" t="s">
        <v>20</v>
      </c>
      <c r="M80" s="14"/>
      <c r="N80" s="287" t="s">
        <v>19</v>
      </c>
      <c r="O80" s="288"/>
      <c r="P80" s="289" t="s">
        <v>20</v>
      </c>
      <c r="Q80" s="20"/>
      <c r="U80" s="7"/>
    </row>
    <row r="81" spans="2:21" s="12" customFormat="1" ht="15" customHeight="1" x14ac:dyDescent="0.35">
      <c r="B81" s="156" t="s">
        <v>274</v>
      </c>
      <c r="C81" s="113"/>
      <c r="D81" s="117">
        <f>K57*$D$75</f>
        <v>0</v>
      </c>
      <c r="E81" s="14"/>
      <c r="F81" s="156" t="s">
        <v>274</v>
      </c>
      <c r="G81" s="113"/>
      <c r="H81" s="117">
        <f>L57*$D$75</f>
        <v>0</v>
      </c>
      <c r="I81" s="14"/>
      <c r="J81" s="156" t="s">
        <v>274</v>
      </c>
      <c r="K81" s="113"/>
      <c r="L81" s="117">
        <f>M57*$D$75</f>
        <v>0</v>
      </c>
      <c r="M81" s="14"/>
      <c r="N81" s="156" t="s">
        <v>274</v>
      </c>
      <c r="O81" s="113"/>
      <c r="P81" s="117">
        <f>N57*$D$75</f>
        <v>0</v>
      </c>
      <c r="Q81" s="20"/>
      <c r="U81" s="7"/>
    </row>
    <row r="82" spans="2:21" s="12" customFormat="1" ht="15" customHeight="1" x14ac:dyDescent="0.35">
      <c r="B82" s="156" t="s">
        <v>291</v>
      </c>
      <c r="C82" s="113"/>
      <c r="D82" s="117">
        <f>K58*$H$75</f>
        <v>0</v>
      </c>
      <c r="E82" s="14"/>
      <c r="F82" s="156" t="s">
        <v>291</v>
      </c>
      <c r="G82" s="113"/>
      <c r="H82" s="117">
        <f>L58*$H$75</f>
        <v>0</v>
      </c>
      <c r="I82" s="14"/>
      <c r="J82" s="156" t="s">
        <v>291</v>
      </c>
      <c r="K82" s="113"/>
      <c r="L82" s="117">
        <f>M58*$H$75</f>
        <v>0</v>
      </c>
      <c r="M82" s="14"/>
      <c r="N82" s="156" t="s">
        <v>291</v>
      </c>
      <c r="O82" s="113"/>
      <c r="P82" s="117">
        <f>N58*$H$75</f>
        <v>0</v>
      </c>
      <c r="Q82" s="20"/>
      <c r="U82" s="7"/>
    </row>
    <row r="83" spans="2:21" s="12" customFormat="1" ht="15" customHeight="1" x14ac:dyDescent="0.35">
      <c r="B83" s="156" t="s">
        <v>292</v>
      </c>
      <c r="C83" s="113"/>
      <c r="D83" s="117">
        <f>K59*$L$75</f>
        <v>9.1579999999999987E-5</v>
      </c>
      <c r="E83" s="251"/>
      <c r="F83" s="156" t="s">
        <v>292</v>
      </c>
      <c r="G83" s="113"/>
      <c r="H83" s="117">
        <f>L59*$L$75</f>
        <v>9.1579999999999987E-5</v>
      </c>
      <c r="I83" s="251"/>
      <c r="J83" s="156" t="s">
        <v>292</v>
      </c>
      <c r="K83" s="113"/>
      <c r="L83" s="117">
        <f>M59*$L$75</f>
        <v>9.1579999999999987E-5</v>
      </c>
      <c r="M83" s="251"/>
      <c r="N83" s="156" t="s">
        <v>292</v>
      </c>
      <c r="O83" s="113"/>
      <c r="P83" s="117">
        <f>N59*$L$75</f>
        <v>9.1579999999999987E-5</v>
      </c>
      <c r="Q83" s="253"/>
      <c r="U83" s="7"/>
    </row>
    <row r="84" spans="2:21" s="12" customFormat="1" ht="15" customHeight="1" x14ac:dyDescent="0.35">
      <c r="B84" s="156" t="s">
        <v>272</v>
      </c>
      <c r="C84" s="113"/>
      <c r="D84" s="117">
        <f>K60*$P$75</f>
        <v>0</v>
      </c>
      <c r="E84" s="14"/>
      <c r="F84" s="156" t="s">
        <v>272</v>
      </c>
      <c r="G84" s="113"/>
      <c r="H84" s="117">
        <f>L60*$P$75</f>
        <v>0</v>
      </c>
      <c r="I84" s="14"/>
      <c r="J84" s="156" t="s">
        <v>272</v>
      </c>
      <c r="K84" s="113"/>
      <c r="L84" s="117">
        <f>M60*$P$75</f>
        <v>0</v>
      </c>
      <c r="M84" s="14"/>
      <c r="N84" s="156" t="s">
        <v>272</v>
      </c>
      <c r="O84" s="113"/>
      <c r="P84" s="117">
        <f>N60*$P$75</f>
        <v>0</v>
      </c>
      <c r="Q84" s="20"/>
      <c r="U84" s="7"/>
    </row>
    <row r="85" spans="2:21" s="12" customFormat="1" ht="15" customHeight="1" x14ac:dyDescent="0.35">
      <c r="B85" s="156" t="s">
        <v>271</v>
      </c>
      <c r="C85" s="113"/>
      <c r="D85" s="117">
        <f>K61*$T$75</f>
        <v>0</v>
      </c>
      <c r="E85" s="251"/>
      <c r="F85" s="156" t="s">
        <v>271</v>
      </c>
      <c r="G85" s="113"/>
      <c r="H85" s="117">
        <f>L61*$T$75</f>
        <v>0</v>
      </c>
      <c r="I85" s="251"/>
      <c r="J85" s="156" t="s">
        <v>271</v>
      </c>
      <c r="K85" s="113"/>
      <c r="L85" s="117">
        <f>M61*$T$75</f>
        <v>0</v>
      </c>
      <c r="M85" s="251"/>
      <c r="N85" s="156" t="s">
        <v>271</v>
      </c>
      <c r="O85" s="113"/>
      <c r="P85" s="117">
        <f>N61*$T$75</f>
        <v>0</v>
      </c>
      <c r="Q85" s="253"/>
      <c r="U85" s="7"/>
    </row>
    <row r="86" spans="2:21" s="12" customFormat="1" ht="15" customHeight="1" x14ac:dyDescent="0.35">
      <c r="B86" s="434" t="s">
        <v>181</v>
      </c>
      <c r="C86" s="113"/>
      <c r="D86" s="117">
        <f>K62*$D$21</f>
        <v>0</v>
      </c>
      <c r="E86" s="14"/>
      <c r="F86" s="434" t="s">
        <v>181</v>
      </c>
      <c r="G86" s="113"/>
      <c r="H86" s="117">
        <f>L62*$D$21</f>
        <v>0</v>
      </c>
      <c r="I86" s="14"/>
      <c r="J86" s="434" t="s">
        <v>181</v>
      </c>
      <c r="K86" s="113"/>
      <c r="L86" s="117">
        <f>M62*$D$21</f>
        <v>0</v>
      </c>
      <c r="M86" s="14"/>
      <c r="N86" s="434" t="s">
        <v>181</v>
      </c>
      <c r="O86" s="113"/>
      <c r="P86" s="117">
        <f>N62*$D$21</f>
        <v>0</v>
      </c>
      <c r="Q86" s="20"/>
      <c r="U86" s="7"/>
    </row>
    <row r="87" spans="2:21" s="12" customFormat="1" ht="15" customHeight="1" x14ac:dyDescent="0.35">
      <c r="B87" s="156" t="s">
        <v>191</v>
      </c>
      <c r="C87" s="113"/>
      <c r="D87" s="117">
        <f>K50*$D$10</f>
        <v>0</v>
      </c>
      <c r="E87" s="14"/>
      <c r="F87" s="156" t="s">
        <v>191</v>
      </c>
      <c r="G87" s="113"/>
      <c r="H87" s="117">
        <f>L50*$D$10</f>
        <v>0</v>
      </c>
      <c r="I87" s="14"/>
      <c r="J87" s="156" t="s">
        <v>191</v>
      </c>
      <c r="K87" s="113"/>
      <c r="L87" s="117">
        <f>M50*$D$10</f>
        <v>0</v>
      </c>
      <c r="M87" s="14"/>
      <c r="N87" s="156" t="s">
        <v>191</v>
      </c>
      <c r="O87" s="113"/>
      <c r="P87" s="117">
        <f>N50*$D$10</f>
        <v>0</v>
      </c>
      <c r="Q87" s="20"/>
      <c r="U87" s="7"/>
    </row>
    <row r="88" spans="2:21" s="12" customFormat="1" ht="15" customHeight="1" x14ac:dyDescent="0.35">
      <c r="B88" s="434" t="s">
        <v>192</v>
      </c>
      <c r="C88" s="113"/>
      <c r="D88" s="117">
        <f>K51*$E$10</f>
        <v>0</v>
      </c>
      <c r="E88" s="14"/>
      <c r="F88" s="434" t="s">
        <v>192</v>
      </c>
      <c r="G88" s="113"/>
      <c r="H88" s="117">
        <f>L51*$E$10</f>
        <v>0</v>
      </c>
      <c r="I88" s="14"/>
      <c r="J88" s="434" t="s">
        <v>192</v>
      </c>
      <c r="K88" s="113"/>
      <c r="L88" s="117">
        <f>M51*$E$10</f>
        <v>0</v>
      </c>
      <c r="M88" s="14"/>
      <c r="N88" s="434" t="s">
        <v>192</v>
      </c>
      <c r="O88" s="113"/>
      <c r="P88" s="117">
        <f>N51*$E$10</f>
        <v>0</v>
      </c>
      <c r="Q88" s="20"/>
      <c r="U88" s="7"/>
    </row>
    <row r="89" spans="2:21" s="12" customFormat="1" ht="15" customHeight="1" x14ac:dyDescent="0.35">
      <c r="B89" s="156" t="s">
        <v>193</v>
      </c>
      <c r="C89" s="113"/>
      <c r="D89" s="117">
        <f>K52*$F$10</f>
        <v>9.0000000000000002E-6</v>
      </c>
      <c r="E89" s="14"/>
      <c r="F89" s="156" t="s">
        <v>193</v>
      </c>
      <c r="G89" s="113"/>
      <c r="H89" s="117">
        <f>L52*$F$10</f>
        <v>0</v>
      </c>
      <c r="I89" s="14"/>
      <c r="J89" s="156" t="s">
        <v>193</v>
      </c>
      <c r="K89" s="113"/>
      <c r="L89" s="117">
        <f>M52*$F$10</f>
        <v>0</v>
      </c>
      <c r="M89" s="14"/>
      <c r="N89" s="156" t="s">
        <v>193</v>
      </c>
      <c r="O89" s="113"/>
      <c r="P89" s="117">
        <f>N52*$F$10</f>
        <v>0</v>
      </c>
      <c r="Q89" s="20"/>
      <c r="U89" s="7"/>
    </row>
    <row r="90" spans="2:21" s="12" customFormat="1" ht="15" customHeight="1" x14ac:dyDescent="0.35">
      <c r="B90" s="156" t="s">
        <v>194</v>
      </c>
      <c r="C90" s="113"/>
      <c r="D90" s="117">
        <f>K53*$G$10</f>
        <v>0</v>
      </c>
      <c r="E90" s="14"/>
      <c r="F90" s="156" t="s">
        <v>194</v>
      </c>
      <c r="G90" s="113"/>
      <c r="H90" s="117">
        <f>L53*$G$10</f>
        <v>2.2500000000000001E-6</v>
      </c>
      <c r="I90" s="14"/>
      <c r="J90" s="156" t="s">
        <v>194</v>
      </c>
      <c r="K90" s="113"/>
      <c r="L90" s="117">
        <f>M53*$G$10</f>
        <v>0</v>
      </c>
      <c r="M90" s="14"/>
      <c r="N90" s="156" t="s">
        <v>194</v>
      </c>
      <c r="O90" s="113"/>
      <c r="P90" s="117">
        <f>N53*$G$10</f>
        <v>0</v>
      </c>
      <c r="Q90" s="20"/>
      <c r="U90" s="7"/>
    </row>
    <row r="91" spans="2:21" s="12" customFormat="1" ht="15" customHeight="1" x14ac:dyDescent="0.35">
      <c r="B91" s="156" t="s">
        <v>195</v>
      </c>
      <c r="C91" s="113"/>
      <c r="D91" s="117">
        <f>K54*$H$10</f>
        <v>0</v>
      </c>
      <c r="E91" s="14"/>
      <c r="F91" s="156" t="s">
        <v>195</v>
      </c>
      <c r="G91" s="113"/>
      <c r="H91" s="117">
        <f>L54*$H$10</f>
        <v>0</v>
      </c>
      <c r="I91" s="14"/>
      <c r="J91" s="156" t="s">
        <v>195</v>
      </c>
      <c r="K91" s="113"/>
      <c r="L91" s="117">
        <f>M54*$H$10</f>
        <v>5.4079999999999997E-5</v>
      </c>
      <c r="M91" s="14"/>
      <c r="N91" s="156" t="s">
        <v>195</v>
      </c>
      <c r="O91" s="113"/>
      <c r="P91" s="117">
        <f>N54*$H$10</f>
        <v>8.1119999999999996E-5</v>
      </c>
      <c r="Q91" s="20"/>
      <c r="U91" s="7"/>
    </row>
    <row r="92" spans="2:21" s="12" customFormat="1" ht="15" customHeight="1" x14ac:dyDescent="0.35">
      <c r="B92" s="156" t="s">
        <v>196</v>
      </c>
      <c r="C92" s="113"/>
      <c r="D92" s="117">
        <f>K55*$I$10</f>
        <v>1.8750000000000002E-5</v>
      </c>
      <c r="E92" s="14"/>
      <c r="F92" s="156" t="s">
        <v>196</v>
      </c>
      <c r="G92" s="113"/>
      <c r="H92" s="117">
        <f>L55*$I$10</f>
        <v>1.8750000000000002E-5</v>
      </c>
      <c r="I92" s="14"/>
      <c r="J92" s="156" t="s">
        <v>196</v>
      </c>
      <c r="K92" s="113"/>
      <c r="L92" s="117">
        <f>M55*$I$10</f>
        <v>1.8750000000000002E-5</v>
      </c>
      <c r="M92" s="14"/>
      <c r="N92" s="156" t="s">
        <v>196</v>
      </c>
      <c r="O92" s="113"/>
      <c r="P92" s="117">
        <f>N55*$I$10</f>
        <v>1.2500000000000001E-5</v>
      </c>
      <c r="Q92" s="20"/>
      <c r="U92" s="7"/>
    </row>
    <row r="93" spans="2:21" s="12" customFormat="1" ht="15" customHeight="1" thickBot="1" x14ac:dyDescent="0.4">
      <c r="B93" s="156" t="s">
        <v>187</v>
      </c>
      <c r="C93" s="113"/>
      <c r="D93" s="117">
        <f>K56*$M$10</f>
        <v>0</v>
      </c>
      <c r="E93" s="14"/>
      <c r="F93" s="156" t="s">
        <v>187</v>
      </c>
      <c r="G93" s="113"/>
      <c r="H93" s="117">
        <f>L56*$J$10</f>
        <v>0</v>
      </c>
      <c r="I93" s="14"/>
      <c r="J93" s="156" t="s">
        <v>187</v>
      </c>
      <c r="K93" s="113"/>
      <c r="L93" s="117">
        <f>M56*$J$10</f>
        <v>0</v>
      </c>
      <c r="M93" s="14"/>
      <c r="N93" s="156" t="s">
        <v>187</v>
      </c>
      <c r="O93" s="113"/>
      <c r="P93" s="117">
        <f>N56*$J$10</f>
        <v>0</v>
      </c>
      <c r="Q93" s="20"/>
      <c r="U93" s="7"/>
    </row>
    <row r="94" spans="2:21" s="275" customFormat="1" ht="18" customHeight="1" thickBot="1" x14ac:dyDescent="0.4">
      <c r="B94" s="276" t="s">
        <v>206</v>
      </c>
      <c r="C94" s="271"/>
      <c r="D94" s="271">
        <f>SUM(D81:D93)</f>
        <v>1.1932999999999998E-4</v>
      </c>
      <c r="E94" s="277"/>
      <c r="F94" s="276" t="s">
        <v>207</v>
      </c>
      <c r="G94" s="271"/>
      <c r="H94" s="271">
        <f>SUM(H81:H93)</f>
        <v>1.1257999999999998E-4</v>
      </c>
      <c r="I94" s="277"/>
      <c r="J94" s="276" t="s">
        <v>208</v>
      </c>
      <c r="K94" s="271"/>
      <c r="L94" s="271">
        <f>SUM(L81:L93)</f>
        <v>1.6440999999999998E-4</v>
      </c>
      <c r="M94" s="277"/>
      <c r="N94" s="276" t="s">
        <v>209</v>
      </c>
      <c r="O94" s="271"/>
      <c r="P94" s="271">
        <f>SUM(P81:P93)</f>
        <v>1.8519999999999998E-4</v>
      </c>
      <c r="Q94" s="204"/>
      <c r="U94" s="212"/>
    </row>
    <row r="95" spans="2:21" s="22" customFormat="1" ht="18" customHeight="1" thickBot="1" x14ac:dyDescent="0.35">
      <c r="B95" s="145" t="s">
        <v>199</v>
      </c>
      <c r="C95" s="146"/>
      <c r="D95" s="146">
        <f>SQRT(D94)</f>
        <v>1.0923827168167756E-2</v>
      </c>
      <c r="E95" s="245"/>
      <c r="F95" s="145" t="s">
        <v>214</v>
      </c>
      <c r="G95" s="146"/>
      <c r="H95" s="267">
        <f>SQRT(H94)</f>
        <v>1.0610372283760829E-2</v>
      </c>
      <c r="I95" s="245"/>
      <c r="J95" s="145" t="s">
        <v>212</v>
      </c>
      <c r="K95" s="146"/>
      <c r="L95" s="146">
        <f>SQRT(L94)</f>
        <v>1.2822246293064252E-2</v>
      </c>
      <c r="M95" s="245"/>
      <c r="N95" s="145" t="s">
        <v>213</v>
      </c>
      <c r="O95" s="146"/>
      <c r="P95" s="267">
        <f>SQRT(P94)</f>
        <v>1.36088206689632E-2</v>
      </c>
      <c r="Q95" s="246"/>
    </row>
    <row r="96" spans="2:21" s="12" customFormat="1" ht="15" customHeight="1" x14ac:dyDescent="0.3">
      <c r="B96" s="126"/>
      <c r="C96" s="35"/>
      <c r="D96" s="20"/>
      <c r="E96" s="14"/>
      <c r="F96" s="47"/>
      <c r="G96" s="47"/>
      <c r="H96" s="20"/>
      <c r="I96" s="14"/>
      <c r="J96" s="47"/>
      <c r="K96" s="47"/>
      <c r="L96" s="20"/>
      <c r="M96" s="14"/>
      <c r="N96" s="47"/>
      <c r="O96" s="47"/>
      <c r="P96" s="20"/>
      <c r="Q96" s="20"/>
      <c r="R96" s="20"/>
      <c r="S96" s="20"/>
      <c r="T96" s="20"/>
      <c r="U96" s="7"/>
    </row>
    <row r="97" spans="2:21" s="12" customFormat="1" ht="15" customHeight="1" thickBot="1" x14ac:dyDescent="0.35">
      <c r="B97" s="126"/>
      <c r="C97" s="35"/>
      <c r="D97" s="20"/>
      <c r="E97" s="14"/>
      <c r="F97" s="47"/>
      <c r="G97" s="47"/>
      <c r="H97" s="20"/>
      <c r="I97" s="14"/>
      <c r="J97" s="47"/>
      <c r="K97" s="47"/>
      <c r="L97" s="20"/>
      <c r="M97" s="14"/>
      <c r="N97" s="47"/>
      <c r="O97" s="47"/>
      <c r="P97" s="20"/>
      <c r="Q97" s="20"/>
      <c r="R97" s="20"/>
      <c r="S97" s="20"/>
      <c r="T97" s="20"/>
      <c r="U97" s="7"/>
    </row>
    <row r="98" spans="2:21" s="12" customFormat="1" ht="18" customHeight="1" thickBot="1" x14ac:dyDescent="0.35">
      <c r="B98" s="110" t="s">
        <v>115</v>
      </c>
      <c r="C98" s="129"/>
      <c r="D98" s="130"/>
      <c r="F98" s="110" t="s">
        <v>116</v>
      </c>
      <c r="G98" s="129"/>
      <c r="H98" s="130"/>
      <c r="I98" s="14"/>
      <c r="J98" s="110" t="s">
        <v>117</v>
      </c>
      <c r="K98" s="129"/>
      <c r="L98" s="130"/>
      <c r="M98" s="14"/>
      <c r="N98" s="110" t="s">
        <v>118</v>
      </c>
      <c r="O98" s="129"/>
      <c r="P98" s="130"/>
    </row>
    <row r="99" spans="2:21" s="12" customFormat="1" ht="15" customHeight="1" x14ac:dyDescent="0.3">
      <c r="B99" s="287" t="s">
        <v>19</v>
      </c>
      <c r="C99" s="288"/>
      <c r="D99" s="289" t="s">
        <v>20</v>
      </c>
      <c r="F99" s="287" t="s">
        <v>19</v>
      </c>
      <c r="G99" s="288"/>
      <c r="H99" s="289" t="s">
        <v>20</v>
      </c>
      <c r="I99" s="14"/>
      <c r="J99" s="287" t="s">
        <v>19</v>
      </c>
      <c r="K99" s="288"/>
      <c r="L99" s="289" t="s">
        <v>20</v>
      </c>
      <c r="M99" s="14"/>
      <c r="N99" s="287" t="s">
        <v>19</v>
      </c>
      <c r="O99" s="288"/>
      <c r="P99" s="289" t="s">
        <v>20</v>
      </c>
    </row>
    <row r="100" spans="2:21" s="12" customFormat="1" ht="15" customHeight="1" x14ac:dyDescent="0.35">
      <c r="B100" s="156" t="s">
        <v>274</v>
      </c>
      <c r="C100" s="113"/>
      <c r="D100" s="117">
        <f>O57*$D$75</f>
        <v>0</v>
      </c>
      <c r="F100" s="156" t="s">
        <v>274</v>
      </c>
      <c r="G100" s="113"/>
      <c r="H100" s="117">
        <f>P57*$D$75</f>
        <v>4.579E-5</v>
      </c>
      <c r="I100" s="14"/>
      <c r="J100" s="156" t="s">
        <v>274</v>
      </c>
      <c r="K100" s="113"/>
      <c r="L100" s="117">
        <f>Q57*$D$75</f>
        <v>4.579E-5</v>
      </c>
      <c r="M100" s="14"/>
      <c r="N100" s="156" t="s">
        <v>274</v>
      </c>
      <c r="O100" s="113"/>
      <c r="P100" s="117">
        <f>R57*$D$75</f>
        <v>4.579E-5</v>
      </c>
    </row>
    <row r="101" spans="2:21" s="12" customFormat="1" ht="15" customHeight="1" x14ac:dyDescent="0.35">
      <c r="B101" s="156" t="s">
        <v>291</v>
      </c>
      <c r="C101" s="113"/>
      <c r="D101" s="117">
        <f>O58*$H$75</f>
        <v>0</v>
      </c>
      <c r="F101" s="156" t="s">
        <v>291</v>
      </c>
      <c r="G101" s="113"/>
      <c r="H101" s="117">
        <f>P58*$H$75</f>
        <v>0</v>
      </c>
      <c r="I101" s="14"/>
      <c r="J101" s="156" t="s">
        <v>291</v>
      </c>
      <c r="K101" s="113"/>
      <c r="L101" s="117">
        <f>Q58*$H$75</f>
        <v>0</v>
      </c>
      <c r="M101" s="14"/>
      <c r="N101" s="156" t="s">
        <v>291</v>
      </c>
      <c r="O101" s="113"/>
      <c r="P101" s="117">
        <f>R58*$H$75</f>
        <v>0</v>
      </c>
    </row>
    <row r="102" spans="2:21" s="12" customFormat="1" ht="15" customHeight="1" x14ac:dyDescent="0.35">
      <c r="B102" s="156" t="s">
        <v>292</v>
      </c>
      <c r="C102" s="113"/>
      <c r="D102" s="117">
        <f>O59*$L$75</f>
        <v>9.1579999999999987E-5</v>
      </c>
      <c r="F102" s="156" t="s">
        <v>292</v>
      </c>
      <c r="G102" s="113"/>
      <c r="H102" s="117">
        <f>P59*$L$75</f>
        <v>0</v>
      </c>
      <c r="I102" s="251"/>
      <c r="J102" s="156" t="s">
        <v>292</v>
      </c>
      <c r="K102" s="113"/>
      <c r="L102" s="117">
        <f>Q59*$L$75</f>
        <v>0</v>
      </c>
      <c r="M102" s="251"/>
      <c r="N102" s="156" t="s">
        <v>292</v>
      </c>
      <c r="O102" s="113"/>
      <c r="P102" s="117">
        <f>R59*$L$75</f>
        <v>0</v>
      </c>
    </row>
    <row r="103" spans="2:21" s="12" customFormat="1" ht="15" customHeight="1" x14ac:dyDescent="0.35">
      <c r="B103" s="156" t="s">
        <v>272</v>
      </c>
      <c r="C103" s="113"/>
      <c r="D103" s="117">
        <f>O60*$P$75</f>
        <v>0</v>
      </c>
      <c r="F103" s="156" t="s">
        <v>272</v>
      </c>
      <c r="G103" s="113"/>
      <c r="H103" s="117">
        <f>P60*$P$75</f>
        <v>0</v>
      </c>
      <c r="I103" s="14"/>
      <c r="J103" s="156" t="s">
        <v>272</v>
      </c>
      <c r="K103" s="113"/>
      <c r="L103" s="117">
        <f>Q60*$P$75</f>
        <v>0</v>
      </c>
      <c r="M103" s="14"/>
      <c r="N103" s="156" t="s">
        <v>272</v>
      </c>
      <c r="O103" s="113"/>
      <c r="P103" s="117">
        <f>R60*$P$75</f>
        <v>0</v>
      </c>
    </row>
    <row r="104" spans="2:21" s="12" customFormat="1" ht="15" customHeight="1" x14ac:dyDescent="0.35">
      <c r="B104" s="156" t="s">
        <v>271</v>
      </c>
      <c r="C104" s="113"/>
      <c r="D104" s="117">
        <f>O61*$T$75</f>
        <v>0</v>
      </c>
      <c r="F104" s="156" t="s">
        <v>271</v>
      </c>
      <c r="G104" s="113"/>
      <c r="H104" s="117">
        <f>P61*$T$75</f>
        <v>0</v>
      </c>
      <c r="I104" s="251"/>
      <c r="J104" s="156" t="s">
        <v>271</v>
      </c>
      <c r="K104" s="113"/>
      <c r="L104" s="117">
        <f>Q61*$T$75</f>
        <v>0</v>
      </c>
      <c r="M104" s="251"/>
      <c r="N104" s="156" t="s">
        <v>271</v>
      </c>
      <c r="O104" s="113"/>
      <c r="P104" s="117">
        <f>R61*$T$75</f>
        <v>0</v>
      </c>
    </row>
    <row r="105" spans="2:21" s="12" customFormat="1" ht="15" customHeight="1" x14ac:dyDescent="0.35">
      <c r="B105" s="434" t="s">
        <v>181</v>
      </c>
      <c r="C105" s="113"/>
      <c r="D105" s="117">
        <f>O62*$D$21</f>
        <v>0</v>
      </c>
      <c r="F105" s="434" t="s">
        <v>181</v>
      </c>
      <c r="G105" s="113"/>
      <c r="H105" s="117">
        <f>P62*$D$21</f>
        <v>0</v>
      </c>
      <c r="I105" s="14"/>
      <c r="J105" s="434" t="s">
        <v>181</v>
      </c>
      <c r="K105" s="113"/>
      <c r="L105" s="117">
        <f>Q62*$D$21</f>
        <v>0</v>
      </c>
      <c r="M105" s="14"/>
      <c r="N105" s="434" t="s">
        <v>181</v>
      </c>
      <c r="O105" s="113"/>
      <c r="P105" s="117">
        <f>R62*$D$21</f>
        <v>0</v>
      </c>
    </row>
    <row r="106" spans="2:21" s="12" customFormat="1" ht="15" customHeight="1" x14ac:dyDescent="0.35">
      <c r="B106" s="156" t="s">
        <v>191</v>
      </c>
      <c r="C106" s="113"/>
      <c r="D106" s="117">
        <f>O50*$D$10</f>
        <v>0</v>
      </c>
      <c r="F106" s="156" t="s">
        <v>191</v>
      </c>
      <c r="G106" s="113"/>
      <c r="H106" s="117">
        <f>P50*$D$10</f>
        <v>0</v>
      </c>
      <c r="I106" s="14"/>
      <c r="J106" s="156" t="s">
        <v>191</v>
      </c>
      <c r="K106" s="113"/>
      <c r="L106" s="117">
        <f>Q50*$D$10</f>
        <v>0</v>
      </c>
      <c r="M106" s="14"/>
      <c r="N106" s="156" t="s">
        <v>191</v>
      </c>
      <c r="O106" s="113"/>
      <c r="P106" s="117">
        <f>R50*$D$10</f>
        <v>0</v>
      </c>
    </row>
    <row r="107" spans="2:21" s="12" customFormat="1" ht="15" customHeight="1" x14ac:dyDescent="0.35">
      <c r="B107" s="434" t="s">
        <v>192</v>
      </c>
      <c r="C107" s="113"/>
      <c r="D107" s="117">
        <f>O51*$E$10</f>
        <v>0</v>
      </c>
      <c r="F107" s="434" t="s">
        <v>192</v>
      </c>
      <c r="G107" s="113"/>
      <c r="H107" s="117">
        <f>P51*$E$10</f>
        <v>0</v>
      </c>
      <c r="I107" s="14"/>
      <c r="J107" s="434" t="s">
        <v>192</v>
      </c>
      <c r="K107" s="113"/>
      <c r="L107" s="117">
        <f>Q51*$E$10</f>
        <v>0</v>
      </c>
      <c r="M107" s="14"/>
      <c r="N107" s="434" t="s">
        <v>192</v>
      </c>
      <c r="O107" s="113"/>
      <c r="P107" s="117">
        <f>R51*$E$10</f>
        <v>0</v>
      </c>
    </row>
    <row r="108" spans="2:21" s="12" customFormat="1" ht="15" customHeight="1" x14ac:dyDescent="0.35">
      <c r="B108" s="156" t="s">
        <v>193</v>
      </c>
      <c r="C108" s="113"/>
      <c r="D108" s="117">
        <f>O52*$F$10</f>
        <v>0</v>
      </c>
      <c r="F108" s="156" t="s">
        <v>193</v>
      </c>
      <c r="G108" s="113"/>
      <c r="H108" s="117">
        <f>P52*$F$10</f>
        <v>0</v>
      </c>
      <c r="I108" s="14"/>
      <c r="J108" s="156" t="s">
        <v>193</v>
      </c>
      <c r="K108" s="113"/>
      <c r="L108" s="117">
        <f>Q52*$F$10</f>
        <v>0</v>
      </c>
      <c r="M108" s="14"/>
      <c r="N108" s="156" t="s">
        <v>193</v>
      </c>
      <c r="O108" s="113"/>
      <c r="P108" s="117">
        <f>R52*$F$10</f>
        <v>0</v>
      </c>
    </row>
    <row r="109" spans="2:21" s="12" customFormat="1" ht="15" customHeight="1" x14ac:dyDescent="0.35">
      <c r="B109" s="156" t="s">
        <v>194</v>
      </c>
      <c r="C109" s="113"/>
      <c r="D109" s="117">
        <f>O53*$G$10</f>
        <v>2.2500000000000001E-6</v>
      </c>
      <c r="F109" s="156" t="s">
        <v>194</v>
      </c>
      <c r="G109" s="113"/>
      <c r="H109" s="117">
        <f>P53*$G$10</f>
        <v>0</v>
      </c>
      <c r="I109" s="14"/>
      <c r="J109" s="156" t="s">
        <v>194</v>
      </c>
      <c r="K109" s="113"/>
      <c r="L109" s="117">
        <f>Q53*$G$10</f>
        <v>0</v>
      </c>
      <c r="M109" s="14"/>
      <c r="N109" s="156" t="s">
        <v>194</v>
      </c>
      <c r="O109" s="113"/>
      <c r="P109" s="117">
        <f>R53*$G$10</f>
        <v>2.2500000000000001E-6</v>
      </c>
    </row>
    <row r="110" spans="2:21" s="12" customFormat="1" ht="15" customHeight="1" x14ac:dyDescent="0.35">
      <c r="B110" s="156" t="s">
        <v>195</v>
      </c>
      <c r="C110" s="113"/>
      <c r="D110" s="117">
        <f>O54*$H$10</f>
        <v>1.0815999999999999E-4</v>
      </c>
      <c r="F110" s="156" t="s">
        <v>195</v>
      </c>
      <c r="G110" s="113"/>
      <c r="H110" s="117">
        <f>P54*$H$10</f>
        <v>2.7039999999999999E-5</v>
      </c>
      <c r="I110" s="14"/>
      <c r="J110" s="156" t="s">
        <v>195</v>
      </c>
      <c r="K110" s="113"/>
      <c r="L110" s="117">
        <f>Q54*$H$10</f>
        <v>5.4079999999999997E-5</v>
      </c>
      <c r="M110" s="14"/>
      <c r="N110" s="156" t="s">
        <v>195</v>
      </c>
      <c r="O110" s="113"/>
      <c r="P110" s="117">
        <f>R54*$H$10</f>
        <v>2.7039999999999999E-5</v>
      </c>
    </row>
    <row r="111" spans="2:21" s="12" customFormat="1" ht="15" customHeight="1" x14ac:dyDescent="0.35">
      <c r="B111" s="156" t="s">
        <v>196</v>
      </c>
      <c r="C111" s="113"/>
      <c r="D111" s="117">
        <f>O55*$I$10</f>
        <v>1.2500000000000001E-5</v>
      </c>
      <c r="F111" s="156" t="s">
        <v>196</v>
      </c>
      <c r="G111" s="113"/>
      <c r="H111" s="117">
        <f>P55*$I$10</f>
        <v>1.8750000000000002E-5</v>
      </c>
      <c r="J111" s="156" t="s">
        <v>196</v>
      </c>
      <c r="K111" s="113"/>
      <c r="L111" s="117">
        <f>Q55*$I$10</f>
        <v>1.2500000000000001E-5</v>
      </c>
      <c r="N111" s="156" t="s">
        <v>196</v>
      </c>
      <c r="O111" s="113"/>
      <c r="P111" s="117">
        <f>R55*$I$10</f>
        <v>1.2500000000000001E-5</v>
      </c>
    </row>
    <row r="112" spans="2:21" s="12" customFormat="1" ht="15" customHeight="1" thickBot="1" x14ac:dyDescent="0.4">
      <c r="B112" s="156" t="s">
        <v>187</v>
      </c>
      <c r="C112" s="113"/>
      <c r="D112" s="117">
        <f>O56*$J$10</f>
        <v>0</v>
      </c>
      <c r="F112" s="156" t="s">
        <v>187</v>
      </c>
      <c r="G112" s="113"/>
      <c r="H112" s="117">
        <f>P56*$J$10</f>
        <v>0</v>
      </c>
      <c r="J112" s="156" t="s">
        <v>187</v>
      </c>
      <c r="K112" s="113"/>
      <c r="L112" s="117">
        <f>Q56*$J$10</f>
        <v>0</v>
      </c>
      <c r="N112" s="156" t="s">
        <v>187</v>
      </c>
      <c r="O112" s="113"/>
      <c r="P112" s="117">
        <f>R56*$J$10</f>
        <v>0</v>
      </c>
    </row>
    <row r="113" spans="2:16" s="57" customFormat="1" ht="18" customHeight="1" thickBot="1" x14ac:dyDescent="0.4">
      <c r="B113" s="276" t="s">
        <v>210</v>
      </c>
      <c r="C113" s="271"/>
      <c r="D113" s="271">
        <f>SUM(D100:D112)</f>
        <v>2.1448999999999999E-4</v>
      </c>
      <c r="F113" s="276" t="s">
        <v>203</v>
      </c>
      <c r="G113" s="271"/>
      <c r="H113" s="271">
        <f>SUM(H100:H112)</f>
        <v>9.1579999999999987E-5</v>
      </c>
      <c r="J113" s="276" t="s">
        <v>204</v>
      </c>
      <c r="K113" s="271"/>
      <c r="L113" s="271">
        <f>SUM(L100:L112)</f>
        <v>1.1237000000000001E-4</v>
      </c>
      <c r="N113" s="276" t="s">
        <v>205</v>
      </c>
      <c r="O113" s="271"/>
      <c r="P113" s="271">
        <f>SUM(P100:P112)</f>
        <v>8.7579999999999998E-5</v>
      </c>
    </row>
    <row r="114" spans="2:16" s="22" customFormat="1" ht="18" customHeight="1" thickBot="1" x14ac:dyDescent="0.35">
      <c r="B114" s="145" t="s">
        <v>211</v>
      </c>
      <c r="C114" s="146"/>
      <c r="D114" s="267">
        <f>SQRT(D113)</f>
        <v>1.4645477117526761E-2</v>
      </c>
      <c r="F114" s="145" t="s">
        <v>200</v>
      </c>
      <c r="G114" s="146"/>
      <c r="H114" s="146">
        <f>SQRT(H113)</f>
        <v>9.5697439882161933E-3</v>
      </c>
      <c r="I114" s="245"/>
      <c r="J114" s="145" t="s">
        <v>201</v>
      </c>
      <c r="K114" s="146"/>
      <c r="L114" s="267">
        <f>SQRT(L113)</f>
        <v>1.0600471687618435E-2</v>
      </c>
      <c r="M114" s="245"/>
      <c r="N114" s="145" t="s">
        <v>202</v>
      </c>
      <c r="O114" s="146"/>
      <c r="P114" s="146">
        <f>SQRT(P113)</f>
        <v>9.3584186698394724E-3</v>
      </c>
    </row>
    <row r="115" spans="2:16" s="12" customFormat="1" ht="15" customHeight="1" x14ac:dyDescent="0.3">
      <c r="B115" s="7"/>
      <c r="C115" s="7"/>
      <c r="D115" s="7"/>
    </row>
    <row r="116" spans="2:16" s="12" customFormat="1" ht="15" customHeight="1" thickBot="1" x14ac:dyDescent="0.35">
      <c r="B116" s="7"/>
      <c r="C116" s="7"/>
      <c r="D116" s="7"/>
    </row>
    <row r="117" spans="2:16" s="12" customFormat="1" ht="15" customHeight="1" thickBot="1" x14ac:dyDescent="0.35">
      <c r="B117" s="110" t="s">
        <v>270</v>
      </c>
      <c r="C117" s="129"/>
      <c r="D117" s="130"/>
      <c r="F117" s="110" t="s">
        <v>110</v>
      </c>
      <c r="G117" s="129"/>
      <c r="H117" s="130"/>
    </row>
    <row r="118" spans="2:16" s="12" customFormat="1" ht="15" customHeight="1" x14ac:dyDescent="0.3">
      <c r="B118" s="287" t="s">
        <v>19</v>
      </c>
      <c r="C118" s="288"/>
      <c r="D118" s="289" t="s">
        <v>20</v>
      </c>
      <c r="F118" s="287" t="s">
        <v>19</v>
      </c>
      <c r="G118" s="288"/>
      <c r="H118" s="289" t="s">
        <v>20</v>
      </c>
    </row>
    <row r="119" spans="2:16" s="12" customFormat="1" ht="15" customHeight="1" x14ac:dyDescent="0.35">
      <c r="B119" s="156" t="s">
        <v>197</v>
      </c>
      <c r="C119" s="113"/>
      <c r="D119" s="117">
        <f>$H$21</f>
        <v>2.4801193631847114E-5</v>
      </c>
      <c r="F119" s="156" t="s">
        <v>296</v>
      </c>
      <c r="G119" s="113"/>
      <c r="H119" s="117">
        <f>U57*D127</f>
        <v>0</v>
      </c>
    </row>
    <row r="120" spans="2:16" s="12" customFormat="1" ht="15" customHeight="1" x14ac:dyDescent="0.35">
      <c r="B120" s="156" t="s">
        <v>191</v>
      </c>
      <c r="C120" s="113"/>
      <c r="D120" s="117">
        <f>T50*$D$10</f>
        <v>0</v>
      </c>
      <c r="F120" s="156" t="s">
        <v>197</v>
      </c>
      <c r="G120" s="113"/>
      <c r="H120" s="117">
        <f>U58*$H$21</f>
        <v>2.4801193631847114E-5</v>
      </c>
    </row>
    <row r="121" spans="2:16" s="12" customFormat="1" ht="15" customHeight="1" x14ac:dyDescent="0.35">
      <c r="B121" s="434" t="s">
        <v>192</v>
      </c>
      <c r="C121" s="113"/>
      <c r="D121" s="117">
        <f>T51*$E$10</f>
        <v>0</v>
      </c>
      <c r="F121" s="156" t="s">
        <v>191</v>
      </c>
      <c r="G121" s="113"/>
      <c r="H121" s="117">
        <f>U50*$D$10</f>
        <v>0</v>
      </c>
    </row>
    <row r="122" spans="2:16" s="12" customFormat="1" ht="15" customHeight="1" x14ac:dyDescent="0.35">
      <c r="B122" s="156" t="s">
        <v>193</v>
      </c>
      <c r="C122" s="113"/>
      <c r="D122" s="117">
        <f>T52*$F$10</f>
        <v>0</v>
      </c>
      <c r="F122" s="434" t="s">
        <v>192</v>
      </c>
      <c r="G122" s="113"/>
      <c r="H122" s="117">
        <f>U51*$E$10</f>
        <v>3.6000000000000001E-5</v>
      </c>
    </row>
    <row r="123" spans="2:16" s="12" customFormat="1" ht="15" customHeight="1" x14ac:dyDescent="0.35">
      <c r="B123" s="156" t="s">
        <v>194</v>
      </c>
      <c r="C123" s="113"/>
      <c r="D123" s="117">
        <f>T53*$G$10</f>
        <v>0</v>
      </c>
      <c r="F123" s="156" t="s">
        <v>193</v>
      </c>
      <c r="G123" s="113"/>
      <c r="H123" s="117">
        <f>U52*$F$10</f>
        <v>0</v>
      </c>
    </row>
    <row r="124" spans="2:16" s="12" customFormat="1" ht="15" customHeight="1" x14ac:dyDescent="0.35">
      <c r="B124" s="156" t="s">
        <v>195</v>
      </c>
      <c r="C124" s="113"/>
      <c r="D124" s="117">
        <f>T54*$H$10</f>
        <v>0</v>
      </c>
      <c r="F124" s="156" t="s">
        <v>194</v>
      </c>
      <c r="G124" s="113"/>
      <c r="H124" s="117">
        <f>U53*$G$10</f>
        <v>0</v>
      </c>
    </row>
    <row r="125" spans="2:16" s="12" customFormat="1" ht="15" customHeight="1" x14ac:dyDescent="0.35">
      <c r="B125" s="156" t="s">
        <v>196</v>
      </c>
      <c r="C125" s="113"/>
      <c r="D125" s="117">
        <f>T55*$I$10</f>
        <v>0</v>
      </c>
      <c r="F125" s="156" t="s">
        <v>195</v>
      </c>
      <c r="G125" s="113"/>
      <c r="H125" s="117">
        <f>U54*$H$10</f>
        <v>0</v>
      </c>
    </row>
    <row r="126" spans="2:16" s="12" customFormat="1" ht="15" customHeight="1" thickBot="1" x14ac:dyDescent="0.4">
      <c r="B126" s="156" t="s">
        <v>187</v>
      </c>
      <c r="C126" s="113"/>
      <c r="D126" s="117">
        <f>T56*$M$10</f>
        <v>0</v>
      </c>
      <c r="F126" s="156" t="s">
        <v>196</v>
      </c>
      <c r="G126" s="113"/>
      <c r="H126" s="117">
        <f>U55*$I$10</f>
        <v>0</v>
      </c>
    </row>
    <row r="127" spans="2:16" s="12" customFormat="1" ht="18" customHeight="1" thickBot="1" x14ac:dyDescent="0.4">
      <c r="B127" s="278" t="s">
        <v>296</v>
      </c>
      <c r="C127" s="273"/>
      <c r="D127" s="274">
        <f>SUM(D119:D126)</f>
        <v>2.4801193631847114E-5</v>
      </c>
      <c r="F127" s="156" t="s">
        <v>187</v>
      </c>
      <c r="G127" s="113"/>
      <c r="H127" s="117">
        <f>U56*$M$10</f>
        <v>2.0833333333333334E-6</v>
      </c>
    </row>
    <row r="128" spans="2:16" s="12" customFormat="1" ht="18" customHeight="1" thickBot="1" x14ac:dyDescent="0.4">
      <c r="B128" s="151" t="s">
        <v>297</v>
      </c>
      <c r="C128" s="149"/>
      <c r="D128" s="268">
        <f>SQRT(D127)</f>
        <v>4.9800796812749003E-3</v>
      </c>
      <c r="F128" s="278" t="s">
        <v>215</v>
      </c>
      <c r="G128" s="273"/>
      <c r="H128" s="274">
        <f>SUM(H119:H127)</f>
        <v>6.2884526965180452E-5</v>
      </c>
    </row>
    <row r="129" spans="2:19" s="12" customFormat="1" ht="15" customHeight="1" thickBot="1" x14ac:dyDescent="0.35">
      <c r="B129" s="7"/>
      <c r="C129" s="7"/>
      <c r="D129" s="7"/>
      <c r="F129" s="151" t="s">
        <v>198</v>
      </c>
      <c r="G129" s="149"/>
      <c r="H129" s="268">
        <f>SQRT(H128)</f>
        <v>7.9299764794846933E-3</v>
      </c>
    </row>
    <row r="130" spans="2:19" s="12" customFormat="1" ht="15" customHeight="1" x14ac:dyDescent="0.3">
      <c r="B130" s="7"/>
      <c r="C130" s="7"/>
      <c r="D130" s="7"/>
    </row>
    <row r="131" spans="2:19" s="12" customFormat="1" ht="15" customHeight="1" x14ac:dyDescent="0.3">
      <c r="B131" s="7"/>
      <c r="C131" s="7"/>
      <c r="D131" s="7"/>
    </row>
    <row r="132" spans="2:19" ht="15" thickBot="1" x14ac:dyDescent="0.35">
      <c r="M132" s="12"/>
      <c r="N132" s="12"/>
    </row>
    <row r="133" spans="2:19" ht="18" x14ac:dyDescent="0.35">
      <c r="B133" s="23" t="str">
        <f>Summary!C4&amp;" Calibration Curve Spiking"</f>
        <v xml:space="preserve">  Cocaine Calibration Curve Spiking</v>
      </c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30"/>
      <c r="O133" s="30"/>
      <c r="P133" s="24"/>
      <c r="Q133" s="6"/>
    </row>
    <row r="134" spans="2:19" x14ac:dyDescent="0.3">
      <c r="B134" s="25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31"/>
      <c r="O134" s="31"/>
      <c r="P134" s="26"/>
      <c r="Q134" s="4"/>
    </row>
    <row r="135" spans="2:19" ht="15.6" x14ac:dyDescent="0.35">
      <c r="B135" s="530" t="s">
        <v>217</v>
      </c>
      <c r="C135" s="454"/>
      <c r="D135" s="454"/>
      <c r="E135" s="454"/>
      <c r="F135" s="454"/>
      <c r="G135" s="454"/>
      <c r="H135" s="26"/>
      <c r="I135" s="26"/>
      <c r="J135" s="26"/>
      <c r="K135" s="26"/>
      <c r="L135" s="26"/>
      <c r="M135" s="31"/>
      <c r="N135" s="31"/>
      <c r="O135" s="26"/>
      <c r="P135" s="26"/>
      <c r="Q135" s="4"/>
      <c r="R135" s="3"/>
      <c r="S135" s="3"/>
    </row>
    <row r="136" spans="2:19" ht="15" thickBot="1" x14ac:dyDescent="0.35">
      <c r="B136" s="27"/>
      <c r="C136" s="26"/>
      <c r="D136" s="26"/>
      <c r="E136" s="26"/>
      <c r="F136" s="26"/>
      <c r="G136" s="3"/>
      <c r="H136" s="26"/>
      <c r="I136" s="26"/>
      <c r="J136" s="26"/>
      <c r="K136" s="26"/>
      <c r="L136" s="26"/>
      <c r="M136" s="26"/>
      <c r="N136" s="31"/>
      <c r="O136" s="31"/>
      <c r="P136" s="26"/>
      <c r="Q136" s="4"/>
    </row>
    <row r="137" spans="2:19" ht="16.8" x14ac:dyDescent="0.35">
      <c r="B137" s="27"/>
      <c r="C137" s="54" t="s">
        <v>216</v>
      </c>
      <c r="D137" s="159" t="s">
        <v>263</v>
      </c>
      <c r="E137" s="162"/>
      <c r="F137" s="5"/>
      <c r="G137" s="163"/>
      <c r="H137" s="24"/>
      <c r="I137" s="24"/>
      <c r="J137" s="24"/>
      <c r="K137" s="24"/>
      <c r="L137" s="24"/>
      <c r="M137" s="30"/>
      <c r="N137" s="30"/>
      <c r="O137" s="24"/>
      <c r="P137" s="24"/>
      <c r="Q137" s="4"/>
    </row>
    <row r="138" spans="2:19" ht="15" thickBot="1" x14ac:dyDescent="0.35">
      <c r="B138" s="27"/>
      <c r="C138" s="55"/>
      <c r="D138" s="26"/>
      <c r="E138" s="160"/>
      <c r="F138" s="3"/>
      <c r="G138" s="32"/>
      <c r="H138" s="26"/>
      <c r="I138" s="26"/>
      <c r="J138" s="26"/>
      <c r="K138" s="26"/>
      <c r="L138" s="26"/>
      <c r="M138" s="31"/>
      <c r="N138" s="31"/>
      <c r="O138" s="26"/>
      <c r="P138" s="26"/>
      <c r="Q138" s="4"/>
    </row>
    <row r="139" spans="2:19" ht="16.8" x14ac:dyDescent="0.35">
      <c r="B139" s="27"/>
      <c r="C139" s="54" t="s">
        <v>216</v>
      </c>
      <c r="D139" s="159" t="s">
        <v>300</v>
      </c>
      <c r="E139" s="162"/>
      <c r="F139" s="5"/>
      <c r="G139" s="163"/>
      <c r="H139" s="24"/>
      <c r="I139" s="24"/>
      <c r="J139" s="24"/>
      <c r="K139" s="24"/>
      <c r="L139" s="24"/>
      <c r="M139" s="30"/>
      <c r="N139" s="30"/>
      <c r="O139" s="24"/>
      <c r="P139" s="24"/>
      <c r="Q139" s="4"/>
    </row>
    <row r="140" spans="2:19" ht="15" thickBot="1" x14ac:dyDescent="0.35">
      <c r="B140" s="33"/>
      <c r="C140" s="28"/>
      <c r="D140" s="28"/>
      <c r="E140" s="28"/>
      <c r="F140" s="28"/>
      <c r="G140" s="28"/>
      <c r="H140" s="161"/>
      <c r="I140" s="28"/>
      <c r="J140" s="28"/>
      <c r="K140" s="28"/>
      <c r="L140" s="28"/>
      <c r="M140" s="28"/>
      <c r="N140" s="34"/>
      <c r="O140" s="34"/>
      <c r="P140" s="28"/>
      <c r="Q140" s="8"/>
    </row>
    <row r="141" spans="2:19" x14ac:dyDescent="0.3">
      <c r="B141" s="40"/>
      <c r="C141" s="26"/>
      <c r="D141" s="26"/>
      <c r="E141" s="26"/>
      <c r="F141" s="26"/>
      <c r="G141" s="26"/>
      <c r="H141" s="32"/>
      <c r="I141" s="26"/>
      <c r="J141" s="26"/>
      <c r="K141" s="26"/>
      <c r="L141" s="26"/>
      <c r="M141" s="26"/>
      <c r="N141" s="31"/>
      <c r="O141" s="31"/>
      <c r="P141" s="26"/>
      <c r="Q141" s="26"/>
      <c r="R141" s="26"/>
    </row>
    <row r="142" spans="2:19" s="12" customFormat="1" ht="15" thickBot="1" x14ac:dyDescent="0.35">
      <c r="M142" s="36"/>
      <c r="N142" s="36"/>
    </row>
    <row r="143" spans="2:19" ht="18" customHeight="1" thickBot="1" x14ac:dyDescent="0.35">
      <c r="B143" s="110" t="s">
        <v>119</v>
      </c>
      <c r="C143" s="123"/>
      <c r="D143" s="123"/>
      <c r="E143" s="111"/>
    </row>
    <row r="144" spans="2:19" ht="15" customHeight="1" x14ac:dyDescent="0.3">
      <c r="B144" s="283" t="s">
        <v>19</v>
      </c>
      <c r="C144" s="284"/>
      <c r="D144" s="285"/>
      <c r="E144" s="286" t="s">
        <v>20</v>
      </c>
    </row>
    <row r="145" spans="2:17" s="9" customFormat="1" ht="15" customHeight="1" x14ac:dyDescent="0.35">
      <c r="B145" s="156" t="s">
        <v>206</v>
      </c>
      <c r="C145" s="112"/>
      <c r="D145" s="218"/>
      <c r="E145" s="222">
        <f>D94</f>
        <v>1.1932999999999998E-4</v>
      </c>
    </row>
    <row r="146" spans="2:17" s="9" customFormat="1" ht="15" customHeight="1" x14ac:dyDescent="0.35">
      <c r="B146" s="156" t="s">
        <v>207</v>
      </c>
      <c r="C146" s="112"/>
      <c r="D146" s="218"/>
      <c r="E146" s="222">
        <f>H94</f>
        <v>1.1257999999999998E-4</v>
      </c>
    </row>
    <row r="147" spans="2:17" s="9" customFormat="1" ht="15" customHeight="1" x14ac:dyDescent="0.35">
      <c r="B147" s="156" t="s">
        <v>208</v>
      </c>
      <c r="C147" s="112"/>
      <c r="D147" s="218"/>
      <c r="E147" s="222">
        <f>L94</f>
        <v>1.6440999999999998E-4</v>
      </c>
    </row>
    <row r="148" spans="2:17" s="9" customFormat="1" ht="15" customHeight="1" x14ac:dyDescent="0.35">
      <c r="B148" s="156" t="s">
        <v>209</v>
      </c>
      <c r="C148" s="112"/>
      <c r="D148" s="218"/>
      <c r="E148" s="222">
        <f>P94</f>
        <v>1.8519999999999998E-4</v>
      </c>
    </row>
    <row r="149" spans="2:17" s="9" customFormat="1" ht="15" customHeight="1" x14ac:dyDescent="0.35">
      <c r="B149" s="156" t="s">
        <v>210</v>
      </c>
      <c r="C149" s="112"/>
      <c r="D149" s="218"/>
      <c r="E149" s="222">
        <f>D113</f>
        <v>2.1448999999999999E-4</v>
      </c>
    </row>
    <row r="150" spans="2:17" s="9" customFormat="1" ht="15" customHeight="1" x14ac:dyDescent="0.35">
      <c r="B150" s="156" t="s">
        <v>203</v>
      </c>
      <c r="C150" s="112"/>
      <c r="D150" s="218"/>
      <c r="E150" s="222">
        <f>H113</f>
        <v>9.1579999999999987E-5</v>
      </c>
    </row>
    <row r="151" spans="2:17" s="9" customFormat="1" ht="15" customHeight="1" x14ac:dyDescent="0.35">
      <c r="B151" s="156" t="s">
        <v>204</v>
      </c>
      <c r="C151" s="112"/>
      <c r="D151" s="218"/>
      <c r="E151" s="222">
        <f>L113</f>
        <v>1.1237000000000001E-4</v>
      </c>
    </row>
    <row r="152" spans="2:17" s="9" customFormat="1" ht="15" customHeight="1" x14ac:dyDescent="0.35">
      <c r="B152" s="156" t="s">
        <v>205</v>
      </c>
      <c r="C152" s="112"/>
      <c r="D152" s="218"/>
      <c r="E152" s="222">
        <f>P113</f>
        <v>8.7579999999999998E-5</v>
      </c>
    </row>
    <row r="153" spans="2:17" ht="15" customHeight="1" x14ac:dyDescent="0.35">
      <c r="B153" s="165" t="s">
        <v>298</v>
      </c>
      <c r="C153" s="59"/>
      <c r="D153" s="219"/>
      <c r="E153" s="208">
        <f>8*D10</f>
        <v>1.6199999999999998E-4</v>
      </c>
    </row>
    <row r="154" spans="2:17" ht="15" customHeight="1" x14ac:dyDescent="0.35">
      <c r="B154" s="279" t="s">
        <v>215</v>
      </c>
      <c r="C154" s="280"/>
      <c r="D154" s="281" t="s">
        <v>21</v>
      </c>
      <c r="E154" s="282"/>
      <c r="M154" s="12"/>
      <c r="N154" s="29"/>
    </row>
    <row r="155" spans="2:17" ht="15" customHeight="1" x14ac:dyDescent="0.35">
      <c r="B155" s="165" t="s">
        <v>298</v>
      </c>
      <c r="C155" s="59"/>
      <c r="D155" s="220"/>
      <c r="E155" s="117">
        <f>8*D10</f>
        <v>1.6199999999999998E-4</v>
      </c>
      <c r="M155" s="12"/>
      <c r="N155" s="29"/>
    </row>
    <row r="156" spans="2:17" ht="15" customHeight="1" thickBot="1" x14ac:dyDescent="0.4">
      <c r="B156" s="156" t="s">
        <v>299</v>
      </c>
      <c r="C156" s="59"/>
      <c r="D156" s="221"/>
      <c r="E156" s="52">
        <f>8*Q17</f>
        <v>2.1631999999999999E-4</v>
      </c>
      <c r="M156" s="12"/>
      <c r="N156" s="29"/>
    </row>
    <row r="157" spans="2:17" ht="18" customHeight="1" thickBot="1" x14ac:dyDescent="0.4">
      <c r="B157" s="266" t="s">
        <v>176</v>
      </c>
      <c r="C157" s="374"/>
      <c r="D157" s="375"/>
      <c r="E157" s="375">
        <f>SUM(E145:E156)</f>
        <v>1.6278600000000001E-3</v>
      </c>
      <c r="L157" s="12"/>
      <c r="M157" s="29"/>
    </row>
    <row r="158" spans="2:17" ht="18" customHeight="1" thickBot="1" x14ac:dyDescent="0.35">
      <c r="B158" s="167" t="s">
        <v>218</v>
      </c>
      <c r="C158" s="141"/>
      <c r="D158" s="372"/>
      <c r="E158" s="373">
        <f>SQRT(E157)</f>
        <v>4.0346747080774681E-2</v>
      </c>
      <c r="M158" s="12"/>
      <c r="N158" s="29"/>
    </row>
    <row r="159" spans="2:17" x14ac:dyDescent="0.3">
      <c r="P159" s="12"/>
      <c r="Q159" s="29"/>
    </row>
    <row r="160" spans="2:17" x14ac:dyDescent="0.3">
      <c r="P160" s="12"/>
      <c r="Q160" s="29"/>
    </row>
    <row r="161" spans="2:18" ht="23.4" x14ac:dyDescent="0.45">
      <c r="B161" s="37" t="s">
        <v>301</v>
      </c>
    </row>
    <row r="162" spans="2:18" ht="23.4" x14ac:dyDescent="0.45">
      <c r="B162" s="37" t="s">
        <v>22</v>
      </c>
      <c r="N162" s="12"/>
      <c r="O162" s="12"/>
      <c r="P162" s="35"/>
      <c r="Q162" s="7"/>
      <c r="R162" s="12"/>
    </row>
    <row r="164" spans="2:18" ht="23.4" x14ac:dyDescent="0.45">
      <c r="B164" s="37" t="s">
        <v>23</v>
      </c>
    </row>
  </sheetData>
  <mergeCells count="12">
    <mergeCell ref="B40:G40"/>
    <mergeCell ref="B34:G34"/>
    <mergeCell ref="B43:G43"/>
    <mergeCell ref="K4:M4"/>
    <mergeCell ref="B4:I4"/>
    <mergeCell ref="D5:I5"/>
    <mergeCell ref="B37:G37"/>
    <mergeCell ref="M28:Q28"/>
    <mergeCell ref="M31:Q31"/>
    <mergeCell ref="O6:S6"/>
    <mergeCell ref="B31:G31"/>
    <mergeCell ref="B28:G28"/>
  </mergeCells>
  <pageMargins left="0.7" right="0.7" top="0.75" bottom="0.75" header="0.3" footer="0.3"/>
  <pageSetup paperSize="9" scale="2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1"/>
  <sheetViews>
    <sheetView showGridLines="0" tabSelected="1" workbookViewId="0">
      <selection activeCell="F13" sqref="F13"/>
    </sheetView>
  </sheetViews>
  <sheetFormatPr defaultRowHeight="14.4" x14ac:dyDescent="0.3"/>
  <cols>
    <col min="1" max="1" width="1.6640625" customWidth="1"/>
    <col min="2" max="2" width="12.77734375" style="9" customWidth="1"/>
    <col min="3" max="3" width="14.33203125" customWidth="1"/>
    <col min="4" max="13" width="14.33203125" style="38" customWidth="1"/>
    <col min="14" max="14" width="14.33203125" customWidth="1"/>
    <col min="15" max="15" width="15.6640625" customWidth="1"/>
    <col min="16" max="19" width="15.6640625" style="38" customWidth="1"/>
    <col min="20" max="22" width="15.6640625" customWidth="1"/>
    <col min="23" max="23" width="13.44140625" customWidth="1"/>
    <col min="24" max="24" width="15.5546875" customWidth="1"/>
    <col min="25" max="25" width="11.88671875" customWidth="1"/>
    <col min="26" max="26" width="15.6640625" customWidth="1"/>
    <col min="27" max="27" width="12.6640625" customWidth="1"/>
    <col min="28" max="28" width="14.33203125" customWidth="1"/>
    <col min="29" max="29" width="15.33203125" bestFit="1" customWidth="1"/>
    <col min="30" max="30" width="18.6640625" customWidth="1"/>
  </cols>
  <sheetData>
    <row r="1" spans="2:21" ht="15" customHeight="1" x14ac:dyDescent="0.3"/>
    <row r="2" spans="2:21" ht="18.75" customHeight="1" x14ac:dyDescent="0.35">
      <c r="B2" s="1" t="s">
        <v>120</v>
      </c>
      <c r="D2" s="10" t="str">
        <f>"-"&amp;Summary!C4</f>
        <v>-  Cocaine</v>
      </c>
      <c r="E2"/>
      <c r="F2"/>
      <c r="G2"/>
      <c r="I2"/>
      <c r="J2"/>
      <c r="K2"/>
      <c r="L2"/>
      <c r="M2"/>
      <c r="P2"/>
      <c r="Q2"/>
      <c r="R2"/>
      <c r="S2"/>
    </row>
    <row r="3" spans="2:21" ht="15" customHeight="1" thickBot="1" x14ac:dyDescent="0.35"/>
    <row r="4" spans="2:21" ht="15" customHeight="1" x14ac:dyDescent="0.3">
      <c r="B4" s="759" t="str">
        <f>C25</f>
        <v>Nominal Conc (µg/L)</v>
      </c>
      <c r="C4" s="704" t="str">
        <f>"Ratio ("&amp;Summary!L4&amp;"/"&amp;Summary!L5&amp;")"</f>
        <v>Ratio (Coc/Coc-d8)</v>
      </c>
      <c r="D4" s="707"/>
      <c r="E4" s="707"/>
      <c r="F4" s="707"/>
      <c r="G4" s="707"/>
      <c r="H4" s="707"/>
      <c r="I4" s="707"/>
      <c r="J4" s="707"/>
      <c r="K4" s="707"/>
      <c r="L4" s="707"/>
      <c r="M4" s="708"/>
      <c r="N4" s="38"/>
      <c r="O4" s="38"/>
      <c r="P4"/>
      <c r="Q4"/>
      <c r="T4" s="38"/>
      <c r="U4" s="38"/>
    </row>
    <row r="5" spans="2:21" ht="15" customHeight="1" x14ac:dyDescent="0.3">
      <c r="B5" s="760"/>
      <c r="C5" s="761"/>
      <c r="D5" s="762"/>
      <c r="E5" s="762"/>
      <c r="F5" s="762"/>
      <c r="G5" s="762"/>
      <c r="H5" s="762"/>
      <c r="I5" s="762"/>
      <c r="J5" s="762"/>
      <c r="K5" s="762"/>
      <c r="L5" s="762"/>
      <c r="M5" s="763"/>
      <c r="N5" s="38"/>
      <c r="O5" s="38"/>
      <c r="P5"/>
      <c r="Q5"/>
      <c r="T5" s="38"/>
      <c r="U5" s="38"/>
    </row>
    <row r="6" spans="2:21" ht="15" customHeight="1" x14ac:dyDescent="0.3">
      <c r="B6" s="760"/>
      <c r="C6" s="761"/>
      <c r="D6" s="762"/>
      <c r="E6" s="762"/>
      <c r="F6" s="762"/>
      <c r="G6" s="762"/>
      <c r="H6" s="762"/>
      <c r="I6" s="762"/>
      <c r="J6" s="762"/>
      <c r="K6" s="762"/>
      <c r="L6" s="762"/>
      <c r="M6" s="763"/>
      <c r="N6" s="38"/>
      <c r="O6" s="38"/>
      <c r="P6"/>
      <c r="Q6"/>
      <c r="T6" s="38"/>
      <c r="U6" s="38"/>
    </row>
    <row r="7" spans="2:21" ht="15" customHeight="1" thickBot="1" x14ac:dyDescent="0.35">
      <c r="B7" s="292" t="str">
        <f>C27</f>
        <v>x</v>
      </c>
      <c r="C7" s="764" t="str">
        <f>D27</f>
        <v>y</v>
      </c>
      <c r="D7" s="765"/>
      <c r="E7" s="765"/>
      <c r="F7" s="765"/>
      <c r="G7" s="765"/>
      <c r="H7" s="765"/>
      <c r="I7" s="765"/>
      <c r="J7" s="765"/>
      <c r="K7" s="765"/>
      <c r="L7" s="765"/>
      <c r="M7" s="766"/>
      <c r="N7" s="38"/>
      <c r="O7" s="38"/>
      <c r="P7"/>
      <c r="Q7"/>
      <c r="T7" s="38"/>
      <c r="U7" s="38"/>
    </row>
    <row r="8" spans="2:21" s="296" customFormat="1" ht="15" customHeight="1" x14ac:dyDescent="0.3">
      <c r="B8" s="293"/>
      <c r="C8" s="294" t="str">
        <f>'Raw Data'!C46</f>
        <v>Run 1</v>
      </c>
      <c r="D8" s="295" t="str">
        <f>'Raw Data'!F46</f>
        <v>Run 2</v>
      </c>
      <c r="E8" s="295" t="str">
        <f>'Raw Data'!I46</f>
        <v>Run 3</v>
      </c>
      <c r="F8" s="295" t="str">
        <f>'Raw Data'!L46</f>
        <v>Run 4</v>
      </c>
      <c r="G8" s="295" t="str">
        <f>'Raw Data'!O46</f>
        <v>Run 5</v>
      </c>
      <c r="H8" s="295" t="str">
        <f>'Raw Data'!R46</f>
        <v>Run 6</v>
      </c>
      <c r="I8" s="295" t="str">
        <f>'Raw Data'!C58</f>
        <v>Run 7</v>
      </c>
      <c r="J8" s="295" t="str">
        <f>'Raw Data'!F58</f>
        <v>Run 8</v>
      </c>
      <c r="K8" s="295" t="str">
        <f>'Raw Data'!I58</f>
        <v>Run 9</v>
      </c>
      <c r="L8" s="295" t="str">
        <f>'Raw Data'!L58</f>
        <v>Run 10</v>
      </c>
      <c r="M8" s="291" t="str">
        <f>'Raw Data'!O58</f>
        <v>Run 11</v>
      </c>
      <c r="N8" s="38"/>
      <c r="O8" s="38"/>
      <c r="R8" s="38"/>
      <c r="S8" s="38"/>
      <c r="T8" s="38"/>
      <c r="U8" s="38"/>
    </row>
    <row r="9" spans="2:21" s="296" customFormat="1" ht="15" customHeight="1" thickBot="1" x14ac:dyDescent="0.35">
      <c r="B9" s="297"/>
      <c r="C9" s="298">
        <f>'Raw Data'!D46</f>
        <v>43672</v>
      </c>
      <c r="D9" s="90">
        <f>'Raw Data'!G46</f>
        <v>43675</v>
      </c>
      <c r="E9" s="90">
        <f>'Raw Data'!J46</f>
        <v>43676</v>
      </c>
      <c r="F9" s="90">
        <f>'Raw Data'!M46</f>
        <v>43677</v>
      </c>
      <c r="G9" s="90">
        <f>'Raw Data'!P46</f>
        <v>43678</v>
      </c>
      <c r="H9" s="90">
        <f>'Raw Data'!S46</f>
        <v>43679</v>
      </c>
      <c r="I9" s="90">
        <f>'Raw Data'!D58</f>
        <v>43682</v>
      </c>
      <c r="J9" s="90">
        <f>'Raw Data'!G58</f>
        <v>43683</v>
      </c>
      <c r="K9" s="90">
        <f>'Raw Data'!J58</f>
        <v>43684</v>
      </c>
      <c r="L9" s="90">
        <f>'Raw Data'!M58</f>
        <v>43685</v>
      </c>
      <c r="M9" s="299">
        <f>'Raw Data'!P58</f>
        <v>43686</v>
      </c>
      <c r="N9" s="38"/>
      <c r="O9" s="38"/>
      <c r="R9" s="38"/>
      <c r="S9" s="38"/>
      <c r="T9" s="38"/>
      <c r="U9" s="38"/>
    </row>
    <row r="10" spans="2:21" ht="15" customHeight="1" x14ac:dyDescent="0.3">
      <c r="B10" s="300">
        <f>Summary!C8</f>
        <v>2.5</v>
      </c>
      <c r="C10" s="72">
        <f>'Raw Data'!E49</f>
        <v>0.16014399655078693</v>
      </c>
      <c r="D10" s="49">
        <f>'Raw Data'!H49</f>
        <v>0.16328031811616339</v>
      </c>
      <c r="E10" s="49">
        <f>'Raw Data'!K49</f>
        <v>0.15798356336566238</v>
      </c>
      <c r="F10" s="49">
        <f>'Raw Data'!N49</f>
        <v>0.1585800933617359</v>
      </c>
      <c r="G10" s="49">
        <f>'Raw Data'!Q49</f>
        <v>0.1518814483325519</v>
      </c>
      <c r="H10" s="49">
        <f>'Raw Data'!T49</f>
        <v>0.16877135037197377</v>
      </c>
      <c r="I10" s="49">
        <f>'Raw Data'!E61</f>
        <v>0.13796422328060171</v>
      </c>
      <c r="J10" s="49">
        <f>'Raw Data'!H61</f>
        <v>0.15066635599158143</v>
      </c>
      <c r="K10" s="49">
        <f>'Raw Data'!K61</f>
        <v>0.1593626290148174</v>
      </c>
      <c r="L10" s="49">
        <f>'Raw Data'!N61</f>
        <v>0.18780483857347077</v>
      </c>
      <c r="M10" s="50">
        <f>'Raw Data'!Q61</f>
        <v>0.176043971343322</v>
      </c>
      <c r="N10" s="38"/>
      <c r="O10" s="38"/>
      <c r="P10"/>
      <c r="Q10"/>
      <c r="T10" s="38"/>
      <c r="U10" s="38"/>
    </row>
    <row r="11" spans="2:21" ht="15" customHeight="1" x14ac:dyDescent="0.3">
      <c r="B11" s="239">
        <f>Summary!D8</f>
        <v>5</v>
      </c>
      <c r="C11" s="71">
        <f>'Raw Data'!E50</f>
        <v>0.31864691978952159</v>
      </c>
      <c r="D11" s="244">
        <f>'Raw Data'!H50</f>
        <v>0.3165443037006751</v>
      </c>
      <c r="E11" s="244">
        <f>'Raw Data'!K50</f>
        <v>0.31271666107552315</v>
      </c>
      <c r="F11" s="244">
        <f>'Raw Data'!N50</f>
        <v>0.3023015716228476</v>
      </c>
      <c r="G11" s="244">
        <f>'Raw Data'!Q50</f>
        <v>0.30074442105025645</v>
      </c>
      <c r="H11" s="244">
        <f>'Raw Data'!T50</f>
        <v>0.30697594127605876</v>
      </c>
      <c r="I11" s="244">
        <f>'Raw Data'!E62</f>
        <v>0.25679994703893039</v>
      </c>
      <c r="J11" s="244">
        <f>'Raw Data'!H62</f>
        <v>0.29984796626961241</v>
      </c>
      <c r="K11" s="244">
        <f>'Raw Data'!K62</f>
        <v>0.27390415040083749</v>
      </c>
      <c r="L11" s="244">
        <f>'Raw Data'!N62</f>
        <v>0.33591330425788063</v>
      </c>
      <c r="M11" s="52">
        <f>'Raw Data'!Q62</f>
        <v>0.33004270085300053</v>
      </c>
      <c r="N11" s="38"/>
      <c r="O11" s="38"/>
      <c r="P11"/>
      <c r="Q11"/>
      <c r="T11" s="38"/>
      <c r="U11" s="38"/>
    </row>
    <row r="12" spans="2:21" ht="15" customHeight="1" x14ac:dyDescent="0.3">
      <c r="B12" s="239">
        <f>Summary!E8</f>
        <v>25</v>
      </c>
      <c r="C12" s="71">
        <f>'Raw Data'!E51</f>
        <v>1.5969087251967005</v>
      </c>
      <c r="D12" s="244">
        <f>'Raw Data'!H51</f>
        <v>1.6353099903776365</v>
      </c>
      <c r="E12" s="244">
        <f>'Raw Data'!K51</f>
        <v>1.5362083599902379</v>
      </c>
      <c r="F12" s="244">
        <f>'Raw Data'!N51</f>
        <v>1.5482656026947177</v>
      </c>
      <c r="G12" s="244">
        <f>'Raw Data'!Q51</f>
        <v>1.5219082984279468</v>
      </c>
      <c r="H12" s="244">
        <f>'Raw Data'!T51</f>
        <v>1.6021146061448757</v>
      </c>
      <c r="I12" s="244">
        <f>'Raw Data'!E63</f>
        <v>1.4977164307682391</v>
      </c>
      <c r="J12" s="244">
        <f>'Raw Data'!H63</f>
        <v>1.564807198165886</v>
      </c>
      <c r="K12" s="244">
        <f>'Raw Data'!K63</f>
        <v>1.4628955541352062</v>
      </c>
      <c r="L12" s="244">
        <f>'Raw Data'!N63</f>
        <v>1.7092686355240898</v>
      </c>
      <c r="M12" s="52">
        <f>'Raw Data'!Q63</f>
        <v>1.6552268343625469</v>
      </c>
      <c r="N12" s="38"/>
      <c r="O12" s="38"/>
      <c r="P12"/>
      <c r="Q12"/>
      <c r="T12" s="38"/>
      <c r="U12" s="38"/>
    </row>
    <row r="13" spans="2:21" ht="15" customHeight="1" x14ac:dyDescent="0.3">
      <c r="B13" s="239">
        <f>Summary!F8</f>
        <v>50</v>
      </c>
      <c r="C13" s="71">
        <f>'Raw Data'!E52</f>
        <v>3.2930680405354766</v>
      </c>
      <c r="D13" s="244">
        <f>'Raw Data'!H52</f>
        <v>3.2948309181184947</v>
      </c>
      <c r="E13" s="244">
        <f>'Raw Data'!K52</f>
        <v>3.2544409012139019</v>
      </c>
      <c r="F13" s="244">
        <f>'Raw Data'!N52</f>
        <v>3.2464891371962654</v>
      </c>
      <c r="G13" s="244">
        <f>'Raw Data'!Q52</f>
        <v>3.0394982236922705</v>
      </c>
      <c r="H13" s="244">
        <f>'Raw Data'!T52</f>
        <v>3.4367575248933293</v>
      </c>
      <c r="I13" s="244">
        <f>'Raw Data'!E64</f>
        <v>3.2376603945736977</v>
      </c>
      <c r="J13" s="244">
        <f>'Raw Data'!H64</f>
        <v>3.2662647774720939</v>
      </c>
      <c r="K13" s="244">
        <f>'Raw Data'!K64</f>
        <v>3.0612652870482902</v>
      </c>
      <c r="L13" s="244">
        <f>'Raw Data'!N64</f>
        <v>3.5342637304883127</v>
      </c>
      <c r="M13" s="52">
        <f>'Raw Data'!Q64</f>
        <v>3.4260365104494568</v>
      </c>
      <c r="N13" s="38"/>
      <c r="O13" s="38"/>
      <c r="P13"/>
      <c r="Q13"/>
      <c r="T13" s="38"/>
      <c r="U13" s="38"/>
    </row>
    <row r="14" spans="2:21" ht="15" customHeight="1" x14ac:dyDescent="0.3">
      <c r="B14" s="239">
        <f>Summary!G8</f>
        <v>75</v>
      </c>
      <c r="C14" s="71">
        <f>'Raw Data'!E53</f>
        <v>5.0351217162806217</v>
      </c>
      <c r="D14" s="244">
        <f>'Raw Data'!H53</f>
        <v>5.1599107934822133</v>
      </c>
      <c r="E14" s="244">
        <f>'Raw Data'!K53</f>
        <v>5.0500651360056876</v>
      </c>
      <c r="F14" s="244">
        <f>'Raw Data'!N53</f>
        <v>5.0945935881468891</v>
      </c>
      <c r="G14" s="244">
        <f>'Raw Data'!Q53</f>
        <v>5.0667822894498924</v>
      </c>
      <c r="H14" s="244">
        <f>'Raw Data'!T53</f>
        <v>5.8660651384864364</v>
      </c>
      <c r="I14" s="244">
        <f>'Raw Data'!E65</f>
        <v>5.3370338076133832</v>
      </c>
      <c r="J14" s="244">
        <f>'Raw Data'!H65</f>
        <v>5.3832319377579294</v>
      </c>
      <c r="K14" s="244">
        <f>'Raw Data'!K65</f>
        <v>5.220906721893277</v>
      </c>
      <c r="L14" s="244">
        <f>'Raw Data'!N65</f>
        <v>5.7133322487710929</v>
      </c>
      <c r="M14" s="52">
        <f>'Raw Data'!Q65</f>
        <v>5.2042549846423327</v>
      </c>
      <c r="N14" s="38"/>
      <c r="O14" s="38"/>
      <c r="P14"/>
      <c r="Q14"/>
      <c r="T14" s="38"/>
      <c r="U14" s="38"/>
    </row>
    <row r="15" spans="2:21" ht="15" customHeight="1" x14ac:dyDescent="0.3">
      <c r="B15" s="239">
        <f>Summary!H8</f>
        <v>100</v>
      </c>
      <c r="C15" s="71">
        <f>'Raw Data'!E54</f>
        <v>6.5638531504189377</v>
      </c>
      <c r="D15" s="244">
        <f>'Raw Data'!H54</f>
        <v>6.8113397181912898</v>
      </c>
      <c r="E15" s="244">
        <f>'Raw Data'!K54</f>
        <v>6.7987072808313904</v>
      </c>
      <c r="F15" s="244">
        <f>'Raw Data'!N54</f>
        <v>6.8522548203816864</v>
      </c>
      <c r="G15" s="244">
        <f>'Raw Data'!Q54</f>
        <v>6.4647739627346708</v>
      </c>
      <c r="H15" s="244">
        <f>'Raw Data'!T54</f>
        <v>7.625947393928028</v>
      </c>
      <c r="I15" s="244">
        <f>'Raw Data'!E66</f>
        <v>6.9166077087511395</v>
      </c>
      <c r="J15" s="244">
        <f>'Raw Data'!H66</f>
        <v>7.1915515215222765</v>
      </c>
      <c r="K15" s="244">
        <f>'Raw Data'!K66</f>
        <v>6.7229139189935632</v>
      </c>
      <c r="L15" s="244">
        <f>'Raw Data'!N66</f>
        <v>7.5812474916087531</v>
      </c>
      <c r="M15" s="52">
        <f>'Raw Data'!Q66</f>
        <v>6.9377089175761899</v>
      </c>
      <c r="N15" s="38"/>
      <c r="O15" s="38"/>
      <c r="P15"/>
      <c r="Q15"/>
      <c r="T15" s="38"/>
      <c r="U15" s="38"/>
    </row>
    <row r="16" spans="2:21" ht="15" customHeight="1" x14ac:dyDescent="0.3">
      <c r="B16" s="239">
        <f>Summary!I8</f>
        <v>150</v>
      </c>
      <c r="C16" s="71">
        <f>'Raw Data'!E55</f>
        <v>10.157338847340535</v>
      </c>
      <c r="D16" s="244">
        <f>'Raw Data'!H55</f>
        <v>10.22222501192619</v>
      </c>
      <c r="E16" s="244">
        <f>'Raw Data'!K55</f>
        <v>9.9775480328039521</v>
      </c>
      <c r="F16" s="244">
        <f>'Raw Data'!N55</f>
        <v>10.269087028190192</v>
      </c>
      <c r="G16" s="244">
        <f>'Raw Data'!Q55</f>
        <v>9.5642034921305363</v>
      </c>
      <c r="H16" s="244">
        <f>'Raw Data'!T55</f>
        <v>11.523587118556913</v>
      </c>
      <c r="I16" s="244">
        <f>'Raw Data'!E67</f>
        <v>10.380042383035823</v>
      </c>
      <c r="J16" s="244">
        <f>'Raw Data'!H67</f>
        <v>10.185394920143626</v>
      </c>
      <c r="K16" s="244">
        <f>'Raw Data'!K67</f>
        <v>9.8118659624635729</v>
      </c>
      <c r="L16" s="244">
        <f>'Raw Data'!N67</f>
        <v>10.35833427989008</v>
      </c>
      <c r="M16" s="52">
        <f>'Raw Data'!Q67</f>
        <v>10.345209788323642</v>
      </c>
      <c r="N16" s="38"/>
      <c r="O16" s="38"/>
      <c r="P16"/>
      <c r="Q16"/>
      <c r="T16" s="38"/>
      <c r="U16" s="38"/>
    </row>
    <row r="17" spans="2:27" ht="15" customHeight="1" thickBot="1" x14ac:dyDescent="0.35">
      <c r="B17" s="239">
        <f>Summary!J8</f>
        <v>200</v>
      </c>
      <c r="C17" s="71">
        <f>'Raw Data'!E56</f>
        <v>13.394451091830382</v>
      </c>
      <c r="D17" s="244">
        <f>'Raw Data'!H56</f>
        <v>13.968970871517714</v>
      </c>
      <c r="E17" s="244">
        <f>'Raw Data'!K56</f>
        <v>13.631152248345199</v>
      </c>
      <c r="F17" s="244">
        <f>'Raw Data'!N56</f>
        <v>13.583950170274377</v>
      </c>
      <c r="G17" s="244">
        <f>'Raw Data'!Q56</f>
        <v>13.601124107677526</v>
      </c>
      <c r="H17" s="244">
        <f>'Raw Data'!T56</f>
        <v>15.611657418423158</v>
      </c>
      <c r="I17" s="244">
        <f>'Raw Data'!E68</f>
        <v>14.272279799183218</v>
      </c>
      <c r="J17" s="244">
        <f>'Raw Data'!H68</f>
        <v>14.2633664971216</v>
      </c>
      <c r="K17" s="244">
        <f>'Raw Data'!K68</f>
        <v>14.419449690397377</v>
      </c>
      <c r="L17" s="244">
        <f>'Raw Data'!N68</f>
        <v>14.738995971985267</v>
      </c>
      <c r="M17" s="52">
        <f>'Raw Data'!Q68</f>
        <v>14.108725682688467</v>
      </c>
      <c r="N17" s="38"/>
      <c r="O17" s="38"/>
      <c r="P17"/>
      <c r="Q17"/>
      <c r="T17" s="38"/>
      <c r="U17" s="38"/>
    </row>
    <row r="18" spans="2:27" ht="15" customHeight="1" thickBot="1" x14ac:dyDescent="0.4">
      <c r="B18" s="301" t="s">
        <v>352</v>
      </c>
      <c r="C18" s="302">
        <f>C110</f>
        <v>1.3018685991149624E-3</v>
      </c>
      <c r="D18" s="302">
        <f>L110</f>
        <v>1.882657435935274E-3</v>
      </c>
      <c r="E18" s="302">
        <f>C131</f>
        <v>2.338244426950581E-3</v>
      </c>
      <c r="F18" s="302">
        <f>L131</f>
        <v>2.8294659509685845E-3</v>
      </c>
      <c r="G18" s="302">
        <f>C151</f>
        <v>2.8939610112867519E-3</v>
      </c>
      <c r="H18" s="302">
        <f>L151</f>
        <v>6.1108223185363441E-3</v>
      </c>
      <c r="I18" s="302">
        <f>C172</f>
        <v>5.1810235677711364E-3</v>
      </c>
      <c r="J18" s="302">
        <f>L172</f>
        <v>3.693451754004384E-3</v>
      </c>
      <c r="K18" s="302">
        <f>C193</f>
        <v>5.7834643065127443E-3</v>
      </c>
      <c r="L18" s="302">
        <f>L193</f>
        <v>3.8973304774437005E-3</v>
      </c>
      <c r="M18" s="302">
        <f>C214</f>
        <v>1.8609962006430549E-3</v>
      </c>
      <c r="N18" s="127" t="s">
        <v>108</v>
      </c>
      <c r="O18" s="38"/>
      <c r="P18"/>
      <c r="Q18"/>
      <c r="T18" s="38"/>
      <c r="U18" s="38"/>
    </row>
    <row r="19" spans="2:27" ht="15" customHeight="1" x14ac:dyDescent="0.3">
      <c r="B19" s="303" t="s">
        <v>109</v>
      </c>
      <c r="C19" s="304">
        <f t="shared" ref="C19:M19" si="0">COUNT(C10:C17)-1</f>
        <v>7</v>
      </c>
      <c r="D19" s="304">
        <f t="shared" si="0"/>
        <v>7</v>
      </c>
      <c r="E19" s="304">
        <f t="shared" si="0"/>
        <v>7</v>
      </c>
      <c r="F19" s="304">
        <f t="shared" si="0"/>
        <v>7</v>
      </c>
      <c r="G19" s="304">
        <f t="shared" si="0"/>
        <v>7</v>
      </c>
      <c r="H19" s="304">
        <f t="shared" si="0"/>
        <v>7</v>
      </c>
      <c r="I19" s="304">
        <f t="shared" si="0"/>
        <v>7</v>
      </c>
      <c r="J19" s="304">
        <f t="shared" si="0"/>
        <v>7</v>
      </c>
      <c r="K19" s="304">
        <f t="shared" si="0"/>
        <v>7</v>
      </c>
      <c r="L19" s="304">
        <f t="shared" si="0"/>
        <v>7</v>
      </c>
      <c r="M19" s="304">
        <f t="shared" si="0"/>
        <v>7</v>
      </c>
      <c r="N19" s="305">
        <f>SUM(C19:M19)</f>
        <v>77</v>
      </c>
      <c r="O19" s="38"/>
      <c r="P19"/>
      <c r="Q19"/>
      <c r="T19" s="38"/>
      <c r="U19" s="38"/>
    </row>
    <row r="20" spans="2:27" ht="15" customHeight="1" thickBot="1" x14ac:dyDescent="0.4">
      <c r="B20" s="306" t="s">
        <v>353</v>
      </c>
      <c r="C20" s="307">
        <f>C19*C18^2</f>
        <v>1.1864032945530883E-5</v>
      </c>
      <c r="D20" s="307">
        <f t="shared" ref="D20:M20" si="1">D19*D18^2</f>
        <v>2.4810793147576664E-5</v>
      </c>
      <c r="E20" s="307">
        <f t="shared" si="1"/>
        <v>3.8271709001158158E-5</v>
      </c>
      <c r="F20" s="307">
        <f t="shared" si="1"/>
        <v>5.6041142973833891E-5</v>
      </c>
      <c r="G20" s="307">
        <f t="shared" si="1"/>
        <v>5.8625072343934874E-5</v>
      </c>
      <c r="H20" s="307">
        <f t="shared" si="1"/>
        <v>2.6139504586105333E-4</v>
      </c>
      <c r="I20" s="307">
        <f t="shared" si="1"/>
        <v>1.8790103646859968E-4</v>
      </c>
      <c r="J20" s="307">
        <f t="shared" si="1"/>
        <v>9.549110101410642E-5</v>
      </c>
      <c r="K20" s="307">
        <f t="shared" si="1"/>
        <v>2.3413921569294857E-4</v>
      </c>
      <c r="L20" s="307">
        <f t="shared" si="1"/>
        <v>1.063242939528808E-4</v>
      </c>
      <c r="M20" s="307">
        <f t="shared" si="1"/>
        <v>2.4243148011655197E-5</v>
      </c>
      <c r="N20" s="308">
        <f>SUM(C20:M20)</f>
        <v>1.0991065914132787E-3</v>
      </c>
      <c r="O20" s="38"/>
      <c r="P20"/>
      <c r="Q20"/>
      <c r="T20" s="38"/>
      <c r="U20" s="38"/>
    </row>
    <row r="21" spans="2:27" s="12" customFormat="1" ht="15" customHeight="1" x14ac:dyDescent="0.3">
      <c r="B21" s="116"/>
      <c r="C21" s="248"/>
      <c r="D21" s="248"/>
      <c r="E21" s="248"/>
      <c r="F21" s="248"/>
      <c r="G21" s="253"/>
      <c r="H21" s="253"/>
      <c r="I21" s="248"/>
      <c r="J21" s="248"/>
      <c r="K21" s="248"/>
      <c r="L21" s="248"/>
      <c r="M21" s="248"/>
      <c r="N21" s="248"/>
      <c r="O21" s="248"/>
      <c r="P21" s="246"/>
      <c r="Q21" s="249"/>
      <c r="T21" s="249"/>
      <c r="U21" s="249"/>
      <c r="V21" s="249"/>
      <c r="W21" s="249"/>
    </row>
    <row r="22" spans="2:27" s="12" customFormat="1" ht="15" customHeight="1" x14ac:dyDescent="0.3">
      <c r="B22" s="309"/>
      <c r="C22" s="248"/>
      <c r="D22" s="371"/>
      <c r="E22" s="248"/>
      <c r="J22" s="248"/>
      <c r="K22" s="248"/>
      <c r="L22" s="248"/>
      <c r="M22" s="248"/>
      <c r="N22" s="248"/>
      <c r="O22" s="248"/>
      <c r="P22" s="248"/>
      <c r="Q22" s="246"/>
      <c r="R22" s="249"/>
      <c r="U22" s="249"/>
      <c r="V22" s="249"/>
      <c r="W22" s="249"/>
      <c r="X22" s="249"/>
    </row>
    <row r="23" spans="2:27" s="12" customFormat="1" ht="18.75" customHeight="1" x14ac:dyDescent="0.35">
      <c r="B23" s="310" t="s">
        <v>121</v>
      </c>
      <c r="C23" s="311" t="str">
        <f>"Run "&amp;MATCH(MAX(C18:M18),C18:M18,0)</f>
        <v>Run 6</v>
      </c>
      <c r="D23" s="312">
        <f>LOOKUP(MAX(C18:M18),C18:M18,C9:M9)</f>
        <v>43679</v>
      </c>
      <c r="E23" s="248"/>
      <c r="F23" s="253"/>
      <c r="G23" s="253"/>
      <c r="H23" s="253"/>
      <c r="I23" s="253"/>
      <c r="J23" s="248"/>
      <c r="K23" s="313" t="s">
        <v>26</v>
      </c>
      <c r="L23" s="248"/>
      <c r="M23" s="248"/>
      <c r="N23" s="248"/>
      <c r="O23" s="248"/>
      <c r="P23" s="248"/>
      <c r="Q23" s="249"/>
      <c r="T23" s="249"/>
      <c r="U23" s="249"/>
      <c r="V23" s="249"/>
      <c r="W23" s="249"/>
    </row>
    <row r="24" spans="2:27" ht="15" customHeight="1" thickBot="1" x14ac:dyDescent="0.35">
      <c r="F24" s="451"/>
      <c r="G24" s="451"/>
      <c r="H24" s="451"/>
      <c r="I24" s="451"/>
      <c r="J24" s="202"/>
      <c r="K24" s="314"/>
      <c r="L24" s="223"/>
      <c r="M24" s="2"/>
      <c r="N24" s="2"/>
      <c r="O24" s="2"/>
      <c r="P24" s="2"/>
      <c r="Q24"/>
      <c r="R24"/>
      <c r="S24"/>
      <c r="T24" s="38"/>
      <c r="U24" s="38"/>
    </row>
    <row r="25" spans="2:27" ht="15" customHeight="1" x14ac:dyDescent="0.3">
      <c r="B25" s="755" t="str">
        <f>C23</f>
        <v>Run 6</v>
      </c>
      <c r="C25" s="759" t="str">
        <f>'[1]Raw Data'!C4</f>
        <v>Nominal Conc (µg/L)</v>
      </c>
      <c r="D25" s="759" t="str">
        <f>C4</f>
        <v>Ratio (Coc/Coc-d8)</v>
      </c>
      <c r="E25" s="543" t="s">
        <v>303</v>
      </c>
      <c r="F25" s="725" t="s">
        <v>331</v>
      </c>
      <c r="G25" s="772" t="s">
        <v>334</v>
      </c>
      <c r="H25" s="730" t="s">
        <v>350</v>
      </c>
      <c r="I25" s="549"/>
      <c r="J25" s="725" t="s">
        <v>27</v>
      </c>
      <c r="K25" s="725" t="s">
        <v>165</v>
      </c>
      <c r="L25" s="725" t="s">
        <v>122</v>
      </c>
      <c r="M25" s="725" t="s">
        <v>123</v>
      </c>
      <c r="N25" s="725" t="s">
        <v>341</v>
      </c>
      <c r="O25" s="725" t="s">
        <v>333</v>
      </c>
      <c r="R25"/>
      <c r="S25"/>
    </row>
    <row r="26" spans="2:27" s="38" customFormat="1" ht="15" customHeight="1" x14ac:dyDescent="0.3">
      <c r="B26" s="756"/>
      <c r="C26" s="760"/>
      <c r="D26" s="760"/>
      <c r="E26" s="544"/>
      <c r="F26" s="767"/>
      <c r="G26" s="764"/>
      <c r="H26" s="754"/>
      <c r="I26" s="549"/>
      <c r="J26" s="767"/>
      <c r="K26" s="767"/>
      <c r="L26" s="767"/>
      <c r="M26" s="767"/>
      <c r="N26" s="767"/>
      <c r="O26" s="767"/>
    </row>
    <row r="27" spans="2:27" s="38" customFormat="1" ht="15" customHeight="1" thickBot="1" x14ac:dyDescent="0.35">
      <c r="B27" s="756"/>
      <c r="C27" s="243" t="s">
        <v>24</v>
      </c>
      <c r="D27" s="243" t="s">
        <v>25</v>
      </c>
      <c r="E27" s="547" t="s">
        <v>347</v>
      </c>
      <c r="F27" s="726"/>
      <c r="G27" s="773"/>
      <c r="H27" s="754"/>
      <c r="I27" s="549"/>
      <c r="J27" s="726"/>
      <c r="K27" s="726"/>
      <c r="L27" s="726"/>
      <c r="M27" s="726"/>
      <c r="N27" s="726"/>
      <c r="O27" s="726"/>
    </row>
    <row r="28" spans="2:27" ht="15" customHeight="1" thickBot="1" x14ac:dyDescent="0.35">
      <c r="B28" s="756"/>
      <c r="C28" s="572">
        <f t="shared" ref="C28:C35" si="2">B10</f>
        <v>2.5</v>
      </c>
      <c r="D28" s="573">
        <f t="shared" ref="D28:D35" si="3">LOOKUP($D$23,C$9:M$9,C10:M10)</f>
        <v>0.16877135037197377</v>
      </c>
      <c r="E28" s="573">
        <f>1/(C28^2)</f>
        <v>0.16</v>
      </c>
      <c r="F28" s="573">
        <f>C28*E28</f>
        <v>0.4</v>
      </c>
      <c r="G28" s="573">
        <f>D28*E28</f>
        <v>2.7003416059515804E-2</v>
      </c>
      <c r="H28" s="574">
        <f>E28*C28^2</f>
        <v>1</v>
      </c>
      <c r="I28" s="244"/>
      <c r="J28" s="45">
        <f>COUNT(C28:C35)</f>
        <v>8</v>
      </c>
      <c r="K28" s="46">
        <f>J28-2</f>
        <v>6</v>
      </c>
      <c r="L28" s="224">
        <f>C56</f>
        <v>-2.5949844228341123E-2</v>
      </c>
      <c r="M28" s="224">
        <f>C57</f>
        <v>7.3639310235994321E-2</v>
      </c>
      <c r="N28" s="224">
        <f>C46</f>
        <v>6.1108223185363441E-3</v>
      </c>
      <c r="O28" s="225">
        <f>AVERAGE(F28:F35)</f>
        <v>8.6875000000000022E-2</v>
      </c>
      <c r="R28"/>
      <c r="S28"/>
    </row>
    <row r="29" spans="2:27" ht="15" customHeight="1" x14ac:dyDescent="0.3">
      <c r="B29" s="756"/>
      <c r="C29" s="575">
        <f t="shared" si="2"/>
        <v>5</v>
      </c>
      <c r="D29" s="539">
        <f t="shared" si="3"/>
        <v>0.30697594127605876</v>
      </c>
      <c r="E29" s="539">
        <f t="shared" ref="E29:E35" si="4">1/(C29^2)</f>
        <v>0.04</v>
      </c>
      <c r="F29" s="539">
        <f t="shared" ref="F29:F35" si="5">C29*E29</f>
        <v>0.2</v>
      </c>
      <c r="G29" s="539">
        <f t="shared" ref="G29:G35" si="6">D29*E29</f>
        <v>1.2279037651042352E-2</v>
      </c>
      <c r="H29" s="540">
        <f t="shared" ref="H29:H35" si="7">E29*C29^2</f>
        <v>1</v>
      </c>
      <c r="I29" s="244"/>
      <c r="J29" s="244"/>
      <c r="N29" s="555"/>
      <c r="O29" s="561"/>
      <c r="P29" s="451"/>
      <c r="Q29" s="451"/>
      <c r="R29"/>
      <c r="S29"/>
      <c r="V29" s="38"/>
      <c r="W29" s="38"/>
    </row>
    <row r="30" spans="2:27" ht="19.2" customHeight="1" thickBot="1" x14ac:dyDescent="0.4">
      <c r="B30" s="756"/>
      <c r="C30" s="575">
        <f t="shared" si="2"/>
        <v>25</v>
      </c>
      <c r="D30" s="539">
        <f t="shared" si="3"/>
        <v>1.6021146061448757</v>
      </c>
      <c r="E30" s="539">
        <f t="shared" si="4"/>
        <v>1.6000000000000001E-3</v>
      </c>
      <c r="F30" s="539">
        <f t="shared" si="5"/>
        <v>0.04</v>
      </c>
      <c r="G30" s="539">
        <f t="shared" si="6"/>
        <v>2.5633833698318013E-3</v>
      </c>
      <c r="H30" s="540">
        <f t="shared" si="7"/>
        <v>1</v>
      </c>
      <c r="I30" s="244"/>
      <c r="J30" s="782" t="s">
        <v>339</v>
      </c>
      <c r="K30" s="782"/>
      <c r="L30" s="782"/>
      <c r="N30" s="555"/>
      <c r="O30" s="561"/>
      <c r="P30" s="451"/>
      <c r="Q30" s="451"/>
      <c r="R30"/>
      <c r="S30"/>
      <c r="V30" s="38"/>
      <c r="W30" s="38"/>
      <c r="X30" s="38"/>
    </row>
    <row r="31" spans="2:27" ht="18.75" customHeight="1" x14ac:dyDescent="0.3">
      <c r="B31" s="757">
        <f>D23</f>
        <v>43679</v>
      </c>
      <c r="C31" s="575">
        <f t="shared" si="2"/>
        <v>50</v>
      </c>
      <c r="D31" s="539">
        <f t="shared" si="3"/>
        <v>3.4367575248933293</v>
      </c>
      <c r="E31" s="539">
        <f t="shared" si="4"/>
        <v>4.0000000000000002E-4</v>
      </c>
      <c r="F31" s="539">
        <f t="shared" si="5"/>
        <v>0.02</v>
      </c>
      <c r="G31" s="539">
        <f t="shared" si="6"/>
        <v>1.3747030099573317E-3</v>
      </c>
      <c r="H31" s="540">
        <f t="shared" si="7"/>
        <v>1</v>
      </c>
      <c r="I31" s="244"/>
      <c r="J31" s="774" t="s">
        <v>125</v>
      </c>
      <c r="K31" s="706" t="s">
        <v>340</v>
      </c>
      <c r="L31" s="730" t="s">
        <v>126</v>
      </c>
      <c r="M31" s="454"/>
      <c r="N31" s="774" t="s">
        <v>125</v>
      </c>
      <c r="O31" s="730" t="s">
        <v>348</v>
      </c>
      <c r="P31"/>
      <c r="Q31" s="451"/>
      <c r="R31"/>
      <c r="S31"/>
      <c r="X31" s="38"/>
      <c r="Y31" s="38"/>
      <c r="Z31" s="38"/>
      <c r="AA31" s="38"/>
    </row>
    <row r="32" spans="2:27" ht="15" customHeight="1" x14ac:dyDescent="0.3">
      <c r="B32" s="757"/>
      <c r="C32" s="575">
        <f t="shared" si="2"/>
        <v>75</v>
      </c>
      <c r="D32" s="539">
        <f t="shared" si="3"/>
        <v>5.8660651384864364</v>
      </c>
      <c r="E32" s="539">
        <f t="shared" si="4"/>
        <v>1.7777777777777779E-4</v>
      </c>
      <c r="F32" s="539">
        <f t="shared" si="5"/>
        <v>1.3333333333333334E-2</v>
      </c>
      <c r="G32" s="539">
        <f t="shared" si="6"/>
        <v>1.042856024619811E-3</v>
      </c>
      <c r="H32" s="540">
        <f t="shared" si="7"/>
        <v>1</v>
      </c>
      <c r="I32" s="244"/>
      <c r="J32" s="775"/>
      <c r="K32" s="777"/>
      <c r="L32" s="754"/>
      <c r="M32" s="454"/>
      <c r="N32" s="775"/>
      <c r="O32" s="754"/>
      <c r="P32"/>
      <c r="Q32"/>
      <c r="R32"/>
      <c r="S32"/>
      <c r="W32" s="38"/>
      <c r="X32" s="38"/>
      <c r="Y32" s="38"/>
      <c r="Z32" s="38"/>
    </row>
    <row r="33" spans="2:26" ht="15.75" customHeight="1" thickBot="1" x14ac:dyDescent="0.35">
      <c r="B33" s="757"/>
      <c r="C33" s="575">
        <f t="shared" si="2"/>
        <v>100</v>
      </c>
      <c r="D33" s="539">
        <f t="shared" si="3"/>
        <v>7.625947393928028</v>
      </c>
      <c r="E33" s="539">
        <f t="shared" si="4"/>
        <v>1E-4</v>
      </c>
      <c r="F33" s="539">
        <f t="shared" si="5"/>
        <v>0.01</v>
      </c>
      <c r="G33" s="539">
        <f t="shared" si="6"/>
        <v>7.6259473939280285E-4</v>
      </c>
      <c r="H33" s="540">
        <f t="shared" si="7"/>
        <v>1</v>
      </c>
      <c r="I33" s="244"/>
      <c r="J33" s="776"/>
      <c r="K33" s="778"/>
      <c r="L33" s="731"/>
      <c r="M33" s="454"/>
      <c r="N33" s="776"/>
      <c r="O33" s="731"/>
      <c r="P33"/>
      <c r="Q33"/>
      <c r="R33"/>
      <c r="S33"/>
      <c r="U33" s="38"/>
      <c r="W33" s="38"/>
      <c r="X33" s="38"/>
      <c r="Y33" s="38"/>
      <c r="Z33" s="38"/>
    </row>
    <row r="34" spans="2:26" ht="15" customHeight="1" x14ac:dyDescent="0.3">
      <c r="B34" s="757"/>
      <c r="C34" s="575">
        <f t="shared" si="2"/>
        <v>150</v>
      </c>
      <c r="D34" s="539">
        <f t="shared" si="3"/>
        <v>11.523587118556913</v>
      </c>
      <c r="E34" s="539">
        <f t="shared" si="4"/>
        <v>4.4444444444444447E-5</v>
      </c>
      <c r="F34" s="539">
        <f t="shared" si="5"/>
        <v>6.6666666666666671E-3</v>
      </c>
      <c r="G34" s="539">
        <f t="shared" si="6"/>
        <v>5.1215942749141834E-4</v>
      </c>
      <c r="H34" s="540">
        <f t="shared" si="7"/>
        <v>1</v>
      </c>
      <c r="I34" s="244"/>
      <c r="J34" s="72">
        <f>Summary!C9</f>
        <v>10</v>
      </c>
      <c r="K34" s="558">
        <f>$L$28+$M$28*J34</f>
        <v>0.71044325813160214</v>
      </c>
      <c r="L34" s="779">
        <v>2</v>
      </c>
      <c r="M34" s="454"/>
      <c r="N34" s="72">
        <f>J34</f>
        <v>10</v>
      </c>
      <c r="O34" s="558">
        <f>1/(N34^2)</f>
        <v>0.01</v>
      </c>
      <c r="P34"/>
      <c r="Q34"/>
      <c r="R34"/>
      <c r="S34"/>
      <c r="U34" s="38"/>
      <c r="W34" s="38"/>
      <c r="X34" s="38"/>
      <c r="Y34" s="38"/>
      <c r="Z34" s="38"/>
    </row>
    <row r="35" spans="2:26" ht="15" customHeight="1" thickBot="1" x14ac:dyDescent="0.35">
      <c r="B35" s="758"/>
      <c r="C35" s="576">
        <f t="shared" si="2"/>
        <v>200</v>
      </c>
      <c r="D35" s="537">
        <f t="shared" si="3"/>
        <v>15.611657418423158</v>
      </c>
      <c r="E35" s="537">
        <f t="shared" si="4"/>
        <v>2.5000000000000001E-5</v>
      </c>
      <c r="F35" s="537">
        <f t="shared" si="5"/>
        <v>5.0000000000000001E-3</v>
      </c>
      <c r="G35" s="537">
        <f t="shared" si="6"/>
        <v>3.9029143546057897E-4</v>
      </c>
      <c r="H35" s="538">
        <f t="shared" si="7"/>
        <v>1</v>
      </c>
      <c r="I35" s="244"/>
      <c r="J35" s="556">
        <f>Summary!D9</f>
        <v>50</v>
      </c>
      <c r="K35" s="559">
        <f>$L$28+$M$28*J35</f>
        <v>3.6560156675713746</v>
      </c>
      <c r="L35" s="780"/>
      <c r="M35" s="26"/>
      <c r="N35" s="556">
        <f>J35</f>
        <v>50</v>
      </c>
      <c r="O35" s="559">
        <f>1/(N35^2)</f>
        <v>4.0000000000000002E-4</v>
      </c>
      <c r="P35"/>
      <c r="Q35"/>
      <c r="R35"/>
      <c r="S35"/>
      <c r="U35" s="38"/>
      <c r="W35" s="38"/>
      <c r="X35" s="38"/>
      <c r="Y35" s="38"/>
      <c r="Z35" s="38"/>
    </row>
    <row r="36" spans="2:26" ht="15" customHeight="1" thickBot="1" x14ac:dyDescent="0.4">
      <c r="B36" s="44"/>
      <c r="C36" s="44"/>
      <c r="D36" s="548"/>
      <c r="E36" s="548"/>
      <c r="F36" s="577" t="s">
        <v>332</v>
      </c>
      <c r="G36" s="548" t="s">
        <v>335</v>
      </c>
      <c r="H36" s="570" t="s">
        <v>351</v>
      </c>
      <c r="I36" s="454"/>
      <c r="J36" s="557">
        <f>Summary!E9</f>
        <v>140</v>
      </c>
      <c r="K36" s="560">
        <f>$L$28+$M$28*J36</f>
        <v>10.283553588810864</v>
      </c>
      <c r="L36" s="781"/>
      <c r="M36" s="35"/>
      <c r="N36" s="557">
        <f>J36</f>
        <v>140</v>
      </c>
      <c r="O36" s="560">
        <f>1/(N36^2)</f>
        <v>5.1020408163265308E-5</v>
      </c>
      <c r="P36"/>
      <c r="Q36"/>
      <c r="R36"/>
      <c r="S36"/>
      <c r="W36" s="38"/>
      <c r="X36" s="38"/>
      <c r="Y36" s="38"/>
      <c r="Z36" s="38"/>
    </row>
    <row r="37" spans="2:26" ht="15" customHeight="1" thickBot="1" x14ac:dyDescent="0.35">
      <c r="E37" s="203"/>
      <c r="F37" s="578">
        <f>SUM(F28:F35)/COUNT(F28:F35)</f>
        <v>8.6875000000000022E-2</v>
      </c>
      <c r="G37" s="569">
        <f>SUM(G28:G35)/COUNT(G28:G35)</f>
        <v>5.7410552146639864E-3</v>
      </c>
      <c r="H37" s="571">
        <f>SUM(H28:H35)</f>
        <v>8</v>
      </c>
      <c r="I37" s="203"/>
      <c r="J37" s="203"/>
      <c r="K37" s="203"/>
      <c r="L37" s="203"/>
      <c r="N37" s="562"/>
      <c r="O37" s="563"/>
      <c r="P37"/>
      <c r="Q37"/>
      <c r="W37" s="38"/>
      <c r="X37" s="38"/>
      <c r="Y37" s="38"/>
      <c r="Z37" s="38"/>
    </row>
    <row r="38" spans="2:26" ht="15" customHeight="1" thickBot="1" x14ac:dyDescent="0.35">
      <c r="D38" s="451"/>
      <c r="E38" s="203"/>
      <c r="F38" s="454"/>
      <c r="G38" s="454"/>
      <c r="H38" s="454"/>
      <c r="I38" s="203"/>
      <c r="J38" s="203"/>
      <c r="K38" s="203"/>
      <c r="L38" s="203"/>
      <c r="M38" s="451"/>
      <c r="N38" s="562"/>
      <c r="O38" s="563"/>
      <c r="P38"/>
      <c r="Q38"/>
      <c r="R38" s="451"/>
      <c r="S38" s="451"/>
      <c r="W38" s="451"/>
      <c r="X38" s="451"/>
      <c r="Y38" s="451"/>
      <c r="Z38" s="451"/>
    </row>
    <row r="39" spans="2:26" ht="15" customHeight="1" x14ac:dyDescent="0.3">
      <c r="B39" s="609"/>
      <c r="C39" s="550"/>
      <c r="D39" s="551"/>
      <c r="E39" s="295"/>
      <c r="F39" s="295"/>
      <c r="G39" s="295"/>
      <c r="H39" s="295"/>
      <c r="I39" s="291"/>
      <c r="J39" s="203"/>
      <c r="K39"/>
      <c r="L39" s="451"/>
      <c r="M39" s="451"/>
      <c r="N39" s="451"/>
      <c r="O39" s="451"/>
      <c r="P39"/>
      <c r="Q39"/>
      <c r="R39"/>
      <c r="S39"/>
    </row>
    <row r="40" spans="2:26" ht="15" customHeight="1" x14ac:dyDescent="0.3">
      <c r="B40" s="610" t="s">
        <v>304</v>
      </c>
      <c r="C40" s="59"/>
      <c r="D40" s="99"/>
      <c r="E40" s="607"/>
      <c r="F40" s="607"/>
      <c r="G40" s="607"/>
      <c r="H40" s="607"/>
      <c r="I40" s="552"/>
      <c r="J40" s="203"/>
      <c r="K40"/>
      <c r="L40" s="451"/>
      <c r="M40" s="451"/>
      <c r="N40" s="451"/>
      <c r="O40" s="451"/>
      <c r="P40"/>
      <c r="Q40"/>
      <c r="R40"/>
      <c r="S40"/>
    </row>
    <row r="41" spans="2:26" ht="15" customHeight="1" thickBot="1" x14ac:dyDescent="0.35">
      <c r="B41" s="156"/>
      <c r="C41" s="611"/>
      <c r="D41" s="612"/>
      <c r="E41" s="612"/>
      <c r="F41" s="612"/>
      <c r="G41" s="612"/>
      <c r="H41" s="612"/>
      <c r="I41" s="613"/>
      <c r="J41" s="203"/>
      <c r="K41" s="451"/>
      <c r="L41" s="454"/>
      <c r="M41" s="454"/>
      <c r="N41" s="564"/>
      <c r="P41"/>
      <c r="Q41"/>
      <c r="R41"/>
      <c r="S41"/>
    </row>
    <row r="42" spans="2:26" ht="15" customHeight="1" thickBot="1" x14ac:dyDescent="0.5">
      <c r="B42" s="614" t="s">
        <v>305</v>
      </c>
      <c r="C42" s="615"/>
      <c r="D42" s="612"/>
      <c r="E42" s="616"/>
      <c r="F42" s="616"/>
      <c r="G42" s="612"/>
      <c r="H42" s="612"/>
      <c r="I42" s="613"/>
      <c r="J42" s="203"/>
      <c r="K42" s="451"/>
      <c r="L42" s="23" t="s">
        <v>124</v>
      </c>
      <c r="M42" s="565"/>
      <c r="N42" s="566"/>
      <c r="P42"/>
      <c r="Q42"/>
      <c r="R42"/>
      <c r="S42"/>
    </row>
    <row r="43" spans="2:26" ht="15" customHeight="1" thickTop="1" thickBot="1" x14ac:dyDescent="0.35">
      <c r="B43" s="156" t="s">
        <v>306</v>
      </c>
      <c r="C43" s="611">
        <f>SQRT(C44)</f>
        <v>0.99633963023000405</v>
      </c>
      <c r="D43" s="612"/>
      <c r="E43" s="612" t="s">
        <v>311</v>
      </c>
      <c r="F43" s="612">
        <f>C47*LN(D52/C47)+2*C51</f>
        <v>-81.864559446323227</v>
      </c>
      <c r="G43" s="612"/>
      <c r="H43" s="612"/>
      <c r="I43" s="613"/>
      <c r="J43" s="203"/>
      <c r="K43" s="451"/>
      <c r="L43" s="27"/>
      <c r="M43" s="40"/>
      <c r="N43" s="567"/>
      <c r="P43"/>
      <c r="Q43"/>
      <c r="R43"/>
      <c r="S43"/>
    </row>
    <row r="44" spans="2:26" ht="15" customHeight="1" x14ac:dyDescent="0.35">
      <c r="B44" s="156" t="s">
        <v>307</v>
      </c>
      <c r="C44" s="611">
        <f>D51/D53</f>
        <v>0.99269265876686119</v>
      </c>
      <c r="D44" s="612"/>
      <c r="E44" s="612" t="s">
        <v>312</v>
      </c>
      <c r="F44" s="612">
        <f>F43+2*(C51+1)*(C51+2)/(C47-C51-2)</f>
        <v>-79.464559446323221</v>
      </c>
      <c r="G44" s="612"/>
      <c r="H44" s="612"/>
      <c r="I44" s="613"/>
      <c r="J44" s="203"/>
      <c r="K44" s="451"/>
      <c r="L44" s="568" t="s">
        <v>343</v>
      </c>
      <c r="M44" s="768" t="s">
        <v>127</v>
      </c>
      <c r="N44" s="769"/>
      <c r="P44"/>
      <c r="Q44"/>
      <c r="R44"/>
      <c r="S44"/>
    </row>
    <row r="45" spans="2:26" ht="15" customHeight="1" x14ac:dyDescent="0.35">
      <c r="B45" s="156" t="s">
        <v>308</v>
      </c>
      <c r="C45" s="611">
        <f>1-(1-C44)*C47/(C47-C51)</f>
        <v>0.99164875287641274</v>
      </c>
      <c r="D45" s="612"/>
      <c r="E45" s="617" t="s">
        <v>313</v>
      </c>
      <c r="F45" s="617">
        <f>C47*LN(D52/C47)+C51*LN(C47)</f>
        <v>-81.785117904643386</v>
      </c>
      <c r="G45" s="612"/>
      <c r="H45" s="612"/>
      <c r="I45" s="613"/>
      <c r="J45" s="203"/>
      <c r="K45" s="451"/>
      <c r="L45" s="568"/>
      <c r="M45" s="770" t="s">
        <v>128</v>
      </c>
      <c r="N45" s="771"/>
      <c r="P45"/>
      <c r="Q45"/>
      <c r="R45"/>
      <c r="S45"/>
    </row>
    <row r="46" spans="2:26" ht="15" customHeight="1" x14ac:dyDescent="0.3">
      <c r="B46" s="156" t="s">
        <v>309</v>
      </c>
      <c r="C46" s="611">
        <f>SQRT(E52)</f>
        <v>6.1108223185363441E-3</v>
      </c>
      <c r="D46" s="612"/>
      <c r="E46" s="612"/>
      <c r="F46" s="612"/>
      <c r="G46" s="612"/>
      <c r="H46" s="612"/>
      <c r="I46" s="613"/>
      <c r="J46" s="203"/>
      <c r="K46" s="451"/>
      <c r="L46" s="568"/>
      <c r="M46" s="40"/>
      <c r="N46" s="567"/>
      <c r="P46"/>
      <c r="Q46"/>
      <c r="R46"/>
      <c r="S46"/>
    </row>
    <row r="47" spans="2:26" ht="15" customHeight="1" thickBot="1" x14ac:dyDescent="0.35">
      <c r="B47" s="618" t="s">
        <v>310</v>
      </c>
      <c r="C47" s="619">
        <f>COUNT(D28:D35)</f>
        <v>8</v>
      </c>
      <c r="D47" s="612"/>
      <c r="E47" s="612"/>
      <c r="F47" s="612"/>
      <c r="G47" s="612"/>
      <c r="H47" s="612"/>
      <c r="I47" s="613"/>
      <c r="J47" s="203"/>
      <c r="K47" s="451"/>
      <c r="L47" s="315"/>
      <c r="M47" s="35"/>
      <c r="N47" s="155"/>
      <c r="P47"/>
      <c r="Q47"/>
      <c r="R47"/>
      <c r="S47"/>
    </row>
    <row r="48" spans="2:26" ht="15" customHeight="1" x14ac:dyDescent="0.35">
      <c r="B48" s="156"/>
      <c r="C48" s="611"/>
      <c r="D48" s="612"/>
      <c r="E48" s="612"/>
      <c r="F48" s="612"/>
      <c r="G48" s="612"/>
      <c r="H48" s="612"/>
      <c r="I48" s="613"/>
      <c r="J48" s="203"/>
      <c r="K48" s="451"/>
      <c r="L48" s="315" t="s">
        <v>344</v>
      </c>
      <c r="M48" s="545">
        <f>N20</f>
        <v>1.0991065914132787E-3</v>
      </c>
      <c r="N48" s="155"/>
      <c r="P48"/>
      <c r="Q48"/>
      <c r="R48"/>
      <c r="S48"/>
    </row>
    <row r="49" spans="1:26" ht="15" customHeight="1" thickBot="1" x14ac:dyDescent="0.35">
      <c r="B49" s="156" t="s">
        <v>314</v>
      </c>
      <c r="C49" s="611"/>
      <c r="D49" s="612"/>
      <c r="E49" s="612"/>
      <c r="F49" s="612" t="s">
        <v>315</v>
      </c>
      <c r="G49" s="612">
        <v>0.05</v>
      </c>
      <c r="H49" s="612"/>
      <c r="I49" s="613"/>
      <c r="J49" s="203"/>
      <c r="K49" s="451"/>
      <c r="L49" s="315"/>
      <c r="M49" s="541">
        <f>N19</f>
        <v>77</v>
      </c>
      <c r="N49" s="155"/>
      <c r="P49"/>
      <c r="Q49"/>
      <c r="R49"/>
      <c r="S49"/>
    </row>
    <row r="50" spans="1:26" ht="15" customHeight="1" thickTop="1" x14ac:dyDescent="0.3">
      <c r="B50" s="620"/>
      <c r="C50" s="553" t="s">
        <v>316</v>
      </c>
      <c r="D50" s="553" t="s">
        <v>317</v>
      </c>
      <c r="E50" s="553" t="s">
        <v>318</v>
      </c>
      <c r="F50" s="553" t="s">
        <v>319</v>
      </c>
      <c r="G50" s="553" t="s">
        <v>320</v>
      </c>
      <c r="H50" s="553" t="s">
        <v>321</v>
      </c>
      <c r="I50" s="613"/>
      <c r="J50" s="203"/>
      <c r="K50" s="451"/>
      <c r="L50" s="315"/>
      <c r="M50" s="542"/>
      <c r="N50" s="155"/>
      <c r="P50"/>
      <c r="Q50"/>
      <c r="R50"/>
      <c r="S50"/>
    </row>
    <row r="51" spans="1:26" ht="15" customHeight="1" x14ac:dyDescent="0.35">
      <c r="B51" s="156" t="s">
        <v>322</v>
      </c>
      <c r="C51" s="611">
        <f>COUNT(C28)</f>
        <v>1</v>
      </c>
      <c r="D51" s="612">
        <f>SUMPRODUCT(E28:E35,MMULT([2]!DESIGN(C28:C35),C56:C57)^2)-SUMPRODUCT(D28:D35,E28:E35)^2/SUM(E28:E35)</f>
        <v>3.043729016992177E-2</v>
      </c>
      <c r="E51" s="612">
        <f>D51/C51</f>
        <v>3.043729016992177E-2</v>
      </c>
      <c r="F51" s="612">
        <f>E51/E52</f>
        <v>815.09207830475384</v>
      </c>
      <c r="G51" s="612">
        <f>_xlfn.F.DIST.RT(F51,C51,C52)</f>
        <v>1.2227054991952007E-7</v>
      </c>
      <c r="H51" s="612" t="str">
        <f>IF(G51&lt;G49,"yes","no")</f>
        <v>yes</v>
      </c>
      <c r="I51" s="613"/>
      <c r="J51" s="203"/>
      <c r="K51" s="451"/>
      <c r="L51" s="315" t="s">
        <v>344</v>
      </c>
      <c r="M51" s="317">
        <f>SQRT(N20/N19)</f>
        <v>3.7781095241927313E-3</v>
      </c>
      <c r="N51" s="155"/>
      <c r="P51"/>
      <c r="Q51"/>
      <c r="R51"/>
      <c r="S51"/>
    </row>
    <row r="52" spans="1:26" ht="15" customHeight="1" x14ac:dyDescent="0.3">
      <c r="B52" s="156" t="s">
        <v>323</v>
      </c>
      <c r="C52" s="611">
        <f>C53-C51</f>
        <v>6</v>
      </c>
      <c r="D52" s="612">
        <f>D53-D51</f>
        <v>2.240528964523314E-4</v>
      </c>
      <c r="E52" s="612">
        <f>D52/C52</f>
        <v>3.7342149408721902E-5</v>
      </c>
      <c r="F52" s="612"/>
      <c r="G52" s="612"/>
      <c r="H52" s="612"/>
      <c r="I52" s="613"/>
      <c r="J52" s="203"/>
      <c r="K52" s="451"/>
      <c r="L52" s="118"/>
      <c r="M52" s="35"/>
      <c r="N52" s="155"/>
      <c r="P52"/>
      <c r="Q52"/>
      <c r="R52"/>
      <c r="S52"/>
    </row>
    <row r="53" spans="1:26" ht="15" customHeight="1" x14ac:dyDescent="0.35">
      <c r="B53" s="618" t="s">
        <v>108</v>
      </c>
      <c r="C53" s="619">
        <f>C47-1</f>
        <v>7</v>
      </c>
      <c r="D53" s="617">
        <f>SUMPRODUCT(D28:D35^2,E28:E35)-SUMPRODUCT(D28:D35,E28:E35)^2/SUM(E28:E35)</f>
        <v>3.0661343066374101E-2</v>
      </c>
      <c r="E53" s="617"/>
      <c r="F53" s="617"/>
      <c r="G53" s="617"/>
      <c r="H53" s="617"/>
      <c r="I53" s="613"/>
      <c r="J53" s="203"/>
      <c r="K53" s="451"/>
      <c r="L53" s="118" t="s">
        <v>345</v>
      </c>
      <c r="M53" s="35"/>
      <c r="N53" s="155"/>
      <c r="P53"/>
      <c r="Q53"/>
      <c r="R53"/>
      <c r="S53"/>
    </row>
    <row r="54" spans="1:26" ht="15" customHeight="1" thickBot="1" x14ac:dyDescent="0.35">
      <c r="B54" s="156"/>
      <c r="C54" s="611"/>
      <c r="D54" s="612"/>
      <c r="E54" s="612"/>
      <c r="F54" s="612"/>
      <c r="G54" s="612"/>
      <c r="H54" s="612"/>
      <c r="I54" s="613"/>
      <c r="J54" s="203"/>
      <c r="K54" s="451"/>
      <c r="L54" s="318"/>
      <c r="M54" s="319"/>
      <c r="N54" s="320"/>
      <c r="P54"/>
      <c r="Q54"/>
      <c r="R54"/>
      <c r="S54"/>
    </row>
    <row r="55" spans="1:26" ht="15" customHeight="1" thickTop="1" x14ac:dyDescent="0.3">
      <c r="B55" s="620"/>
      <c r="C55" s="553" t="s">
        <v>324</v>
      </c>
      <c r="D55" s="553" t="s">
        <v>325</v>
      </c>
      <c r="E55" s="553" t="s">
        <v>326</v>
      </c>
      <c r="F55" s="553" t="s">
        <v>320</v>
      </c>
      <c r="G55" s="553" t="s">
        <v>327</v>
      </c>
      <c r="H55" s="553" t="s">
        <v>328</v>
      </c>
      <c r="I55" s="554" t="s">
        <v>329</v>
      </c>
      <c r="J55" s="203"/>
      <c r="K55" s="451"/>
      <c r="L55" s="451"/>
      <c r="M55" s="451"/>
      <c r="N55" s="35"/>
      <c r="P55"/>
      <c r="Q55"/>
      <c r="R55"/>
      <c r="S55"/>
    </row>
    <row r="56" spans="1:26" ht="15" customHeight="1" x14ac:dyDescent="0.3">
      <c r="B56" s="156" t="s">
        <v>330</v>
      </c>
      <c r="C56" s="611">
        <f t="array" ref="C56:D57">[2]!WRegCoeff(C28:C35,D28:D35,E28:E35)</f>
        <v>-2.5949844228341123E-2</v>
      </c>
      <c r="D56" s="612">
        <v>1.621820351156212E-2</v>
      </c>
      <c r="E56" s="612">
        <f>C56/D56</f>
        <v>-1.6000443088435301</v>
      </c>
      <c r="F56" s="612">
        <f>_xlfn.T.DIST.2T(ABS(E56),$C$52)</f>
        <v>0.16070624027589911</v>
      </c>
      <c r="G56" s="612">
        <f>C56-_xlfn.T.INV.2T(G$49,$C$52)*D56</f>
        <v>-6.5634358605063434E-2</v>
      </c>
      <c r="H56" s="612">
        <f>C56+_xlfn.T.INV.2T(G$49,$C$52)*D56</f>
        <v>1.3734670148381187E-2</v>
      </c>
      <c r="I56" s="613"/>
      <c r="J56" s="203"/>
      <c r="K56" s="451"/>
      <c r="L56" s="7"/>
      <c r="M56" s="12"/>
      <c r="N56" s="35"/>
      <c r="P56"/>
      <c r="Q56"/>
      <c r="R56"/>
      <c r="S56"/>
    </row>
    <row r="57" spans="1:26" ht="15" customHeight="1" thickBot="1" x14ac:dyDescent="0.35">
      <c r="B57" s="621" t="s">
        <v>24</v>
      </c>
      <c r="C57" s="622">
        <v>7.3639310235994321E-2</v>
      </c>
      <c r="D57" s="623">
        <v>2.5793268303798134E-3</v>
      </c>
      <c r="E57" s="623">
        <f>C57/D57</f>
        <v>28.549817482862657</v>
      </c>
      <c r="F57" s="623">
        <f>_xlfn.T.DIST.2T(ABS(E57),$C$52)</f>
        <v>1.2227054991951266E-7</v>
      </c>
      <c r="G57" s="623">
        <f>C57-_xlfn.T.INV.2T(G$49,$C$52)*D57</f>
        <v>6.7327924846761769E-2</v>
      </c>
      <c r="H57" s="623">
        <f>C57+_xlfn.T.INV.2T(G$49,$C$52)*D57</f>
        <v>7.9950695625226872E-2</v>
      </c>
      <c r="I57" s="624">
        <f t="array" ref="I57">[2]!WVIF(C28:C35,E28:E35,1)</f>
        <v>1</v>
      </c>
      <c r="J57" s="203"/>
      <c r="K57"/>
      <c r="L57" s="451"/>
      <c r="M57"/>
      <c r="O57" s="35"/>
      <c r="P57"/>
      <c r="Q57"/>
      <c r="R57"/>
      <c r="S57"/>
    </row>
    <row r="58" spans="1:26" ht="15" customHeight="1" x14ac:dyDescent="0.3">
      <c r="B58" s="57"/>
      <c r="C58" s="57"/>
      <c r="D58" s="335"/>
      <c r="E58" s="351"/>
      <c r="F58" s="608"/>
      <c r="G58" s="608"/>
      <c r="H58" s="608"/>
      <c r="I58" s="351"/>
      <c r="J58" s="203"/>
      <c r="K58" s="203"/>
      <c r="L58" s="203"/>
      <c r="M58" s="451"/>
      <c r="N58" s="562"/>
      <c r="O58" s="563"/>
      <c r="P58"/>
      <c r="Q58"/>
      <c r="R58" s="451"/>
      <c r="S58" s="451"/>
      <c r="W58" s="451"/>
      <c r="X58" s="7"/>
      <c r="Y58" s="12"/>
      <c r="Z58" s="35"/>
    </row>
    <row r="59" spans="1:26" ht="15" customHeight="1" x14ac:dyDescent="0.3">
      <c r="D59" s="451"/>
      <c r="E59" s="203"/>
      <c r="F59" s="454"/>
      <c r="G59" s="454"/>
      <c r="H59" s="454"/>
      <c r="I59" s="203"/>
      <c r="J59" s="203"/>
      <c r="K59" s="203"/>
      <c r="L59" s="203"/>
      <c r="M59" s="451"/>
      <c r="N59" s="562"/>
      <c r="O59" s="563"/>
      <c r="P59"/>
      <c r="Q59"/>
      <c r="R59" s="451"/>
      <c r="S59" s="451"/>
      <c r="W59" s="451"/>
      <c r="Z59" s="451"/>
    </row>
    <row r="60" spans="1:26" ht="15" customHeight="1" thickBot="1" x14ac:dyDescent="0.35">
      <c r="A60" s="248"/>
      <c r="B60"/>
      <c r="D60"/>
      <c r="E60"/>
      <c r="F60"/>
      <c r="G60"/>
      <c r="H60"/>
      <c r="I60"/>
      <c r="J60"/>
      <c r="K60"/>
      <c r="L60"/>
      <c r="M60" s="451"/>
      <c r="N60" s="451"/>
      <c r="O60" s="451"/>
      <c r="P60" s="251"/>
      <c r="Q60"/>
      <c r="R60"/>
      <c r="S60"/>
      <c r="U60" s="38"/>
      <c r="V60" s="38"/>
    </row>
    <row r="61" spans="1:26" ht="15" customHeight="1" x14ac:dyDescent="0.35">
      <c r="A61" s="248"/>
      <c r="B61" s="168" t="s">
        <v>129</v>
      </c>
      <c r="C61" s="128"/>
      <c r="D61" s="128"/>
      <c r="E61" s="128"/>
      <c r="F61" s="322"/>
      <c r="G61" s="128"/>
      <c r="H61" s="128"/>
      <c r="I61" s="128"/>
      <c r="J61" s="128"/>
      <c r="K61" s="323"/>
      <c r="L61" s="324"/>
      <c r="M61"/>
      <c r="N61" s="451"/>
      <c r="O61" s="451"/>
      <c r="P61" s="451"/>
      <c r="Q61"/>
      <c r="R61"/>
      <c r="S61" s="451"/>
    </row>
    <row r="62" spans="1:26" ht="18.75" customHeight="1" thickBot="1" x14ac:dyDescent="0.35">
      <c r="A62" s="204"/>
      <c r="B62" s="118"/>
      <c r="C62" s="35"/>
      <c r="D62" s="35"/>
      <c r="E62" s="35"/>
      <c r="F62" s="325"/>
      <c r="G62" s="319"/>
      <c r="H62" s="319"/>
      <c r="I62" s="319"/>
      <c r="J62" s="319"/>
      <c r="K62" s="121"/>
      <c r="L62" s="316"/>
      <c r="M62"/>
      <c r="O62" s="451"/>
      <c r="P62" s="451"/>
      <c r="Q62"/>
      <c r="R62"/>
      <c r="S62" s="451"/>
    </row>
    <row r="63" spans="1:26" ht="15" customHeight="1" x14ac:dyDescent="0.35">
      <c r="A63" s="204"/>
      <c r="B63" s="783" t="s">
        <v>166</v>
      </c>
      <c r="C63" s="784"/>
      <c r="D63" s="784"/>
      <c r="E63" s="784"/>
      <c r="F63" s="326" t="s">
        <v>342</v>
      </c>
      <c r="G63" s="327">
        <v>1</v>
      </c>
      <c r="H63" s="785" t="s">
        <v>28</v>
      </c>
      <c r="I63" s="328">
        <v>1</v>
      </c>
      <c r="J63" s="785" t="s">
        <v>28</v>
      </c>
      <c r="K63" s="328" t="s">
        <v>337</v>
      </c>
      <c r="L63" s="316"/>
      <c r="M63"/>
      <c r="N63" s="451"/>
      <c r="O63" s="451"/>
      <c r="P63" s="251"/>
      <c r="Q63"/>
      <c r="R63"/>
      <c r="S63"/>
      <c r="T63" s="57"/>
    </row>
    <row r="64" spans="1:26" s="57" customFormat="1" ht="15" customHeight="1" x14ac:dyDescent="0.3">
      <c r="A64" s="204"/>
      <c r="B64" s="329"/>
      <c r="C64" s="247"/>
      <c r="D64" s="247"/>
      <c r="E64" s="247"/>
      <c r="F64" s="116" t="s">
        <v>29</v>
      </c>
      <c r="G64" s="329" t="s">
        <v>338</v>
      </c>
      <c r="H64" s="786"/>
      <c r="I64" s="247" t="s">
        <v>30</v>
      </c>
      <c r="J64" s="786"/>
      <c r="K64" s="247" t="s">
        <v>336</v>
      </c>
      <c r="L64" s="316"/>
      <c r="M64" s="451"/>
      <c r="N64"/>
      <c r="O64" s="451"/>
      <c r="P64" s="451"/>
      <c r="Q64"/>
      <c r="R64"/>
      <c r="S64" s="451"/>
      <c r="X64"/>
      <c r="Y64"/>
      <c r="Z64"/>
    </row>
    <row r="65" spans="1:26" s="57" customFormat="1" ht="15" customHeight="1" x14ac:dyDescent="0.3">
      <c r="A65" s="204"/>
      <c r="B65" s="330"/>
      <c r="C65" s="331"/>
      <c r="D65" s="331"/>
      <c r="E65" s="331"/>
      <c r="F65" s="35"/>
      <c r="G65" s="35"/>
      <c r="H65" s="35"/>
      <c r="I65" s="35"/>
      <c r="J65" s="35"/>
      <c r="K65" s="246"/>
      <c r="L65" s="316"/>
      <c r="M65" s="38"/>
      <c r="N65"/>
      <c r="O65" s="451"/>
      <c r="P65" s="451"/>
      <c r="Q65"/>
      <c r="R65"/>
      <c r="S65" s="451"/>
      <c r="X65"/>
      <c r="Y65"/>
      <c r="Z65"/>
    </row>
    <row r="66" spans="1:26" s="57" customFormat="1" ht="15" customHeight="1" thickBot="1" x14ac:dyDescent="0.35">
      <c r="A66" s="204"/>
      <c r="B66" s="330"/>
      <c r="C66" s="331"/>
      <c r="D66" s="331"/>
      <c r="E66" s="331"/>
      <c r="F66" s="35"/>
      <c r="G66" s="35"/>
      <c r="H66" s="35"/>
      <c r="I66" s="35"/>
      <c r="J66" s="35"/>
      <c r="K66" s="246"/>
      <c r="L66" s="316"/>
      <c r="M66"/>
      <c r="N66"/>
      <c r="O66" s="451"/>
      <c r="P66" s="451"/>
      <c r="Q66"/>
      <c r="R66"/>
      <c r="S66" s="451"/>
      <c r="X66"/>
      <c r="Y66"/>
      <c r="Z66"/>
    </row>
    <row r="67" spans="1:26" s="57" customFormat="1" ht="15" customHeight="1" x14ac:dyDescent="0.3">
      <c r="A67" s="204"/>
      <c r="B67" s="783" t="s">
        <v>167</v>
      </c>
      <c r="C67" s="784"/>
      <c r="D67" s="784"/>
      <c r="E67" s="784"/>
      <c r="F67" s="784" t="s">
        <v>130</v>
      </c>
      <c r="G67" s="787" t="s">
        <v>32</v>
      </c>
      <c r="H67" s="785" t="s">
        <v>28</v>
      </c>
      <c r="I67" s="785" t="s">
        <v>33</v>
      </c>
      <c r="J67" s="785" t="s">
        <v>28</v>
      </c>
      <c r="K67" s="328" t="s">
        <v>34</v>
      </c>
      <c r="L67" s="316"/>
      <c r="M67" s="38"/>
      <c r="N67" s="451"/>
      <c r="O67" s="451"/>
      <c r="P67" s="251"/>
      <c r="Q67"/>
      <c r="R67"/>
      <c r="S67"/>
      <c r="X67"/>
      <c r="Y67"/>
      <c r="Z67"/>
    </row>
    <row r="68" spans="1:26" s="57" customFormat="1" ht="15" customHeight="1" x14ac:dyDescent="0.3">
      <c r="A68" s="204"/>
      <c r="B68" s="332"/>
      <c r="C68" s="172"/>
      <c r="D68" s="172"/>
      <c r="E68" s="172"/>
      <c r="F68" s="784"/>
      <c r="G68" s="788"/>
      <c r="H68" s="786"/>
      <c r="I68" s="786"/>
      <c r="J68" s="786"/>
      <c r="K68" s="247" t="s">
        <v>35</v>
      </c>
      <c r="L68" s="316"/>
      <c r="M68" s="249"/>
      <c r="N68" s="38"/>
      <c r="O68" s="38"/>
      <c r="P68" s="38"/>
      <c r="Q68"/>
      <c r="R68"/>
      <c r="S68" s="38"/>
      <c r="X68"/>
      <c r="Y68"/>
      <c r="Z68"/>
    </row>
    <row r="69" spans="1:26" s="57" customFormat="1" ht="15" customHeight="1" x14ac:dyDescent="0.3">
      <c r="A69" s="204"/>
      <c r="B69" s="330"/>
      <c r="C69" s="331"/>
      <c r="D69" s="331"/>
      <c r="E69" s="331"/>
      <c r="F69" s="333"/>
      <c r="G69" s="334"/>
      <c r="H69" s="247"/>
      <c r="I69" s="247"/>
      <c r="J69" s="247"/>
      <c r="K69" s="247"/>
      <c r="L69" s="316"/>
      <c r="M69" s="249"/>
      <c r="N69"/>
      <c r="O69" s="38"/>
      <c r="P69" s="38"/>
      <c r="Q69"/>
      <c r="R69"/>
      <c r="S69" s="38"/>
      <c r="X69"/>
      <c r="Y69"/>
      <c r="Z69"/>
    </row>
    <row r="70" spans="1:26" s="57" customFormat="1" ht="15" customHeight="1" x14ac:dyDescent="0.3">
      <c r="A70" s="204"/>
      <c r="B70" s="783" t="s">
        <v>173</v>
      </c>
      <c r="C70" s="784"/>
      <c r="D70" s="784"/>
      <c r="E70" s="784"/>
      <c r="F70" s="333"/>
      <c r="G70" s="247" t="s">
        <v>164</v>
      </c>
      <c r="H70" s="247"/>
      <c r="I70" s="247"/>
      <c r="J70" s="247"/>
      <c r="K70" s="247"/>
      <c r="L70" s="316"/>
      <c r="M70" s="277"/>
      <c r="N70" s="38"/>
      <c r="O70" s="38"/>
      <c r="P70" s="249"/>
      <c r="Q70"/>
      <c r="R70"/>
      <c r="S70"/>
      <c r="V70" s="40"/>
      <c r="X70"/>
      <c r="Y70"/>
      <c r="Z70"/>
    </row>
    <row r="71" spans="1:26" s="57" customFormat="1" ht="15" customHeight="1" thickBot="1" x14ac:dyDescent="0.35">
      <c r="A71" s="248"/>
      <c r="B71" s="336"/>
      <c r="C71" s="337"/>
      <c r="D71" s="337"/>
      <c r="E71" s="337"/>
      <c r="F71" s="338"/>
      <c r="G71" s="339"/>
      <c r="H71" s="205"/>
      <c r="I71" s="205"/>
      <c r="J71" s="205"/>
      <c r="K71" s="205"/>
      <c r="L71" s="340"/>
      <c r="M71" s="277"/>
      <c r="N71" s="249"/>
      <c r="O71"/>
      <c r="P71"/>
      <c r="Q71"/>
      <c r="R71"/>
      <c r="S71"/>
      <c r="X71"/>
      <c r="Y71"/>
      <c r="Z71"/>
    </row>
    <row r="72" spans="1:26" s="57" customFormat="1" ht="15" customHeight="1" x14ac:dyDescent="0.3">
      <c r="A72" s="248"/>
      <c r="B72" s="12"/>
      <c r="C72" s="12"/>
      <c r="D72" s="247"/>
      <c r="E72" s="247"/>
      <c r="F72" s="247"/>
      <c r="G72" s="247"/>
      <c r="H72" s="247"/>
      <c r="I72" s="247"/>
      <c r="J72" s="35"/>
      <c r="K72" s="246"/>
      <c r="L72" s="246"/>
      <c r="M72" s="277"/>
      <c r="N72" s="249"/>
      <c r="O72"/>
      <c r="P72"/>
      <c r="Q72"/>
      <c r="R72"/>
      <c r="S72"/>
      <c r="T72"/>
      <c r="X72"/>
      <c r="Y72"/>
      <c r="Z72"/>
    </row>
    <row r="73" spans="1:26" ht="15.75" customHeight="1" thickBot="1" x14ac:dyDescent="0.35">
      <c r="A73" s="248"/>
      <c r="B73" s="12"/>
      <c r="C73" s="12"/>
      <c r="D73" s="247"/>
      <c r="E73" s="247"/>
      <c r="F73" s="247"/>
      <c r="G73" s="247"/>
      <c r="H73" s="247"/>
      <c r="I73" s="247"/>
      <c r="J73" s="35"/>
      <c r="K73" s="246"/>
      <c r="L73" s="246"/>
      <c r="M73" s="277"/>
      <c r="N73" s="277"/>
      <c r="O73" s="57"/>
      <c r="P73" s="57"/>
      <c r="Q73" s="57"/>
      <c r="R73" s="57"/>
      <c r="S73" s="57"/>
    </row>
    <row r="74" spans="1:26" ht="15.75" customHeight="1" thickBot="1" x14ac:dyDescent="0.35">
      <c r="A74" s="248"/>
      <c r="B74" s="110" t="str">
        <f>"Result for calibration curve at Conc = "&amp;J34&amp;" µg/L"</f>
        <v>Result for calibration curve at Conc = 10 µg/L</v>
      </c>
      <c r="C74" s="123"/>
      <c r="D74" s="111"/>
      <c r="E74"/>
      <c r="F74" s="110" t="str">
        <f>"Result for calibration curve at Conc = "&amp;J35&amp;" µg/L"</f>
        <v>Result for calibration curve at Conc = 50 µg/L</v>
      </c>
      <c r="G74" s="123"/>
      <c r="H74" s="111"/>
      <c r="I74"/>
      <c r="J74" s="110" t="str">
        <f>"Result for calibration curve at Conc = "&amp;J36&amp;" µg/L"</f>
        <v>Result for calibration curve at Conc = 140 µg/L</v>
      </c>
      <c r="K74" s="341"/>
      <c r="L74" s="130"/>
      <c r="M74" s="246"/>
      <c r="N74" s="277"/>
      <c r="O74" s="57"/>
      <c r="P74" s="57"/>
      <c r="Q74" s="57"/>
      <c r="R74" s="57"/>
      <c r="S74" s="57"/>
    </row>
    <row r="75" spans="1:26" ht="18" customHeight="1" x14ac:dyDescent="0.3">
      <c r="A75" s="248"/>
      <c r="B75" s="342" t="s">
        <v>19</v>
      </c>
      <c r="C75" s="343" t="s">
        <v>36</v>
      </c>
      <c r="D75" s="286" t="s">
        <v>20</v>
      </c>
      <c r="E75"/>
      <c r="F75" s="283" t="s">
        <v>19</v>
      </c>
      <c r="G75" s="343" t="s">
        <v>36</v>
      </c>
      <c r="H75" s="286" t="s">
        <v>20</v>
      </c>
      <c r="I75"/>
      <c r="J75" s="283" t="s">
        <v>19</v>
      </c>
      <c r="K75" s="343" t="s">
        <v>36</v>
      </c>
      <c r="L75" s="286" t="s">
        <v>20</v>
      </c>
      <c r="M75" s="277"/>
      <c r="N75" s="277"/>
      <c r="O75" s="275"/>
      <c r="P75" s="275"/>
      <c r="Q75" s="57"/>
      <c r="R75" s="57"/>
      <c r="S75" s="57"/>
    </row>
    <row r="76" spans="1:26" ht="15" customHeight="1" x14ac:dyDescent="0.35">
      <c r="A76" s="248"/>
      <c r="B76" s="344" t="s">
        <v>31</v>
      </c>
      <c r="C76" s="345" t="s">
        <v>366</v>
      </c>
      <c r="D76" s="52">
        <f>$M$51/$M$28</f>
        <v>5.1305607182969254E-2</v>
      </c>
      <c r="E76"/>
      <c r="F76" s="165" t="s">
        <v>31</v>
      </c>
      <c r="G76" s="345" t="s">
        <v>366</v>
      </c>
      <c r="H76" s="52">
        <f>$M$51/$M$28</f>
        <v>5.1305607182969254E-2</v>
      </c>
      <c r="I76"/>
      <c r="J76" s="165" t="s">
        <v>31</v>
      </c>
      <c r="K76" s="345" t="s">
        <v>366</v>
      </c>
      <c r="L76" s="52">
        <f>$M$51/$M$28</f>
        <v>5.1305607182969254E-2</v>
      </c>
      <c r="M76" s="277"/>
      <c r="N76" s="277"/>
      <c r="O76" s="275"/>
      <c r="P76" s="275"/>
      <c r="Q76" s="57"/>
      <c r="R76" s="40"/>
      <c r="S76" s="57"/>
    </row>
    <row r="77" spans="1:26" ht="15" customHeight="1" x14ac:dyDescent="0.35">
      <c r="A77" s="248"/>
      <c r="B77" s="344" t="s">
        <v>32</v>
      </c>
      <c r="C77" s="345" t="s">
        <v>346</v>
      </c>
      <c r="D77" s="52">
        <f>1/O34</f>
        <v>100</v>
      </c>
      <c r="E77"/>
      <c r="F77" s="165" t="s">
        <v>32</v>
      </c>
      <c r="G77" s="345" t="s">
        <v>346</v>
      </c>
      <c r="H77" s="52">
        <f>1/O35</f>
        <v>2500</v>
      </c>
      <c r="I77"/>
      <c r="J77" s="165" t="s">
        <v>32</v>
      </c>
      <c r="K77" s="345" t="s">
        <v>346</v>
      </c>
      <c r="L77" s="52">
        <f>1/O36</f>
        <v>19600</v>
      </c>
      <c r="M77" s="277"/>
      <c r="N77" s="277"/>
      <c r="O77" s="57"/>
      <c r="P77" s="57"/>
      <c r="Q77" s="57"/>
      <c r="R77" s="57"/>
      <c r="S77" s="57"/>
    </row>
    <row r="78" spans="1:26" ht="15" customHeight="1" x14ac:dyDescent="0.3">
      <c r="A78" s="248"/>
      <c r="B78" s="344" t="s">
        <v>33</v>
      </c>
      <c r="C78" s="345" t="s">
        <v>37</v>
      </c>
      <c r="D78" s="52">
        <f>1/$J$28</f>
        <v>0.125</v>
      </c>
      <c r="E78"/>
      <c r="F78" s="165" t="s">
        <v>33</v>
      </c>
      <c r="G78" s="345" t="s">
        <v>37</v>
      </c>
      <c r="H78" s="52">
        <f>1/$J$28</f>
        <v>0.125</v>
      </c>
      <c r="I78"/>
      <c r="J78" s="165" t="s">
        <v>33</v>
      </c>
      <c r="K78" s="345" t="s">
        <v>37</v>
      </c>
      <c r="L78" s="52">
        <f>1/$J$28</f>
        <v>0.125</v>
      </c>
      <c r="M78" s="277"/>
      <c r="N78" s="277"/>
      <c r="O78" s="57"/>
      <c r="P78" s="57"/>
      <c r="Q78" s="57"/>
      <c r="R78" s="57"/>
      <c r="S78" s="57"/>
    </row>
    <row r="79" spans="1:26" ht="15" customHeight="1" x14ac:dyDescent="0.3">
      <c r="A79" s="248"/>
      <c r="B79" s="344" t="str">
        <f>"D (x̅cs = "&amp;J34&amp;")"</f>
        <v>D (x̅cs = 10)</v>
      </c>
      <c r="C79" s="345" t="s">
        <v>349</v>
      </c>
      <c r="D79" s="67">
        <f>(K34-$G$37)^2</f>
        <v>0.49660519479598553</v>
      </c>
      <c r="E79"/>
      <c r="F79" s="165" t="str">
        <f>"D (x̅cs = "&amp;J35&amp;")"</f>
        <v>D (x̅cs = 50)</v>
      </c>
      <c r="G79" s="345" t="s">
        <v>349</v>
      </c>
      <c r="H79" s="67">
        <f>(K35-$G$37)^2</f>
        <v>13.324504745615934</v>
      </c>
      <c r="I79"/>
      <c r="J79" s="165" t="str">
        <f>"D (x̅cs = "&amp;J36&amp;")"</f>
        <v>D (x̅cs = 140)</v>
      </c>
      <c r="K79" s="345" t="s">
        <v>349</v>
      </c>
      <c r="L79" s="67">
        <f>(K36-$G$37)^2</f>
        <v>105.63343047574716</v>
      </c>
      <c r="M79" s="249"/>
      <c r="N79" s="335"/>
      <c r="O79" s="57"/>
      <c r="P79" s="57"/>
      <c r="Q79" s="57"/>
      <c r="R79" s="57"/>
      <c r="S79" s="57"/>
    </row>
    <row r="80" spans="1:26" ht="15" customHeight="1" x14ac:dyDescent="0.35">
      <c r="A80" s="248"/>
      <c r="B80" s="344" t="s">
        <v>35</v>
      </c>
      <c r="C80" s="345" t="s">
        <v>365</v>
      </c>
      <c r="D80" s="107">
        <f>$M$28^2*($H$37-$J$28*$O$28^2)</f>
        <v>4.3054568738950111E-2</v>
      </c>
      <c r="E80"/>
      <c r="F80" s="165" t="s">
        <v>35</v>
      </c>
      <c r="G80" s="345" t="s">
        <v>365</v>
      </c>
      <c r="H80" s="107">
        <f>$M$28^2*($H$37-$J$28*$O$28^2)</f>
        <v>4.3054568738950111E-2</v>
      </c>
      <c r="I80"/>
      <c r="J80" s="165" t="s">
        <v>35</v>
      </c>
      <c r="K80" s="345" t="s">
        <v>365</v>
      </c>
      <c r="L80" s="107">
        <f>$M$28^2*($H$37-$J$28*$O$28^2)</f>
        <v>4.3054568738950111E-2</v>
      </c>
      <c r="N80" s="335"/>
      <c r="O80" s="57"/>
      <c r="P80" s="57"/>
      <c r="Q80" s="57"/>
      <c r="R80" s="57"/>
      <c r="S80" s="57"/>
    </row>
    <row r="81" spans="1:26" ht="15" customHeight="1" thickBot="1" x14ac:dyDescent="0.35">
      <c r="A81" s="248"/>
      <c r="B81" s="442" t="str">
        <f>"u(Cur"&amp;J34&amp;")"</f>
        <v>u(Cur10)</v>
      </c>
      <c r="C81" s="443"/>
      <c r="D81" s="438">
        <f>D76*((D77+D78+(D79/D80)))^(1/2)</f>
        <v>0.54214108675195272</v>
      </c>
      <c r="E81" s="12"/>
      <c r="F81" s="444" t="str">
        <f>"u(Cur"&amp;J35&amp;")"</f>
        <v>u(Cur50)</v>
      </c>
      <c r="G81" s="362"/>
      <c r="H81" s="122">
        <f>H76*((H77+H78+(H79/H80)))^(1/2)</f>
        <v>2.7194897334589028</v>
      </c>
      <c r="I81" s="12"/>
      <c r="J81" s="444" t="str">
        <f>"u(Cur"&amp;J36&amp;")"</f>
        <v>u(Cur140)</v>
      </c>
      <c r="K81" s="362"/>
      <c r="L81" s="122">
        <f>L76*((L77+L78+(L79/L80)))^(1/2)</f>
        <v>7.6191163616492217</v>
      </c>
      <c r="N81" s="335"/>
      <c r="O81" s="57"/>
      <c r="P81" s="57"/>
      <c r="Q81" s="57"/>
      <c r="R81" s="57"/>
      <c r="S81" s="57"/>
      <c r="T81" s="12"/>
    </row>
    <row r="82" spans="1:26" s="12" customFormat="1" ht="18" customHeight="1" thickBot="1" x14ac:dyDescent="0.35">
      <c r="A82" s="204"/>
      <c r="B82" s="266" t="str">
        <f>"ur(Cur"&amp;J34&amp;")^2"</f>
        <v>ur(Cur10)^2</v>
      </c>
      <c r="C82" s="374"/>
      <c r="D82" s="436">
        <f>D83^2</f>
        <v>2.9391695794458834E-3</v>
      </c>
      <c r="E82" s="42"/>
      <c r="F82" s="266" t="str">
        <f>"ur(Cur"&amp;J35&amp;")^2"</f>
        <v>ur(Cur50)^2</v>
      </c>
      <c r="G82" s="437"/>
      <c r="H82" s="436">
        <f>H83^2</f>
        <v>2.9582497641553501E-3</v>
      </c>
      <c r="I82"/>
      <c r="J82" s="266" t="str">
        <f>"ur(Cur"&amp;J36&amp;")^2"</f>
        <v>ur(Cur140)^2</v>
      </c>
      <c r="K82" s="437"/>
      <c r="L82" s="436">
        <f>L83^2</f>
        <v>2.9617823536913709E-3</v>
      </c>
      <c r="M82" s="38"/>
      <c r="N82" s="38"/>
      <c r="O82"/>
      <c r="P82"/>
      <c r="Q82"/>
      <c r="R82"/>
      <c r="S82"/>
      <c r="X82"/>
      <c r="Y82"/>
      <c r="Z82"/>
    </row>
    <row r="83" spans="1:26" s="12" customFormat="1" ht="18" customHeight="1" thickBot="1" x14ac:dyDescent="0.35">
      <c r="A83" s="204"/>
      <c r="B83" s="167" t="str">
        <f>"ur(Cur"&amp;J34&amp;")"</f>
        <v>ur(Cur10)</v>
      </c>
      <c r="C83" s="379" t="str">
        <f>B81&amp;"/Con"&amp;J34</f>
        <v>u(Cur10)/Con10</v>
      </c>
      <c r="D83" s="346">
        <f>D81/J34</f>
        <v>5.4214108675195272E-2</v>
      </c>
      <c r="E83" s="57"/>
      <c r="F83" s="150" t="str">
        <f>"ur(Cur"&amp;J35&amp;")"</f>
        <v>ur(Cur50)</v>
      </c>
      <c r="G83" s="347" t="str">
        <f>F81&amp;"/Con"&amp;J35</f>
        <v>u(Cur50)/Con50</v>
      </c>
      <c r="H83" s="348">
        <f>H81/J35</f>
        <v>5.4389794669178058E-2</v>
      </c>
      <c r="I83" s="57"/>
      <c r="J83" s="150" t="str">
        <f>"ur(Cur"&amp;J36&amp;")"</f>
        <v>ur(Cur140)</v>
      </c>
      <c r="K83" s="347" t="str">
        <f>J81&amp;"/Con"&amp;J36</f>
        <v>u(Cur140)/Con140</v>
      </c>
      <c r="L83" s="348">
        <f>L81/J36</f>
        <v>5.4422259726065868E-2</v>
      </c>
      <c r="M83" s="38"/>
      <c r="N83" s="38"/>
      <c r="O83"/>
      <c r="P83"/>
      <c r="Q83"/>
      <c r="R83"/>
      <c r="S83"/>
      <c r="T83" s="275"/>
      <c r="X83"/>
      <c r="Y83"/>
      <c r="Z83"/>
    </row>
    <row r="84" spans="1:26" s="275" customFormat="1" ht="18" customHeight="1" x14ac:dyDescent="0.3">
      <c r="A84" s="204"/>
      <c r="B84" s="57"/>
      <c r="C84" s="335"/>
      <c r="D84" s="349"/>
      <c r="E84" s="350"/>
      <c r="F84" s="57"/>
      <c r="G84" s="351"/>
      <c r="H84" s="351"/>
      <c r="I84" s="57"/>
      <c r="J84" s="57"/>
      <c r="K84" s="335"/>
      <c r="L84" s="335"/>
      <c r="M84" s="38"/>
      <c r="N84"/>
      <c r="O84"/>
      <c r="P84"/>
      <c r="Q84"/>
      <c r="R84"/>
      <c r="S84"/>
      <c r="T84" s="57"/>
      <c r="X84"/>
      <c r="Y84"/>
      <c r="Z84"/>
    </row>
    <row r="85" spans="1:26" s="57" customFormat="1" ht="15" customHeight="1" x14ac:dyDescent="0.3">
      <c r="A85" s="204"/>
      <c r="B85" s="275"/>
      <c r="C85" s="277"/>
      <c r="D85" s="352"/>
      <c r="E85" s="353"/>
      <c r="F85" s="275"/>
      <c r="G85" s="204"/>
      <c r="H85" s="204"/>
      <c r="I85" s="275"/>
      <c r="J85" s="275"/>
      <c r="K85" s="335"/>
      <c r="L85" s="335"/>
      <c r="M85" s="38"/>
      <c r="N85"/>
      <c r="O85"/>
      <c r="P85"/>
      <c r="Q85"/>
      <c r="R85"/>
      <c r="S85"/>
      <c r="X85"/>
      <c r="Y85"/>
      <c r="Z85"/>
    </row>
    <row r="86" spans="1:26" s="57" customFormat="1" ht="15" customHeight="1" thickBot="1" x14ac:dyDescent="0.35">
      <c r="A86" s="248"/>
      <c r="B86" s="277"/>
      <c r="C86" s="277"/>
      <c r="D86" s="277"/>
      <c r="E86" s="275"/>
      <c r="F86" s="275"/>
      <c r="G86" s="277"/>
      <c r="H86" s="277"/>
      <c r="I86" s="277"/>
      <c r="J86" s="277"/>
      <c r="M86" s="38"/>
      <c r="N86"/>
      <c r="O86"/>
      <c r="P86"/>
      <c r="Q86"/>
      <c r="R86"/>
      <c r="S86"/>
      <c r="X86"/>
      <c r="Y86"/>
      <c r="Z86"/>
    </row>
    <row r="87" spans="1:26" s="57" customFormat="1" ht="15" customHeight="1" x14ac:dyDescent="0.35">
      <c r="A87" s="248"/>
      <c r="B87" s="168" t="s">
        <v>131</v>
      </c>
      <c r="C87" s="18"/>
      <c r="D87" s="18"/>
      <c r="E87" s="354"/>
      <c r="F87" s="355"/>
      <c r="G87" s="18"/>
      <c r="H87" s="16"/>
      <c r="I87" s="114"/>
      <c r="J87" s="249"/>
      <c r="K87"/>
      <c r="L87" s="38"/>
      <c r="M87"/>
      <c r="N87"/>
      <c r="O87"/>
      <c r="P87"/>
      <c r="Q87"/>
      <c r="R87"/>
      <c r="S87"/>
      <c r="T87"/>
      <c r="X87"/>
      <c r="Y87"/>
      <c r="Z87"/>
    </row>
    <row r="88" spans="1:26" ht="18.75" customHeight="1" thickBot="1" x14ac:dyDescent="0.35">
      <c r="A88" s="248"/>
      <c r="B88" s="133"/>
      <c r="C88" s="248"/>
      <c r="D88" s="253"/>
      <c r="E88" s="68"/>
      <c r="F88" s="356"/>
      <c r="G88" s="248"/>
      <c r="H88" s="7"/>
      <c r="I88" s="117"/>
      <c r="J88" s="249"/>
      <c r="K88"/>
      <c r="M88" s="12"/>
      <c r="P88"/>
      <c r="Q88"/>
      <c r="R88"/>
      <c r="S88"/>
    </row>
    <row r="89" spans="1:26" ht="15" customHeight="1" x14ac:dyDescent="0.35">
      <c r="A89" s="248"/>
      <c r="B89" s="531" t="s">
        <v>175</v>
      </c>
      <c r="C89" s="456"/>
      <c r="D89" s="456"/>
      <c r="E89" s="456"/>
      <c r="F89" s="457"/>
      <c r="G89" s="180" t="s">
        <v>174</v>
      </c>
      <c r="H89" s="323"/>
      <c r="I89" s="117"/>
      <c r="J89" s="12"/>
      <c r="K89"/>
      <c r="M89"/>
      <c r="P89"/>
      <c r="Q89"/>
      <c r="R89"/>
      <c r="S89"/>
    </row>
    <row r="90" spans="1:26" ht="15" customHeight="1" thickBot="1" x14ac:dyDescent="0.35">
      <c r="A90" s="248"/>
      <c r="B90" s="119"/>
      <c r="C90" s="121"/>
      <c r="D90" s="121"/>
      <c r="E90" s="121"/>
      <c r="F90" s="121"/>
      <c r="G90" s="120"/>
      <c r="H90" s="120"/>
      <c r="I90" s="122"/>
      <c r="J90" s="12"/>
      <c r="K90"/>
      <c r="M90" s="57"/>
      <c r="P90"/>
      <c r="Q90"/>
      <c r="R90"/>
      <c r="S90"/>
    </row>
    <row r="91" spans="1:26" ht="15" customHeight="1" x14ac:dyDescent="0.3">
      <c r="A91" s="248"/>
      <c r="B91" s="12"/>
      <c r="C91" s="249"/>
      <c r="D91" s="249"/>
      <c r="E91" s="249"/>
      <c r="F91" s="249"/>
      <c r="G91" s="249"/>
      <c r="H91" s="249"/>
      <c r="I91" s="12"/>
      <c r="J91" s="12"/>
      <c r="M91" s="57"/>
      <c r="N91" s="12"/>
      <c r="O91" s="12"/>
      <c r="P91" s="12"/>
      <c r="Q91" s="12"/>
      <c r="R91" s="12"/>
      <c r="S91" s="12"/>
      <c r="X91" s="596"/>
      <c r="Y91" s="596"/>
      <c r="Z91" s="596"/>
    </row>
    <row r="92" spans="1:26" ht="15" customHeight="1" thickBot="1" x14ac:dyDescent="0.35">
      <c r="A92" s="248"/>
      <c r="B92" s="12"/>
      <c r="C92" s="249"/>
      <c r="D92" s="249"/>
      <c r="E92" s="249"/>
      <c r="F92" s="249"/>
      <c r="G92" s="249"/>
      <c r="H92" s="249"/>
      <c r="I92" s="12"/>
      <c r="J92" s="12"/>
      <c r="M92" s="57"/>
      <c r="N92" s="38"/>
      <c r="P92"/>
      <c r="Q92" s="12"/>
      <c r="R92" s="12"/>
      <c r="S92" s="12"/>
    </row>
    <row r="93" spans="1:26" ht="15" customHeight="1" thickBot="1" x14ac:dyDescent="0.35">
      <c r="A93" s="248"/>
      <c r="B93" s="110" t="str">
        <f>"Result for analytical measurement; Conc = "&amp;J34&amp;" µg/L"</f>
        <v>Result for analytical measurement; Conc = 10 µg/L</v>
      </c>
      <c r="C93" s="123"/>
      <c r="D93" s="111"/>
      <c r="E93"/>
      <c r="F93" s="110" t="str">
        <f>"Result for analytical measurement; Conc = "&amp;J35&amp;" µg/L"</f>
        <v>Result for analytical measurement; Conc = 50 µg/L</v>
      </c>
      <c r="G93" s="357"/>
      <c r="H93" s="358"/>
      <c r="I93"/>
      <c r="J93" s="110" t="str">
        <f>"Result for analytical measurement; Conc = "&amp;J36&amp;" µg/L"</f>
        <v>Result for analytical measurement; Conc = 140 µg/L</v>
      </c>
      <c r="K93" s="39"/>
      <c r="L93" s="359"/>
      <c r="M93" s="57"/>
      <c r="N93" s="335"/>
      <c r="O93" s="57"/>
      <c r="P93" s="57"/>
      <c r="Q93" s="275"/>
      <c r="R93" s="275"/>
      <c r="S93" s="275"/>
    </row>
    <row r="94" spans="1:26" ht="18" customHeight="1" x14ac:dyDescent="0.3">
      <c r="A94" s="248"/>
      <c r="B94" s="283" t="s">
        <v>19</v>
      </c>
      <c r="C94" s="360"/>
      <c r="D94" s="286" t="s">
        <v>20</v>
      </c>
      <c r="E94"/>
      <c r="F94" s="287" t="s">
        <v>19</v>
      </c>
      <c r="G94" s="285"/>
      <c r="H94" s="286" t="s">
        <v>20</v>
      </c>
      <c r="I94"/>
      <c r="J94" s="287" t="s">
        <v>19</v>
      </c>
      <c r="K94" s="285"/>
      <c r="L94" s="286" t="s">
        <v>20</v>
      </c>
      <c r="M94"/>
      <c r="N94" s="277"/>
      <c r="O94" s="57"/>
      <c r="P94" s="57"/>
      <c r="Q94" s="57"/>
      <c r="R94" s="57"/>
      <c r="S94" s="57"/>
    </row>
    <row r="95" spans="1:26" ht="15" customHeight="1" x14ac:dyDescent="0.35">
      <c r="A95" s="248"/>
      <c r="B95" s="344" t="s">
        <v>176</v>
      </c>
      <c r="C95" s="345"/>
      <c r="D95" s="51">
        <f>'Std Solution &amp; Spike Prep'!E157</f>
        <v>1.6278600000000001E-3</v>
      </c>
      <c r="F95" s="344" t="s">
        <v>176</v>
      </c>
      <c r="G95" s="345"/>
      <c r="H95" s="51">
        <f>'Std Solution &amp; Spike Prep'!E157</f>
        <v>1.6278600000000001E-3</v>
      </c>
      <c r="I95"/>
      <c r="J95" s="344" t="s">
        <v>176</v>
      </c>
      <c r="K95" s="345"/>
      <c r="L95" s="51">
        <f>'Std Solution &amp; Spike Prep'!E157</f>
        <v>1.6278600000000001E-3</v>
      </c>
      <c r="M95"/>
      <c r="N95" s="277"/>
      <c r="O95" s="57"/>
      <c r="P95" s="57"/>
      <c r="Q95" s="57"/>
      <c r="R95" s="57"/>
      <c r="S95" s="57"/>
    </row>
    <row r="96" spans="1:26" ht="15" customHeight="1" thickBot="1" x14ac:dyDescent="0.35">
      <c r="A96" s="248"/>
      <c r="B96" s="344" t="str">
        <f>B82</f>
        <v>ur(Cur10)^2</v>
      </c>
      <c r="C96" s="345"/>
      <c r="D96" s="52">
        <f>D82</f>
        <v>2.9391695794458834E-3</v>
      </c>
      <c r="F96" s="361" t="str">
        <f>F82</f>
        <v>ur(Cur50)^2</v>
      </c>
      <c r="G96" s="362"/>
      <c r="H96" s="52">
        <f>H82</f>
        <v>2.9582497641553501E-3</v>
      </c>
      <c r="I96"/>
      <c r="J96" s="361" t="str">
        <f>J82</f>
        <v>ur(Cur140)^2</v>
      </c>
      <c r="K96" s="362"/>
      <c r="L96" s="52">
        <f>L82</f>
        <v>2.9617823536913709E-3</v>
      </c>
      <c r="M96"/>
      <c r="N96" s="277"/>
      <c r="O96" s="57"/>
      <c r="P96" s="57"/>
      <c r="Q96" s="57"/>
      <c r="R96" s="57"/>
      <c r="S96" s="57"/>
    </row>
    <row r="97" spans="1:19" ht="15" customHeight="1" thickBot="1" x14ac:dyDescent="0.4">
      <c r="A97" s="248"/>
      <c r="B97" s="363" t="s">
        <v>132</v>
      </c>
      <c r="C97" s="144"/>
      <c r="D97" s="364">
        <f>SUM(D95:D96)</f>
        <v>4.5670295794458839E-3</v>
      </c>
      <c r="F97" s="363" t="s">
        <v>132</v>
      </c>
      <c r="G97" s="144"/>
      <c r="H97" s="364">
        <f>SUM(H95:H96)</f>
        <v>4.5861097641553498E-3</v>
      </c>
      <c r="I97"/>
      <c r="J97" s="363" t="s">
        <v>132</v>
      </c>
      <c r="K97" s="144"/>
      <c r="L97" s="364">
        <f>SUM(L95:L96)</f>
        <v>4.589642353691371E-3</v>
      </c>
      <c r="M97"/>
      <c r="P97"/>
      <c r="Q97"/>
      <c r="R97"/>
      <c r="S97"/>
    </row>
    <row r="98" spans="1:19" ht="18" customHeight="1" thickBot="1" x14ac:dyDescent="0.35">
      <c r="A98" s="248"/>
      <c r="B98" s="269" t="s">
        <v>177</v>
      </c>
      <c r="C98" s="265"/>
      <c r="D98" s="346">
        <f>SQRT(D97)</f>
        <v>6.7579801564120356E-2</v>
      </c>
      <c r="F98" s="269" t="s">
        <v>177</v>
      </c>
      <c r="G98" s="265"/>
      <c r="H98" s="346">
        <f>SQRT(H97)</f>
        <v>6.7720822234784997E-2</v>
      </c>
      <c r="I98"/>
      <c r="J98" s="269" t="s">
        <v>177</v>
      </c>
      <c r="K98" s="265"/>
      <c r="L98" s="346">
        <f>SQRT(L97)</f>
        <v>6.7746899218276924E-2</v>
      </c>
      <c r="M98"/>
      <c r="P98"/>
      <c r="Q98"/>
      <c r="R98"/>
      <c r="S98"/>
    </row>
    <row r="99" spans="1:19" ht="18" customHeight="1" thickBot="1" x14ac:dyDescent="0.35">
      <c r="A99" s="253"/>
      <c r="B99" s="581"/>
      <c r="C99" s="582"/>
      <c r="D99" s="583"/>
      <c r="E99" s="582"/>
      <c r="F99" s="581"/>
      <c r="G99" s="582"/>
      <c r="H99" s="583"/>
      <c r="I99" s="584"/>
      <c r="J99" s="581"/>
      <c r="K99" s="582"/>
      <c r="L99" s="583"/>
      <c r="M99" s="580"/>
      <c r="N99" s="580"/>
      <c r="O99" s="580"/>
      <c r="P99"/>
      <c r="Q99"/>
      <c r="R99"/>
      <c r="S99"/>
    </row>
    <row r="100" spans="1:19" ht="5.4" customHeight="1" thickTop="1" thickBot="1" x14ac:dyDescent="0.35">
      <c r="A100" s="253"/>
      <c r="B100" s="625"/>
      <c r="C100" s="626"/>
      <c r="D100" s="627"/>
      <c r="E100" s="626"/>
      <c r="F100" s="625"/>
      <c r="G100" s="626"/>
      <c r="H100" s="627"/>
      <c r="I100" s="628"/>
      <c r="J100" s="625"/>
      <c r="K100" s="626"/>
      <c r="L100" s="627"/>
      <c r="M100" s="629"/>
      <c r="N100" s="629"/>
      <c r="O100" s="629"/>
      <c r="P100"/>
      <c r="Q100"/>
      <c r="R100"/>
      <c r="S100"/>
    </row>
    <row r="101" spans="1:19" ht="18" customHeight="1" thickTop="1" x14ac:dyDescent="0.3">
      <c r="A101" s="253"/>
      <c r="B101" s="585"/>
      <c r="C101" s="55"/>
      <c r="D101" s="454"/>
      <c r="E101" s="55"/>
      <c r="F101" s="585"/>
      <c r="G101" s="55"/>
      <c r="H101" s="454"/>
      <c r="I101" s="26"/>
      <c r="J101" s="585"/>
      <c r="K101" s="55"/>
      <c r="L101" s="454"/>
      <c r="M101" s="3"/>
      <c r="N101" s="3"/>
      <c r="O101" s="3"/>
      <c r="P101"/>
      <c r="Q101"/>
      <c r="R101"/>
      <c r="S101"/>
    </row>
    <row r="102" spans="1:19" ht="18" customHeight="1" x14ac:dyDescent="0.3">
      <c r="A102" s="253"/>
      <c r="B102" s="585"/>
      <c r="C102" s="55"/>
      <c r="D102" s="454"/>
      <c r="E102" s="564"/>
      <c r="F102" s="585"/>
      <c r="G102" s="55"/>
      <c r="H102" s="454"/>
      <c r="I102" s="586"/>
      <c r="J102" s="585"/>
      <c r="K102" s="55"/>
      <c r="L102" s="454"/>
      <c r="M102"/>
      <c r="P102"/>
      <c r="Q102"/>
      <c r="R102"/>
      <c r="S102"/>
    </row>
    <row r="103" spans="1:19" ht="18" customHeight="1" x14ac:dyDescent="0.3">
      <c r="A103" s="593"/>
      <c r="B103" s="594" t="s">
        <v>354</v>
      </c>
      <c r="C103" s="595"/>
      <c r="D103" s="595"/>
      <c r="E103" s="596"/>
      <c r="F103" s="596"/>
      <c r="G103" s="595"/>
      <c r="H103" s="595"/>
      <c r="I103" s="595"/>
      <c r="J103" s="595"/>
      <c r="K103" s="594" t="s">
        <v>355</v>
      </c>
      <c r="L103" s="595"/>
      <c r="M103" s="595"/>
      <c r="N103" s="596"/>
      <c r="O103" s="596"/>
      <c r="P103" s="595"/>
      <c r="Q103" s="595"/>
      <c r="R103" s="595"/>
      <c r="S103"/>
    </row>
    <row r="104" spans="1:19" ht="15" customHeight="1" x14ac:dyDescent="0.3">
      <c r="A104" s="248"/>
      <c r="B104" s="365" t="s">
        <v>304</v>
      </c>
      <c r="C104" s="38"/>
      <c r="E104"/>
      <c r="F104"/>
      <c r="J104" s="591"/>
      <c r="L104" s="451" t="s">
        <v>304</v>
      </c>
      <c r="S104"/>
    </row>
    <row r="105" spans="1:19" ht="15" customHeight="1" x14ac:dyDescent="0.3">
      <c r="A105" s="248"/>
      <c r="B105" s="38"/>
      <c r="C105" s="38"/>
      <c r="E105"/>
      <c r="F105"/>
      <c r="J105" s="591"/>
      <c r="S105"/>
    </row>
    <row r="106" spans="1:19" ht="15" customHeight="1" thickBot="1" x14ac:dyDescent="0.35">
      <c r="A106" s="248"/>
      <c r="B106" s="579" t="s">
        <v>305</v>
      </c>
      <c r="C106" s="534"/>
      <c r="D106"/>
      <c r="E106" s="579"/>
      <c r="F106" s="579"/>
      <c r="I106"/>
      <c r="J106" s="592"/>
      <c r="K106" s="579" t="s">
        <v>305</v>
      </c>
      <c r="L106" s="579"/>
      <c r="N106" s="534"/>
      <c r="O106" s="534"/>
      <c r="S106"/>
    </row>
    <row r="107" spans="1:19" ht="15" customHeight="1" thickTop="1" x14ac:dyDescent="0.3">
      <c r="A107" s="248"/>
      <c r="B107" s="38" t="s">
        <v>306</v>
      </c>
      <c r="C107">
        <f>SQRT(C108)</f>
        <v>0.9997936885915486</v>
      </c>
      <c r="D107"/>
      <c r="E107" s="38" t="s">
        <v>311</v>
      </c>
      <c r="F107" s="38">
        <f>C111*LN(D116/C111)+2*C115</f>
        <v>-106.60473118165424</v>
      </c>
      <c r="I107"/>
      <c r="J107" s="592"/>
      <c r="K107" s="38" t="s">
        <v>306</v>
      </c>
      <c r="L107" s="38">
        <f>SQRT(L108)</f>
        <v>0.99958661638203206</v>
      </c>
      <c r="N107" t="s">
        <v>311</v>
      </c>
      <c r="O107">
        <f>L111*LN(M116/L111)+2*L115</f>
        <v>-100.7025921072976</v>
      </c>
      <c r="S107"/>
    </row>
    <row r="108" spans="1:19" ht="15" customHeight="1" x14ac:dyDescent="0.3">
      <c r="A108" s="248"/>
      <c r="B108" s="38" t="s">
        <v>307</v>
      </c>
      <c r="C108">
        <f>D115/D117</f>
        <v>0.99958741974749443</v>
      </c>
      <c r="D108"/>
      <c r="E108" s="38" t="s">
        <v>312</v>
      </c>
      <c r="F108" s="38">
        <f>F107+2*(C115+1)*(C115+2)/(C111-C115-2)</f>
        <v>-104.20473118165424</v>
      </c>
      <c r="I108"/>
      <c r="J108" s="592"/>
      <c r="K108" s="38" t="s">
        <v>307</v>
      </c>
      <c r="L108" s="38">
        <f>M115/M117</f>
        <v>0.99917340365007978</v>
      </c>
      <c r="N108" t="s">
        <v>312</v>
      </c>
      <c r="O108">
        <f>O107+2*(L115+1)*(L115+2)/(L111-L115-2)</f>
        <v>-98.302592107297599</v>
      </c>
      <c r="S108"/>
    </row>
    <row r="109" spans="1:19" ht="15" customHeight="1" x14ac:dyDescent="0.3">
      <c r="A109" s="248"/>
      <c r="B109" s="38" t="s">
        <v>308</v>
      </c>
      <c r="C109">
        <f>1-(1-C108)*C111/(C111-C115)</f>
        <v>0.99952847971142222</v>
      </c>
      <c r="D109"/>
      <c r="E109" s="546" t="s">
        <v>313</v>
      </c>
      <c r="F109" s="546">
        <f>C111*LN(D116/C111)+C115*LN(C111)</f>
        <v>-106.5252896399744</v>
      </c>
      <c r="I109"/>
      <c r="J109" s="592"/>
      <c r="K109" s="38" t="s">
        <v>308</v>
      </c>
      <c r="L109" s="38">
        <f>1-(1-L108)*L111/(L111-L115)</f>
        <v>0.99905531845723405</v>
      </c>
      <c r="N109" s="535" t="s">
        <v>313</v>
      </c>
      <c r="O109" s="535">
        <f>L111*LN(M116/L111)+L115*LN(L111)</f>
        <v>-100.62315056561776</v>
      </c>
      <c r="S109"/>
    </row>
    <row r="110" spans="1:19" ht="15" customHeight="1" x14ac:dyDescent="0.3">
      <c r="A110" s="248"/>
      <c r="B110" s="38" t="s">
        <v>309</v>
      </c>
      <c r="C110">
        <f>SQRT(E116)</f>
        <v>1.3018685991149624E-3</v>
      </c>
      <c r="D110"/>
      <c r="I110"/>
      <c r="J110" s="592"/>
      <c r="K110" s="38" t="s">
        <v>309</v>
      </c>
      <c r="L110" s="38">
        <f>SQRT(N116)</f>
        <v>1.882657435935274E-3</v>
      </c>
      <c r="S110"/>
    </row>
    <row r="111" spans="1:19" ht="15" customHeight="1" x14ac:dyDescent="0.3">
      <c r="A111" s="248"/>
      <c r="B111" s="546" t="s">
        <v>310</v>
      </c>
      <c r="C111" s="535">
        <f>COUNT(C10:C17)</f>
        <v>8</v>
      </c>
      <c r="D111"/>
      <c r="I111"/>
      <c r="J111" s="592"/>
      <c r="K111" s="546" t="s">
        <v>310</v>
      </c>
      <c r="L111" s="546">
        <f>COUNT(D10:D17)</f>
        <v>8</v>
      </c>
      <c r="S111"/>
    </row>
    <row r="112" spans="1:19" ht="15" customHeight="1" x14ac:dyDescent="0.3">
      <c r="A112" s="248"/>
      <c r="B112" s="38"/>
      <c r="D112"/>
      <c r="I112"/>
      <c r="J112" s="592"/>
      <c r="S112"/>
    </row>
    <row r="113" spans="1:26" ht="15" customHeight="1" thickBot="1" x14ac:dyDescent="0.35">
      <c r="A113" s="248"/>
      <c r="B113" s="38" t="s">
        <v>314</v>
      </c>
      <c r="D113"/>
      <c r="F113" s="451" t="s">
        <v>315</v>
      </c>
      <c r="G113" s="451">
        <v>0.05</v>
      </c>
      <c r="I113"/>
      <c r="J113" s="592"/>
      <c r="K113" s="38" t="s">
        <v>314</v>
      </c>
      <c r="O113" s="451" t="s">
        <v>315</v>
      </c>
      <c r="P113" s="451">
        <v>0.05</v>
      </c>
      <c r="S113"/>
      <c r="X113" s="596"/>
      <c r="Y113" s="596"/>
      <c r="Z113" s="596"/>
    </row>
    <row r="114" spans="1:26" ht="15" customHeight="1" thickTop="1" x14ac:dyDescent="0.3">
      <c r="A114" s="248"/>
      <c r="B114" s="536"/>
      <c r="C114" s="536" t="s">
        <v>316</v>
      </c>
      <c r="D114" s="536" t="s">
        <v>317</v>
      </c>
      <c r="E114" s="536" t="s">
        <v>318</v>
      </c>
      <c r="F114" s="536" t="s">
        <v>319</v>
      </c>
      <c r="G114" s="536" t="s">
        <v>320</v>
      </c>
      <c r="H114" s="536" t="s">
        <v>321</v>
      </c>
      <c r="I114"/>
      <c r="J114" s="592"/>
      <c r="K114" s="536"/>
      <c r="L114" s="536" t="s">
        <v>316</v>
      </c>
      <c r="M114" s="536" t="s">
        <v>317</v>
      </c>
      <c r="N114" s="536" t="s">
        <v>318</v>
      </c>
      <c r="O114" s="536" t="s">
        <v>319</v>
      </c>
      <c r="P114" s="536" t="s">
        <v>320</v>
      </c>
      <c r="Q114" s="536" t="s">
        <v>321</v>
      </c>
      <c r="S114"/>
    </row>
    <row r="115" spans="1:26" ht="15" customHeight="1" x14ac:dyDescent="0.3">
      <c r="A115" s="248"/>
      <c r="B115" s="38" t="s">
        <v>322</v>
      </c>
      <c r="C115">
        <f>COUNT(B10)</f>
        <v>1</v>
      </c>
      <c r="D115">
        <f>SUMPRODUCT(E28:E35,MMULT([2]!DESIGN(B10:B17),C120:C121)^2)-SUMPRODUCT(C10:C17,E28:E35)^2/SUM(E28:E35)</f>
        <v>2.4637571563979558E-2</v>
      </c>
      <c r="E115" s="38">
        <f>D115/C115</f>
        <v>2.4637571563979558E-2</v>
      </c>
      <c r="F115" s="38">
        <f>E115/E116</f>
        <v>14536.625255480498</v>
      </c>
      <c r="G115" s="38">
        <f>_xlfn.F.DIST.RT(F115,C115,C116)</f>
        <v>2.195040502037795E-11</v>
      </c>
      <c r="H115" s="451" t="str">
        <f>IF(G115&lt;G113,"yes","no")</f>
        <v>yes</v>
      </c>
      <c r="I115"/>
      <c r="J115" s="592"/>
      <c r="K115" s="38" t="s">
        <v>322</v>
      </c>
      <c r="L115" s="38">
        <f>COUNT(B10)</f>
        <v>1</v>
      </c>
      <c r="M115" s="38">
        <f>SUMPRODUCT(E28:E35,MMULT([2]!DESIGN(B10:B17),L120:L121)^2)-SUMPRODUCT(D10:D17,E28:E35)^2/SUM(E28:E35)</f>
        <v>2.5706398781925668E-2</v>
      </c>
      <c r="N115">
        <f>M115/L115</f>
        <v>2.5706398781925668E-2</v>
      </c>
      <c r="O115">
        <f>N115/N116</f>
        <v>7252.6819438279572</v>
      </c>
      <c r="P115" s="38">
        <f>_xlfn.F.DIST.RT(O115,L115,L116)</f>
        <v>1.7654894919650418E-10</v>
      </c>
      <c r="Q115" s="451" t="str">
        <f>IF(P115&lt;P113,"yes","no")</f>
        <v>yes</v>
      </c>
      <c r="S115"/>
    </row>
    <row r="116" spans="1:26" ht="15" customHeight="1" x14ac:dyDescent="0.3">
      <c r="A116" s="248"/>
      <c r="B116" s="38" t="s">
        <v>323</v>
      </c>
      <c r="C116">
        <f>C117-C115</f>
        <v>6</v>
      </c>
      <c r="D116">
        <f>D117-D115</f>
        <v>1.0169171096169327E-5</v>
      </c>
      <c r="E116" s="38">
        <f>D116/C116</f>
        <v>1.6948618493615546E-6</v>
      </c>
      <c r="I116"/>
      <c r="J116" s="592"/>
      <c r="K116" s="38" t="s">
        <v>323</v>
      </c>
      <c r="L116" s="38">
        <f>L117-L115</f>
        <v>6</v>
      </c>
      <c r="M116" s="38">
        <f>M117-M115</f>
        <v>2.1266394126494281E-5</v>
      </c>
      <c r="N116">
        <f>M116/L116</f>
        <v>3.5443990210823804E-6</v>
      </c>
      <c r="S116"/>
    </row>
    <row r="117" spans="1:26" ht="15" customHeight="1" x14ac:dyDescent="0.3">
      <c r="A117" s="248"/>
      <c r="B117" s="546" t="s">
        <v>108</v>
      </c>
      <c r="C117" s="535">
        <f>C111-1</f>
        <v>7</v>
      </c>
      <c r="D117" s="535">
        <f>SUMPRODUCT(C10:C17^2,E28:E35)-SUMPRODUCT(C10:C17,E28:E35)^2/SUM(E28:E35)</f>
        <v>2.4647740735075727E-2</v>
      </c>
      <c r="E117" s="546"/>
      <c r="F117" s="546"/>
      <c r="G117" s="546"/>
      <c r="H117" s="546"/>
      <c r="I117"/>
      <c r="J117" s="592"/>
      <c r="K117" s="546" t="s">
        <v>108</v>
      </c>
      <c r="L117" s="546">
        <f>L111-1</f>
        <v>7</v>
      </c>
      <c r="M117" s="546">
        <f>SUMPRODUCT(D10:D17^2,E28:E35)-SUMPRODUCT(D10:D17,E28:E35)^2/SUM(E28:E35)</f>
        <v>2.5727665176052163E-2</v>
      </c>
      <c r="N117" s="535"/>
      <c r="O117" s="535"/>
      <c r="P117" s="546"/>
      <c r="Q117" s="546"/>
      <c r="S117"/>
    </row>
    <row r="118" spans="1:26" ht="15" customHeight="1" thickBot="1" x14ac:dyDescent="0.35">
      <c r="A118" s="248"/>
      <c r="B118" s="38"/>
      <c r="C118" s="38"/>
      <c r="E118"/>
      <c r="F118"/>
      <c r="J118" s="591"/>
      <c r="S118"/>
    </row>
    <row r="119" spans="1:26" ht="15" customHeight="1" thickTop="1" x14ac:dyDescent="0.3">
      <c r="A119" s="248"/>
      <c r="B119" s="536"/>
      <c r="C119" s="536" t="s">
        <v>324</v>
      </c>
      <c r="D119" s="536" t="s">
        <v>325</v>
      </c>
      <c r="E119" s="536" t="s">
        <v>326</v>
      </c>
      <c r="F119" s="536" t="s">
        <v>320</v>
      </c>
      <c r="G119" s="536" t="s">
        <v>327</v>
      </c>
      <c r="H119" s="536" t="s">
        <v>328</v>
      </c>
      <c r="I119" s="536" t="s">
        <v>329</v>
      </c>
      <c r="J119" s="591"/>
      <c r="K119" s="536"/>
      <c r="L119" s="536" t="s">
        <v>324</v>
      </c>
      <c r="M119" s="536" t="s">
        <v>325</v>
      </c>
      <c r="N119" s="536" t="s">
        <v>326</v>
      </c>
      <c r="O119" s="536" t="s">
        <v>320</v>
      </c>
      <c r="P119" s="536" t="s">
        <v>327</v>
      </c>
      <c r="Q119" s="536" t="s">
        <v>328</v>
      </c>
      <c r="R119" s="536" t="s">
        <v>329</v>
      </c>
      <c r="S119"/>
    </row>
    <row r="120" spans="1:26" ht="15" customHeight="1" x14ac:dyDescent="0.3">
      <c r="A120" s="248"/>
      <c r="B120" s="38" t="s">
        <v>330</v>
      </c>
      <c r="C120" s="38">
        <f t="array" ref="C120:D121">[2]!WRegCoeff(B10:B17,C10:C17,E28:E35)</f>
        <v>-7.2490926059718408E-3</v>
      </c>
      <c r="D120" s="38">
        <v>3.4551765351978009E-3</v>
      </c>
      <c r="E120">
        <f>C120/D120</f>
        <v>-2.0980382715978494</v>
      </c>
      <c r="F120">
        <f>_xlfn.T.DIST.2T(ABS(E120),$C$116)</f>
        <v>8.0696271415597792E-2</v>
      </c>
      <c r="G120" s="38">
        <f>C120-_xlfn.T.INV.2T(G$113,$C$116)*D120</f>
        <v>-1.5703605017745356E-2</v>
      </c>
      <c r="H120" s="38">
        <f>C120+_xlfn.T.INV.2T(G$113,$C$116)*D120</f>
        <v>1.2054198058016729E-3</v>
      </c>
      <c r="J120" s="591"/>
      <c r="K120" s="38" t="s">
        <v>330</v>
      </c>
      <c r="L120" s="38">
        <f t="array" ref="L120:M121">[2]!WRegCoeff(B10:B17,D10:D17,E28:E35)</f>
        <v>-9.4440467956600216E-3</v>
      </c>
      <c r="M120" s="38">
        <v>4.9965978140019173E-3</v>
      </c>
      <c r="N120" s="38">
        <f>L120/M120</f>
        <v>-1.8900954503872738</v>
      </c>
      <c r="O120">
        <f>_xlfn.T.DIST.2T(ABS(N120),$L$116)</f>
        <v>0.10763786226042087</v>
      </c>
      <c r="P120">
        <f>L120-_xlfn.T.INV.2T(P$113,$L$116)*M120</f>
        <v>-2.1670281202146362E-2</v>
      </c>
      <c r="Q120" s="38">
        <f>L120+_xlfn.T.INV.2T(P$113,$L$116)*M120</f>
        <v>2.7821876108263185E-3</v>
      </c>
      <c r="S120"/>
    </row>
    <row r="121" spans="1:26" ht="15" customHeight="1" x14ac:dyDescent="0.3">
      <c r="A121" s="248"/>
      <c r="B121" s="546" t="s">
        <v>24</v>
      </c>
      <c r="C121" s="546">
        <v>6.625301840674587E-2</v>
      </c>
      <c r="D121" s="546">
        <v>5.4950781290794481E-4</v>
      </c>
      <c r="E121" s="535">
        <f>C121/D121</f>
        <v>120.56792797201734</v>
      </c>
      <c r="F121" s="535">
        <f>_xlfn.T.DIST.2T(ABS(E121),$C$116)</f>
        <v>2.1950405020445562E-11</v>
      </c>
      <c r="G121" s="546">
        <f>C121-_xlfn.T.INV.2T(G$113,$C$116)*D121</f>
        <v>6.4908421227044669E-2</v>
      </c>
      <c r="H121" s="546">
        <f>C121+_xlfn.T.INV.2T(G$113,$C$116)*D121</f>
        <v>6.7597615586447071E-2</v>
      </c>
      <c r="I121" s="546">
        <f t="array" ref="I121">[2]!WVIF(B10:B17,E28:E35,1)</f>
        <v>1</v>
      </c>
      <c r="J121" s="591"/>
      <c r="K121" s="546" t="s">
        <v>24</v>
      </c>
      <c r="L121" s="546">
        <v>6.7674855919062291E-2</v>
      </c>
      <c r="M121" s="546">
        <v>7.9465390806598209E-4</v>
      </c>
      <c r="N121" s="546">
        <f>L121/M121</f>
        <v>85.162679289866503</v>
      </c>
      <c r="O121" s="535">
        <f>_xlfn.T.DIST.2T(ABS(N121),$L$116)</f>
        <v>1.7654894919645274E-10</v>
      </c>
      <c r="P121" s="535">
        <f>L121-_xlfn.T.INV.2T(P$113,$L$116)*M121</f>
        <v>6.5730407853856976E-2</v>
      </c>
      <c r="Q121" s="546">
        <f>L121+_xlfn.T.INV.2T(P$113,$L$116)*M121</f>
        <v>6.9619303984267605E-2</v>
      </c>
      <c r="R121" s="546">
        <f t="array" ref="R121">[2]!WVIF(B10:B17,E28:E35,1)</f>
        <v>1</v>
      </c>
      <c r="S121"/>
    </row>
    <row r="122" spans="1:26" ht="15" customHeight="1" x14ac:dyDescent="0.3">
      <c r="A122" s="248"/>
      <c r="B122" s="38"/>
      <c r="C122" s="38"/>
      <c r="E122"/>
      <c r="F122"/>
      <c r="J122" s="591"/>
      <c r="N122" s="38"/>
      <c r="P122"/>
      <c r="S122"/>
    </row>
    <row r="123" spans="1:26" ht="15" customHeight="1" x14ac:dyDescent="0.3">
      <c r="A123" s="248"/>
      <c r="B123" s="38"/>
      <c r="C123" s="38"/>
      <c r="E123"/>
      <c r="F123"/>
      <c r="J123" s="591"/>
      <c r="K123"/>
      <c r="L123"/>
      <c r="M123"/>
      <c r="P123"/>
      <c r="Q123"/>
      <c r="R123"/>
      <c r="S123"/>
    </row>
    <row r="124" spans="1:26" s="596" customFormat="1" ht="15" customHeight="1" x14ac:dyDescent="0.3">
      <c r="A124" s="593"/>
      <c r="B124" s="597" t="s">
        <v>356</v>
      </c>
      <c r="D124" s="595"/>
      <c r="E124" s="595"/>
      <c r="F124" s="595"/>
      <c r="G124" s="595"/>
      <c r="H124" s="595"/>
      <c r="I124" s="595"/>
      <c r="J124" s="591"/>
      <c r="K124" s="597" t="s">
        <v>357</v>
      </c>
      <c r="X124"/>
      <c r="Y124"/>
      <c r="Z124"/>
    </row>
    <row r="125" spans="1:26" ht="15" customHeight="1" x14ac:dyDescent="0.3">
      <c r="A125" s="248"/>
      <c r="B125" t="s">
        <v>304</v>
      </c>
      <c r="C125" s="38"/>
      <c r="J125" s="592"/>
      <c r="K125" t="s">
        <v>304</v>
      </c>
      <c r="L125"/>
      <c r="M125"/>
      <c r="P125"/>
      <c r="Q125"/>
      <c r="R125"/>
      <c r="S125"/>
    </row>
    <row r="126" spans="1:26" ht="15" customHeight="1" x14ac:dyDescent="0.3">
      <c r="A126" s="248"/>
      <c r="B126"/>
      <c r="C126" s="38"/>
      <c r="J126" s="592"/>
      <c r="K126"/>
      <c r="L126"/>
      <c r="M126"/>
      <c r="P126"/>
      <c r="Q126"/>
      <c r="R126"/>
      <c r="S126"/>
    </row>
    <row r="127" spans="1:26" ht="15" customHeight="1" thickBot="1" x14ac:dyDescent="0.35">
      <c r="A127" s="248"/>
      <c r="B127" s="534" t="s">
        <v>305</v>
      </c>
      <c r="C127" s="579"/>
      <c r="E127" s="579"/>
      <c r="F127" s="579"/>
      <c r="J127" s="592"/>
      <c r="K127" s="534" t="s">
        <v>305</v>
      </c>
      <c r="L127" s="534"/>
      <c r="M127"/>
      <c r="N127" s="534"/>
      <c r="O127" s="534"/>
      <c r="P127"/>
      <c r="Q127"/>
      <c r="R127"/>
      <c r="S127"/>
    </row>
    <row r="128" spans="1:26" ht="15" customHeight="1" thickTop="1" x14ac:dyDescent="0.3">
      <c r="A128" s="248"/>
      <c r="B128" t="s">
        <v>306</v>
      </c>
      <c r="C128" s="38">
        <f>SQRT(C129)</f>
        <v>0.99933345130239115</v>
      </c>
      <c r="E128" s="38" t="s">
        <v>311</v>
      </c>
      <c r="F128" s="38">
        <f>C132*LN(D137/C132)+2*C136</f>
        <v>-97.235134596893971</v>
      </c>
      <c r="J128" s="592"/>
      <c r="K128" t="s">
        <v>306</v>
      </c>
      <c r="L128">
        <f>SQRT(L129)</f>
        <v>0.99903626338761931</v>
      </c>
      <c r="M128"/>
      <c r="N128" t="s">
        <v>311</v>
      </c>
      <c r="O128">
        <f>L132*LN(M137/L132)+2*L136</f>
        <v>-94.184133300254871</v>
      </c>
      <c r="P128"/>
      <c r="Q128"/>
      <c r="R128"/>
      <c r="S128"/>
    </row>
    <row r="129" spans="1:26" ht="15" customHeight="1" x14ac:dyDescent="0.3">
      <c r="A129" s="248"/>
      <c r="B129" t="s">
        <v>307</v>
      </c>
      <c r="C129" s="38">
        <f>D136/D138</f>
        <v>0.99866734689194858</v>
      </c>
      <c r="E129" s="38" t="s">
        <v>312</v>
      </c>
      <c r="F129" s="38">
        <f>F128+2*(C136+1)*(C136+2)/(C132-C136-2)</f>
        <v>-94.835134596893965</v>
      </c>
      <c r="J129" s="592"/>
      <c r="K129" t="s">
        <v>307</v>
      </c>
      <c r="L129">
        <f>M136/M138</f>
        <v>0.99807345556349658</v>
      </c>
      <c r="M129"/>
      <c r="N129" t="s">
        <v>312</v>
      </c>
      <c r="O129">
        <f>O128+2*(L136+1)*(L136+2)/(L132-L136-2)</f>
        <v>-91.784133300254865</v>
      </c>
      <c r="P129"/>
      <c r="Q129"/>
      <c r="R129"/>
      <c r="S129"/>
    </row>
    <row r="130" spans="1:26" ht="15" customHeight="1" x14ac:dyDescent="0.3">
      <c r="A130" s="248"/>
      <c r="B130" t="s">
        <v>308</v>
      </c>
      <c r="C130" s="38">
        <f>1-(1-C129)*C132/(C132-C136)</f>
        <v>0.99847696787651263</v>
      </c>
      <c r="E130" s="546" t="s">
        <v>313</v>
      </c>
      <c r="F130" s="546">
        <f>C132*LN(D137/C132)+C136*LN(C132)</f>
        <v>-97.15569305521413</v>
      </c>
      <c r="J130" s="592"/>
      <c r="K130" t="s">
        <v>308</v>
      </c>
      <c r="L130">
        <f>1-(1-L129)*L132/(L132-L136)</f>
        <v>0.99779823492971043</v>
      </c>
      <c r="M130"/>
      <c r="N130" s="535" t="s">
        <v>313</v>
      </c>
      <c r="O130" s="535">
        <f>L132*LN(M137/L132)+L136*LN(L132)</f>
        <v>-94.104691758575029</v>
      </c>
      <c r="P130"/>
      <c r="Q130"/>
      <c r="R130"/>
      <c r="S130"/>
    </row>
    <row r="131" spans="1:26" ht="15" customHeight="1" x14ac:dyDescent="0.3">
      <c r="A131" s="248"/>
      <c r="B131" t="s">
        <v>309</v>
      </c>
      <c r="C131" s="38">
        <f>SQRT(E137)</f>
        <v>2.338244426950581E-3</v>
      </c>
      <c r="J131" s="592"/>
      <c r="K131" t="s">
        <v>309</v>
      </c>
      <c r="L131">
        <f>SQRT(N137)</f>
        <v>2.8294659509685845E-3</v>
      </c>
      <c r="M131"/>
      <c r="P131"/>
      <c r="Q131"/>
      <c r="R131"/>
      <c r="S131"/>
    </row>
    <row r="132" spans="1:26" ht="15" customHeight="1" x14ac:dyDescent="0.3">
      <c r="A132" s="248"/>
      <c r="B132" s="535" t="s">
        <v>310</v>
      </c>
      <c r="C132" s="546">
        <f>COUNT(E10:E17)</f>
        <v>8</v>
      </c>
      <c r="J132" s="592"/>
      <c r="K132" s="535" t="s">
        <v>310</v>
      </c>
      <c r="L132" s="535">
        <f>COUNT(F10:F17)</f>
        <v>8</v>
      </c>
      <c r="M132"/>
      <c r="P132"/>
      <c r="Q132"/>
      <c r="R132"/>
      <c r="S132"/>
    </row>
    <row r="133" spans="1:26" ht="15" customHeight="1" x14ac:dyDescent="0.3">
      <c r="A133" s="248"/>
      <c r="B133"/>
      <c r="C133" s="38"/>
      <c r="J133" s="592"/>
      <c r="K133"/>
      <c r="L133"/>
      <c r="M133"/>
      <c r="P133"/>
      <c r="Q133"/>
      <c r="R133"/>
      <c r="S133"/>
    </row>
    <row r="134" spans="1:26" ht="15" customHeight="1" thickBot="1" x14ac:dyDescent="0.35">
      <c r="A134" s="248"/>
      <c r="B134" t="s">
        <v>314</v>
      </c>
      <c r="C134" s="38"/>
      <c r="F134" s="451" t="s">
        <v>315</v>
      </c>
      <c r="G134" s="451">
        <v>0.05</v>
      </c>
      <c r="J134" s="592"/>
      <c r="K134" t="s">
        <v>314</v>
      </c>
      <c r="L134"/>
      <c r="M134"/>
      <c r="O134" s="451" t="s">
        <v>315</v>
      </c>
      <c r="P134" s="451">
        <v>0.05</v>
      </c>
      <c r="Q134"/>
      <c r="R134"/>
      <c r="S134"/>
      <c r="X134" s="596"/>
      <c r="Y134" s="596"/>
      <c r="Z134" s="596"/>
    </row>
    <row r="135" spans="1:26" ht="15" customHeight="1" thickTop="1" x14ac:dyDescent="0.3">
      <c r="A135" s="248"/>
      <c r="B135" s="536"/>
      <c r="C135" s="536" t="s">
        <v>316</v>
      </c>
      <c r="D135" s="536" t="s">
        <v>317</v>
      </c>
      <c r="E135" s="536" t="s">
        <v>318</v>
      </c>
      <c r="F135" s="536" t="s">
        <v>319</v>
      </c>
      <c r="G135" s="536" t="s">
        <v>320</v>
      </c>
      <c r="H135" s="536" t="s">
        <v>321</v>
      </c>
      <c r="J135" s="592"/>
      <c r="K135" s="536"/>
      <c r="L135" s="536" t="s">
        <v>316</v>
      </c>
      <c r="M135" s="536" t="s">
        <v>317</v>
      </c>
      <c r="N135" s="536" t="s">
        <v>318</v>
      </c>
      <c r="O135" s="536" t="s">
        <v>319</v>
      </c>
      <c r="P135" s="536" t="s">
        <v>320</v>
      </c>
      <c r="Q135" s="536" t="s">
        <v>321</v>
      </c>
      <c r="R135"/>
      <c r="S135"/>
    </row>
    <row r="136" spans="1:26" ht="15" customHeight="1" x14ac:dyDescent="0.3">
      <c r="A136" s="248"/>
      <c r="B136" t="s">
        <v>322</v>
      </c>
      <c r="C136" s="38">
        <f>COUNT(B10)</f>
        <v>1</v>
      </c>
      <c r="D136" s="38">
        <f>SUMPRODUCT(E28:E35,MMULT([2]!DESIGN(B10:B17),C141:C142)^2)-SUMPRODUCT(E10:E17,E28:E35)^2/SUM(E28:E35)</f>
        <v>2.4582995395721414E-2</v>
      </c>
      <c r="E136" s="38">
        <f>D136/C136</f>
        <v>2.4582995395721414E-2</v>
      </c>
      <c r="F136" s="38">
        <f>E136/E137</f>
        <v>4496.2969321501296</v>
      </c>
      <c r="G136" s="38">
        <f>_xlfn.F.DIST.RT(F136,C136,C137)</f>
        <v>7.3997752117987862E-10</v>
      </c>
      <c r="H136" s="451" t="str">
        <f>IF(G136&lt;G134,"yes","no")</f>
        <v>yes</v>
      </c>
      <c r="J136" s="592"/>
      <c r="K136" t="s">
        <v>322</v>
      </c>
      <c r="L136">
        <f>COUNT(B10)</f>
        <v>1</v>
      </c>
      <c r="M136">
        <f>SUMPRODUCT(E28:E35,MMULT([2]!DESIGN(B10:B17),L141:L142)^2)-SUMPRODUCT(F10:F17,E28:E35)^2/SUM(E28:E35)</f>
        <v>2.4885345193403716E-2</v>
      </c>
      <c r="N136">
        <f>M136/L136</f>
        <v>2.4885345193403716E-2</v>
      </c>
      <c r="O136">
        <f>N136/N137</f>
        <v>3108.3844316872755</v>
      </c>
      <c r="P136">
        <f>_xlfn.F.DIST.RT(O136,L136,L137)</f>
        <v>2.2361509710225263E-9</v>
      </c>
      <c r="Q136" s="451" t="str">
        <f>IF(P136&lt;P134,"yes","no")</f>
        <v>yes</v>
      </c>
      <c r="R136"/>
      <c r="S136"/>
    </row>
    <row r="137" spans="1:26" ht="15" customHeight="1" x14ac:dyDescent="0.3">
      <c r="A137" s="248"/>
      <c r="B137" t="s">
        <v>323</v>
      </c>
      <c r="C137" s="38">
        <f>C138-C136</f>
        <v>6</v>
      </c>
      <c r="D137" s="38">
        <f>D138-D136</f>
        <v>3.2804322000992703E-5</v>
      </c>
      <c r="E137" s="38">
        <f>D137/C137</f>
        <v>5.4673870001654507E-6</v>
      </c>
      <c r="J137" s="592"/>
      <c r="K137" t="s">
        <v>323</v>
      </c>
      <c r="L137">
        <f>L138-L136</f>
        <v>6</v>
      </c>
      <c r="M137">
        <f>M138-M136</f>
        <v>4.8035265406143335E-5</v>
      </c>
      <c r="N137">
        <f>M137/L137</f>
        <v>8.0058775676905558E-6</v>
      </c>
      <c r="P137"/>
      <c r="Q137"/>
      <c r="R137"/>
      <c r="S137"/>
    </row>
    <row r="138" spans="1:26" ht="15" customHeight="1" x14ac:dyDescent="0.3">
      <c r="A138" s="248"/>
      <c r="B138" s="535" t="s">
        <v>108</v>
      </c>
      <c r="C138" s="546">
        <f>C132-1</f>
        <v>7</v>
      </c>
      <c r="D138" s="546">
        <f>SUMPRODUCT(E10:E17^2,E28:E35)-SUMPRODUCT(E10:E17,E28:E35)^2/SUM(E28:E35)</f>
        <v>2.4615799717722407E-2</v>
      </c>
      <c r="E138" s="546"/>
      <c r="F138" s="546"/>
      <c r="G138" s="546"/>
      <c r="H138" s="546"/>
      <c r="J138" s="592"/>
      <c r="K138" s="535" t="s">
        <v>108</v>
      </c>
      <c r="L138" s="535">
        <f>L132-1</f>
        <v>7</v>
      </c>
      <c r="M138" s="535">
        <f>SUMPRODUCT(F10:F17^2,E28:E35)-SUMPRODUCT(F10:F17,E28:E35)^2/SUM(E28:E35)</f>
        <v>2.493338045880986E-2</v>
      </c>
      <c r="N138" s="535"/>
      <c r="O138" s="535"/>
      <c r="P138" s="535"/>
      <c r="Q138" s="535"/>
      <c r="R138"/>
      <c r="S138"/>
    </row>
    <row r="139" spans="1:26" ht="15" customHeight="1" thickBot="1" x14ac:dyDescent="0.35">
      <c r="A139" s="248"/>
      <c r="B139"/>
      <c r="C139" s="38"/>
      <c r="J139" s="592"/>
      <c r="K139"/>
      <c r="L139"/>
      <c r="M139"/>
      <c r="P139"/>
      <c r="Q139"/>
      <c r="R139"/>
      <c r="S139"/>
    </row>
    <row r="140" spans="1:26" ht="15" customHeight="1" thickTop="1" x14ac:dyDescent="0.3">
      <c r="A140" s="248"/>
      <c r="B140" s="536"/>
      <c r="C140" s="536" t="s">
        <v>324</v>
      </c>
      <c r="D140" s="536" t="s">
        <v>325</v>
      </c>
      <c r="E140" s="536" t="s">
        <v>326</v>
      </c>
      <c r="F140" s="536" t="s">
        <v>320</v>
      </c>
      <c r="G140" s="536" t="s">
        <v>327</v>
      </c>
      <c r="H140" s="536" t="s">
        <v>328</v>
      </c>
      <c r="I140" s="536" t="s">
        <v>329</v>
      </c>
      <c r="J140" s="592"/>
      <c r="K140" s="536"/>
      <c r="L140" s="536" t="s">
        <v>324</v>
      </c>
      <c r="M140" s="536" t="s">
        <v>325</v>
      </c>
      <c r="N140" s="536" t="s">
        <v>326</v>
      </c>
      <c r="O140" s="536" t="s">
        <v>320</v>
      </c>
      <c r="P140" s="536" t="s">
        <v>327</v>
      </c>
      <c r="Q140" s="536" t="s">
        <v>328</v>
      </c>
      <c r="R140" s="536" t="s">
        <v>329</v>
      </c>
      <c r="S140"/>
    </row>
    <row r="141" spans="1:26" ht="15" customHeight="1" x14ac:dyDescent="0.3">
      <c r="A141" s="248"/>
      <c r="B141" t="s">
        <v>330</v>
      </c>
      <c r="C141" s="38">
        <f t="array" ref="C141:D142">[2]!WRegCoeff(B10:B17,E10:E17,E28:E35)</f>
        <v>-1.0314884688907511E-2</v>
      </c>
      <c r="D141" s="38">
        <v>6.2057317328666839E-3</v>
      </c>
      <c r="E141" s="38">
        <f>C141/D141</f>
        <v>-1.6621544618627333</v>
      </c>
      <c r="F141" s="38">
        <f>_xlfn.T.DIST.2T(ABS(E141),$C$137)</f>
        <v>0.14754431593978237</v>
      </c>
      <c r="G141" s="38">
        <f>C141-_xlfn.T.INV.2T(G$134,$C$137)*D141</f>
        <v>-2.5499763211085408E-2</v>
      </c>
      <c r="H141" s="38">
        <f>C141+_xlfn.T.INV.2T(G$134,$C$137)*D141</f>
        <v>4.869993833270388E-3</v>
      </c>
      <c r="J141" s="591"/>
      <c r="K141" t="s">
        <v>330</v>
      </c>
      <c r="L141">
        <f t="array" ref="L141:M142">[2]!WRegCoeff(B10:B17,F10:F17,E28:E35)</f>
        <v>-1.3092208706559527E-2</v>
      </c>
      <c r="M141">
        <v>7.5094401751213671E-3</v>
      </c>
      <c r="N141">
        <f>L141/M141</f>
        <v>-1.7434333853452573</v>
      </c>
      <c r="O141">
        <f>_xlfn.T.DIST.2T(ABS(N141),$L$137)</f>
        <v>0.13188280195632548</v>
      </c>
      <c r="P141">
        <f>L141-_xlfn.T.INV.2T(P$134,$L$137)*M141</f>
        <v>-3.1467146866528156E-2</v>
      </c>
      <c r="Q141">
        <f>L141+_xlfn.T.INV.2T(P$134,$L$137)*M141</f>
        <v>5.2827294534091018E-3</v>
      </c>
      <c r="R141"/>
      <c r="S141"/>
    </row>
    <row r="142" spans="1:26" ht="15" customHeight="1" x14ac:dyDescent="0.3">
      <c r="A142" s="248"/>
      <c r="B142" s="535" t="s">
        <v>24</v>
      </c>
      <c r="C142" s="546">
        <v>6.6179597199107057E-2</v>
      </c>
      <c r="D142" s="546">
        <v>9.8695335456304889E-4</v>
      </c>
      <c r="E142" s="546">
        <f>C142/D142</f>
        <v>67.054432606297354</v>
      </c>
      <c r="F142" s="546">
        <f>_xlfn.T.DIST.2T(ABS(E142),$C$137)</f>
        <v>7.3997752117872449E-10</v>
      </c>
      <c r="G142" s="546">
        <f>C142-_xlfn.T.INV.2T(G$134,$C$137)*D142</f>
        <v>6.376460933929945E-2</v>
      </c>
      <c r="H142" s="546">
        <f>C142+_xlfn.T.INV.2T(G$134,$C$137)*D142</f>
        <v>6.8594585058914664E-2</v>
      </c>
      <c r="I142" s="546">
        <f t="array" ref="I142">[2]!WVIF(B10:B17,E28:E35,1)</f>
        <v>1</v>
      </c>
      <c r="J142" s="591"/>
      <c r="K142" s="535" t="s">
        <v>24</v>
      </c>
      <c r="L142" s="535">
        <v>6.6585329665473161E-2</v>
      </c>
      <c r="M142" s="535">
        <v>1.1942938384645414E-3</v>
      </c>
      <c r="N142" s="535">
        <f>L142/M142</f>
        <v>55.752887204943981</v>
      </c>
      <c r="O142" s="535">
        <f>_xlfn.T.DIST.2T(ABS(N142),$L$137)</f>
        <v>2.2361509710226773E-9</v>
      </c>
      <c r="P142" s="535">
        <f>L142-_xlfn.T.INV.2T(P$134,$L$137)*M142</f>
        <v>6.3662997918384853E-2</v>
      </c>
      <c r="Q142" s="535">
        <f>L142+_xlfn.T.INV.2T(P$134,$L$137)*M142</f>
        <v>6.9507661412561469E-2</v>
      </c>
      <c r="R142" s="535">
        <f t="array" ref="R142">[2]!WVIF(B10:B17,E28:E35,1)</f>
        <v>1</v>
      </c>
      <c r="S142"/>
    </row>
    <row r="143" spans="1:26" ht="15" customHeight="1" x14ac:dyDescent="0.3">
      <c r="A143" s="248"/>
      <c r="J143" s="591"/>
      <c r="L143"/>
      <c r="M143"/>
      <c r="P143"/>
      <c r="Q143"/>
      <c r="R143"/>
      <c r="S143"/>
    </row>
    <row r="144" spans="1:26" s="596" customFormat="1" ht="15" customHeight="1" x14ac:dyDescent="0.3">
      <c r="A144" s="593"/>
      <c r="B144" s="594" t="s">
        <v>358</v>
      </c>
      <c r="C144" s="595"/>
      <c r="D144" s="595"/>
      <c r="E144" s="595"/>
      <c r="H144" s="595"/>
      <c r="I144" s="595"/>
      <c r="J144" s="591"/>
      <c r="K144" s="594" t="s">
        <v>359</v>
      </c>
      <c r="X144"/>
      <c r="Y144"/>
      <c r="Z144"/>
    </row>
    <row r="145" spans="1:26" ht="15" customHeight="1" x14ac:dyDescent="0.3">
      <c r="A145" s="204"/>
      <c r="B145" s="335" t="s">
        <v>304</v>
      </c>
      <c r="C145" s="335"/>
      <c r="D145" s="335"/>
      <c r="E145" s="335"/>
      <c r="F145" s="57"/>
      <c r="G145" s="57"/>
      <c r="H145" s="335"/>
      <c r="I145" s="335"/>
      <c r="J145" s="600"/>
      <c r="K145" s="38" t="s">
        <v>304</v>
      </c>
      <c r="L145"/>
      <c r="M145"/>
      <c r="P145"/>
      <c r="Q145"/>
      <c r="R145"/>
      <c r="S145"/>
    </row>
    <row r="146" spans="1:26" ht="15" customHeight="1" x14ac:dyDescent="0.3">
      <c r="A146" s="57"/>
      <c r="B146" s="335"/>
      <c r="C146" s="335"/>
      <c r="D146" s="335"/>
      <c r="E146" s="335"/>
      <c r="F146" s="57"/>
      <c r="G146" s="57"/>
      <c r="H146" s="335"/>
      <c r="I146" s="335"/>
      <c r="J146" s="600"/>
      <c r="L146"/>
      <c r="M146"/>
      <c r="P146"/>
      <c r="Q146"/>
      <c r="R146"/>
      <c r="S146"/>
    </row>
    <row r="147" spans="1:26" ht="15" customHeight="1" thickBot="1" x14ac:dyDescent="0.35">
      <c r="A147" s="57"/>
      <c r="B147" s="587" t="s">
        <v>305</v>
      </c>
      <c r="C147" s="587"/>
      <c r="D147" s="335"/>
      <c r="E147" s="588"/>
      <c r="F147" s="588"/>
      <c r="G147" s="335"/>
      <c r="H147" s="335"/>
      <c r="I147" s="335"/>
      <c r="J147" s="600"/>
      <c r="K147" s="579" t="s">
        <v>305</v>
      </c>
      <c r="L147" s="579"/>
      <c r="M147"/>
      <c r="N147" s="534"/>
      <c r="O147" s="534"/>
      <c r="P147"/>
      <c r="Q147"/>
      <c r="R147"/>
      <c r="S147"/>
    </row>
    <row r="148" spans="1:26" ht="15" customHeight="1" thickTop="1" x14ac:dyDescent="0.3">
      <c r="A148" s="57"/>
      <c r="B148" s="57" t="s">
        <v>306</v>
      </c>
      <c r="C148" s="57">
        <f>SQRT(C149)</f>
        <v>0.99892125323697345</v>
      </c>
      <c r="D148" s="335"/>
      <c r="E148" s="335" t="s">
        <v>311</v>
      </c>
      <c r="F148" s="335">
        <f>C152*LN(D157/C152)+2*C156</f>
        <v>-93.823522549552024</v>
      </c>
      <c r="G148" s="335"/>
      <c r="H148" s="335"/>
      <c r="I148" s="335"/>
      <c r="J148" s="600"/>
      <c r="K148" s="38" t="s">
        <v>306</v>
      </c>
      <c r="L148" s="38">
        <f>SQRT(L149)</f>
        <v>0.99633963023000405</v>
      </c>
      <c r="M148"/>
      <c r="N148" t="s">
        <v>311</v>
      </c>
      <c r="O148">
        <f>L152*LN(M157/L152)+2*L156</f>
        <v>-81.864559446323227</v>
      </c>
      <c r="P148"/>
      <c r="Q148"/>
      <c r="R148"/>
      <c r="S148"/>
    </row>
    <row r="149" spans="1:26" ht="15" customHeight="1" x14ac:dyDescent="0.3">
      <c r="A149" s="57"/>
      <c r="B149" s="57" t="s">
        <v>307</v>
      </c>
      <c r="C149" s="57">
        <f>D156/D158</f>
        <v>0.99784367016852571</v>
      </c>
      <c r="D149" s="335"/>
      <c r="E149" s="335" t="s">
        <v>312</v>
      </c>
      <c r="F149" s="335">
        <f>F148+2*(C156+1)*(C156+2)/(C152-C156-2)</f>
        <v>-91.423522549552018</v>
      </c>
      <c r="G149" s="335"/>
      <c r="H149" s="335"/>
      <c r="I149" s="335"/>
      <c r="J149" s="600"/>
      <c r="K149" s="38" t="s">
        <v>307</v>
      </c>
      <c r="L149" s="38">
        <f>M156/M158</f>
        <v>0.99269265876686119</v>
      </c>
      <c r="M149"/>
      <c r="N149" t="s">
        <v>312</v>
      </c>
      <c r="O149">
        <f>O148+2*(L156+1)*(L156+2)/(L152-L156-2)</f>
        <v>-79.464559446323221</v>
      </c>
      <c r="P149"/>
      <c r="Q149"/>
      <c r="R149"/>
      <c r="S149"/>
    </row>
    <row r="150" spans="1:26" x14ac:dyDescent="0.3">
      <c r="A150" s="57"/>
      <c r="B150" s="57" t="s">
        <v>308</v>
      </c>
      <c r="C150" s="57">
        <f>1-(1-C149)*C152/(C152-C156)</f>
        <v>0.99753562304974364</v>
      </c>
      <c r="D150" s="335"/>
      <c r="E150" s="589" t="s">
        <v>313</v>
      </c>
      <c r="F150" s="589">
        <f>C152*LN(D157/C152)+C156*LN(C152)</f>
        <v>-93.744081007872182</v>
      </c>
      <c r="G150" s="335"/>
      <c r="H150" s="335"/>
      <c r="I150" s="335"/>
      <c r="J150" s="600"/>
      <c r="K150" s="38" t="s">
        <v>308</v>
      </c>
      <c r="L150" s="38">
        <f>1-(1-L149)*L152/(L152-L156)</f>
        <v>0.99164875287641274</v>
      </c>
      <c r="M150"/>
      <c r="N150" s="535" t="s">
        <v>313</v>
      </c>
      <c r="O150" s="535">
        <f>L152*LN(M157/L152)+L156*LN(L152)</f>
        <v>-81.785117904643386</v>
      </c>
      <c r="P150"/>
      <c r="Q150"/>
      <c r="R150"/>
      <c r="S150"/>
    </row>
    <row r="151" spans="1:26" x14ac:dyDescent="0.3">
      <c r="A151" s="57"/>
      <c r="B151" s="57" t="s">
        <v>309</v>
      </c>
      <c r="C151" s="57">
        <f>SQRT(E157)</f>
        <v>2.8939610112867519E-3</v>
      </c>
      <c r="D151" s="335"/>
      <c r="E151" s="335"/>
      <c r="F151" s="335"/>
      <c r="G151" s="335"/>
      <c r="H151" s="335"/>
      <c r="I151" s="335"/>
      <c r="J151" s="600"/>
      <c r="K151" s="38" t="s">
        <v>309</v>
      </c>
      <c r="L151" s="38">
        <f>SQRT(N157)</f>
        <v>6.1108223185363441E-3</v>
      </c>
      <c r="M151"/>
      <c r="P151"/>
      <c r="Q151"/>
      <c r="R151"/>
      <c r="S151"/>
    </row>
    <row r="152" spans="1:26" x14ac:dyDescent="0.3">
      <c r="A152" s="57"/>
      <c r="B152" s="590" t="s">
        <v>310</v>
      </c>
      <c r="C152" s="590">
        <f>COUNT(G10:G17)</f>
        <v>8</v>
      </c>
      <c r="D152" s="335"/>
      <c r="E152" s="335"/>
      <c r="F152" s="335"/>
      <c r="G152" s="335"/>
      <c r="H152" s="335"/>
      <c r="I152" s="335"/>
      <c r="J152" s="600"/>
      <c r="K152" s="546" t="s">
        <v>310</v>
      </c>
      <c r="L152" s="546">
        <f>COUNT(H10:H17)</f>
        <v>8</v>
      </c>
      <c r="M152"/>
      <c r="P152"/>
      <c r="Q152"/>
      <c r="R152"/>
      <c r="S152"/>
    </row>
    <row r="153" spans="1:26" x14ac:dyDescent="0.3">
      <c r="A153" s="57"/>
      <c r="B153" s="57"/>
      <c r="C153" s="57"/>
      <c r="D153" s="335"/>
      <c r="E153" s="335"/>
      <c r="F153" s="335"/>
      <c r="G153" s="335"/>
      <c r="H153" s="335"/>
      <c r="I153" s="335"/>
      <c r="J153" s="600"/>
      <c r="M153"/>
      <c r="P153"/>
      <c r="Q153"/>
      <c r="R153"/>
      <c r="S153"/>
    </row>
    <row r="154" spans="1:26" ht="15" thickBot="1" x14ac:dyDescent="0.35">
      <c r="A154" s="57"/>
      <c r="B154" s="57" t="s">
        <v>314</v>
      </c>
      <c r="C154" s="57"/>
      <c r="D154" s="335"/>
      <c r="E154" s="335"/>
      <c r="F154" s="335" t="s">
        <v>315</v>
      </c>
      <c r="G154" s="335">
        <v>0.05</v>
      </c>
      <c r="H154" s="335"/>
      <c r="I154" s="335"/>
      <c r="J154" s="600"/>
      <c r="K154" s="38" t="s">
        <v>314</v>
      </c>
      <c r="O154" s="451" t="s">
        <v>315</v>
      </c>
      <c r="P154" s="451">
        <v>0.05</v>
      </c>
      <c r="Q154"/>
      <c r="R154"/>
      <c r="S154"/>
      <c r="X154" s="596"/>
      <c r="Y154" s="596"/>
      <c r="Z154" s="596"/>
    </row>
    <row r="155" spans="1:26" ht="15" thickTop="1" x14ac:dyDescent="0.3">
      <c r="A155" s="57"/>
      <c r="B155" s="536"/>
      <c r="C155" s="536" t="s">
        <v>316</v>
      </c>
      <c r="D155" s="536" t="s">
        <v>317</v>
      </c>
      <c r="E155" s="536" t="s">
        <v>318</v>
      </c>
      <c r="F155" s="536" t="s">
        <v>319</v>
      </c>
      <c r="G155" s="536" t="s">
        <v>320</v>
      </c>
      <c r="H155" s="536" t="s">
        <v>321</v>
      </c>
      <c r="I155" s="335"/>
      <c r="J155" s="600"/>
      <c r="K155" s="536"/>
      <c r="L155" s="536" t="s">
        <v>316</v>
      </c>
      <c r="M155" s="536" t="s">
        <v>317</v>
      </c>
      <c r="N155" s="536" t="s">
        <v>318</v>
      </c>
      <c r="O155" s="536" t="s">
        <v>319</v>
      </c>
      <c r="P155" s="536" t="s">
        <v>320</v>
      </c>
      <c r="Q155" s="536" t="s">
        <v>321</v>
      </c>
      <c r="R155"/>
      <c r="S155"/>
      <c r="X155" s="586"/>
      <c r="Y155" s="586"/>
      <c r="Z155" s="586"/>
    </row>
    <row r="156" spans="1:26" x14ac:dyDescent="0.3">
      <c r="A156" s="57"/>
      <c r="B156" s="57" t="s">
        <v>322</v>
      </c>
      <c r="C156" s="57">
        <f>COUNT(B10)</f>
        <v>1</v>
      </c>
      <c r="D156" s="335">
        <f>SUMPRODUCT(E28:E35,MMULT([2]!DESIGN(B10:B17),C161:C162)^2)-SUMPRODUCT(G10:G17,E28:E35)^2/SUM(E28:E35)</f>
        <v>2.3253263749108778E-2</v>
      </c>
      <c r="E156" s="335">
        <f>D156/C156</f>
        <v>2.3253263749108778E-2</v>
      </c>
      <c r="F156" s="335">
        <f>E156/E157</f>
        <v>2776.5056781307539</v>
      </c>
      <c r="G156" s="335">
        <f>_xlfn.F.DIST.RT(F156,C156,C157)</f>
        <v>3.1357908507162175E-9</v>
      </c>
      <c r="H156" s="335" t="str">
        <f>IF(G156&lt;G154,"yes","no")</f>
        <v>yes</v>
      </c>
      <c r="I156" s="335"/>
      <c r="J156" s="600"/>
      <c r="K156" s="38" t="s">
        <v>322</v>
      </c>
      <c r="L156" s="38">
        <f>COUNT(B10)</f>
        <v>1</v>
      </c>
      <c r="M156" s="38">
        <f>SUMPRODUCT(E28:E35,MMULT([2]!DESIGN(B10:B17),L161:L162)^2)-SUMPRODUCT(H10:H17,E28:E35)^2/SUM(E28:E35)</f>
        <v>3.043729016992177E-2</v>
      </c>
      <c r="N156">
        <f>M156/L156</f>
        <v>3.043729016992177E-2</v>
      </c>
      <c r="O156">
        <f>N156/N157</f>
        <v>815.09207830475384</v>
      </c>
      <c r="P156">
        <f>_xlfn.F.DIST.RT(O156,L156,L157)</f>
        <v>1.2227054991952007E-7</v>
      </c>
      <c r="Q156" s="451" t="str">
        <f>IF(P156&lt;P154,"yes","no")</f>
        <v>yes</v>
      </c>
      <c r="R156"/>
      <c r="S156"/>
    </row>
    <row r="157" spans="1:26" x14ac:dyDescent="0.3">
      <c r="A157" s="57"/>
      <c r="B157" s="57" t="s">
        <v>323</v>
      </c>
      <c r="C157" s="57">
        <f>C158-C156</f>
        <v>6</v>
      </c>
      <c r="D157" s="335">
        <f>D158-D156</f>
        <v>5.0250062009087049E-5</v>
      </c>
      <c r="E157" s="335">
        <f>D157/C157</f>
        <v>8.3750103348478409E-6</v>
      </c>
      <c r="F157" s="335"/>
      <c r="G157" s="335"/>
      <c r="H157" s="335"/>
      <c r="I157" s="335"/>
      <c r="J157" s="600"/>
      <c r="K157" s="38" t="s">
        <v>323</v>
      </c>
      <c r="L157" s="38">
        <f>L158-L156</f>
        <v>6</v>
      </c>
      <c r="M157" s="38">
        <f>M158-M156</f>
        <v>2.240528964523314E-4</v>
      </c>
      <c r="N157">
        <f>M157/L157</f>
        <v>3.7342149408721902E-5</v>
      </c>
    </row>
    <row r="158" spans="1:26" x14ac:dyDescent="0.3">
      <c r="A158" s="57"/>
      <c r="B158" s="590" t="s">
        <v>108</v>
      </c>
      <c r="C158" s="590">
        <f>C152-1</f>
        <v>7</v>
      </c>
      <c r="D158" s="589">
        <f>SUMPRODUCT(G10:G17^2,E28:E35)-SUMPRODUCT(G10:G17,E28:E35)^2/SUM(E28:E35)</f>
        <v>2.3303513811117865E-2</v>
      </c>
      <c r="E158" s="589"/>
      <c r="F158" s="589"/>
      <c r="G158" s="589"/>
      <c r="H158" s="589"/>
      <c r="I158" s="335"/>
      <c r="J158" s="600"/>
      <c r="K158" s="546" t="s">
        <v>108</v>
      </c>
      <c r="L158" s="546">
        <f>L152-1</f>
        <v>7</v>
      </c>
      <c r="M158" s="546">
        <f>SUMPRODUCT(H10:H17^2,E28:E35)-SUMPRODUCT(H10:H17,E28:E35)^2/SUM(E28:E35)</f>
        <v>3.0661343066374101E-2</v>
      </c>
      <c r="N158" s="535"/>
      <c r="O158" s="535"/>
      <c r="P158" s="546"/>
      <c r="Q158" s="546"/>
    </row>
    <row r="159" spans="1:26" ht="15" thickBot="1" x14ac:dyDescent="0.35">
      <c r="A159" s="57"/>
      <c r="B159" s="57"/>
      <c r="C159" s="57"/>
      <c r="D159" s="335"/>
      <c r="E159" s="335"/>
      <c r="F159" s="335"/>
      <c r="G159" s="335"/>
      <c r="H159" s="335"/>
      <c r="I159" s="335"/>
      <c r="J159" s="600"/>
    </row>
    <row r="160" spans="1:26" ht="15" thickTop="1" x14ac:dyDescent="0.3">
      <c r="A160" s="57"/>
      <c r="B160" s="536"/>
      <c r="C160" s="536" t="s">
        <v>324</v>
      </c>
      <c r="D160" s="536" t="s">
        <v>325</v>
      </c>
      <c r="E160" s="536" t="s">
        <v>326</v>
      </c>
      <c r="F160" s="536" t="s">
        <v>320</v>
      </c>
      <c r="G160" s="536" t="s">
        <v>327</v>
      </c>
      <c r="H160" s="536" t="s">
        <v>328</v>
      </c>
      <c r="I160" s="536" t="s">
        <v>329</v>
      </c>
      <c r="J160" s="600"/>
      <c r="K160" s="536"/>
      <c r="L160" s="536" t="s">
        <v>324</v>
      </c>
      <c r="M160" s="536" t="s">
        <v>325</v>
      </c>
      <c r="N160" s="536" t="s">
        <v>326</v>
      </c>
      <c r="O160" s="536" t="s">
        <v>320</v>
      </c>
      <c r="P160" s="536" t="s">
        <v>327</v>
      </c>
      <c r="Q160" s="536" t="s">
        <v>328</v>
      </c>
      <c r="R160" s="536" t="s">
        <v>329</v>
      </c>
    </row>
    <row r="161" spans="1:26" x14ac:dyDescent="0.3">
      <c r="A161" s="57"/>
      <c r="B161" s="57" t="s">
        <v>330</v>
      </c>
      <c r="C161" s="57">
        <f t="array" ref="C161:D162">[2]!WRegCoeff(B10:B17,G10:G17,E28:E35)</f>
        <v>-1.2056298663281728E-2</v>
      </c>
      <c r="D161" s="335">
        <v>7.6806109209238606E-3</v>
      </c>
      <c r="E161" s="335">
        <f>C161/D161</f>
        <v>-1.5697056897436927</v>
      </c>
      <c r="F161" s="335">
        <f>_xlfn.T.DIST.2T(ABS(E161),$C$157)</f>
        <v>0.1675358115133978</v>
      </c>
      <c r="G161" s="335">
        <f>C161-_xlfn.T.INV.2T(G$154,$C$157)*D161</f>
        <v>-3.0850076549723802E-2</v>
      </c>
      <c r="H161" s="335">
        <f>C161+_xlfn.T.INV.2T(G$154,$C$157)*D161</f>
        <v>6.7374792231603454E-3</v>
      </c>
      <c r="I161" s="335"/>
      <c r="J161" s="600"/>
      <c r="K161" s="38" t="s">
        <v>330</v>
      </c>
      <c r="L161" s="38">
        <f t="array" ref="L161:M162">[2]!WRegCoeff(B10:B17,H10:H17,E28:E35)</f>
        <v>-2.5949844228341123E-2</v>
      </c>
      <c r="M161" s="38">
        <v>1.621820351156212E-2</v>
      </c>
      <c r="N161">
        <f>L161/M161</f>
        <v>-1.6000443088435301</v>
      </c>
      <c r="O161">
        <f>_xlfn.T.DIST.2T(ABS(N161),$L$157)</f>
        <v>0.16070624027589911</v>
      </c>
      <c r="P161" s="38">
        <f>L161-_xlfn.T.INV.2T(P$154,$L$157)*M161</f>
        <v>-6.5634358605063434E-2</v>
      </c>
      <c r="Q161" s="38">
        <f>L161+_xlfn.T.INV.2T(P$154,$L$157)*M161</f>
        <v>1.3734670148381187E-2</v>
      </c>
    </row>
    <row r="162" spans="1:26" x14ac:dyDescent="0.3">
      <c r="A162" s="57"/>
      <c r="B162" s="590" t="s">
        <v>24</v>
      </c>
      <c r="C162" s="590">
        <v>6.4364837687202414E-2</v>
      </c>
      <c r="D162" s="589">
        <v>1.221516662306266E-3</v>
      </c>
      <c r="E162" s="589">
        <f>C162/D162</f>
        <v>52.692558090594815</v>
      </c>
      <c r="F162" s="589">
        <f>_xlfn.T.DIST.2T(ABS(E162),$C$157)</f>
        <v>3.1357908507163622E-9</v>
      </c>
      <c r="G162" s="589">
        <f>C162-_xlfn.T.INV.2T(G$154,$C$157)*D162</f>
        <v>6.1375894089834161E-2</v>
      </c>
      <c r="H162" s="589">
        <f>C162+_xlfn.T.INV.2T(G$154,$C$157)*D162</f>
        <v>6.735378128457066E-2</v>
      </c>
      <c r="I162" s="589">
        <f t="array" ref="I162">[2]!WVIF(B10:B17,E28:E35,1)</f>
        <v>1</v>
      </c>
      <c r="J162" s="600"/>
      <c r="K162" s="546" t="s">
        <v>24</v>
      </c>
      <c r="L162" s="546">
        <v>7.3639310235994321E-2</v>
      </c>
      <c r="M162" s="546">
        <v>2.5793268303798134E-3</v>
      </c>
      <c r="N162" s="535">
        <f>L162/M162</f>
        <v>28.549817482862657</v>
      </c>
      <c r="O162" s="535">
        <f>_xlfn.T.DIST.2T(ABS(N162),$L$157)</f>
        <v>1.2227054991951266E-7</v>
      </c>
      <c r="P162" s="546">
        <f>L162-_xlfn.T.INV.2T(P$154,$L$157)*M162</f>
        <v>6.7327924846761769E-2</v>
      </c>
      <c r="Q162" s="546">
        <f>L162+_xlfn.T.INV.2T(P$154,$L$157)*M162</f>
        <v>7.9950695625226872E-2</v>
      </c>
      <c r="R162" s="546">
        <f t="array" ref="R162">[2]!WVIF(B10:B17,E28:E35,1)</f>
        <v>1</v>
      </c>
    </row>
    <row r="163" spans="1:26" x14ac:dyDescent="0.3">
      <c r="A163" s="57"/>
      <c r="B163" s="57"/>
      <c r="C163" s="57"/>
      <c r="D163" s="335"/>
      <c r="E163" s="335"/>
      <c r="F163" s="335"/>
      <c r="G163" s="335"/>
      <c r="H163" s="335"/>
      <c r="I163" s="335"/>
      <c r="J163" s="600"/>
    </row>
    <row r="164" spans="1:26" x14ac:dyDescent="0.3">
      <c r="A164" s="57"/>
      <c r="B164" s="57"/>
      <c r="C164" s="57"/>
      <c r="D164" s="335"/>
      <c r="E164" s="335"/>
      <c r="F164" s="335"/>
      <c r="G164" s="335"/>
      <c r="H164" s="335"/>
      <c r="I164" s="335"/>
      <c r="J164" s="600"/>
    </row>
    <row r="165" spans="1:26" s="596" customFormat="1" x14ac:dyDescent="0.3">
      <c r="A165" s="598"/>
      <c r="B165" s="597" t="s">
        <v>360</v>
      </c>
      <c r="C165" s="598"/>
      <c r="D165" s="599"/>
      <c r="E165" s="599"/>
      <c r="F165" s="599"/>
      <c r="G165" s="599"/>
      <c r="H165" s="599"/>
      <c r="I165" s="599"/>
      <c r="J165" s="600"/>
      <c r="K165" s="594" t="s">
        <v>361</v>
      </c>
      <c r="L165" s="595"/>
      <c r="M165" s="595"/>
      <c r="P165" s="595"/>
      <c r="Q165" s="595"/>
      <c r="R165" s="595"/>
      <c r="S165" s="595"/>
      <c r="X165"/>
      <c r="Y165"/>
      <c r="Z165"/>
    </row>
    <row r="166" spans="1:26" x14ac:dyDescent="0.3">
      <c r="A166" s="57"/>
      <c r="B166" s="57" t="s">
        <v>304</v>
      </c>
      <c r="C166" s="57"/>
      <c r="D166" s="335"/>
      <c r="E166" s="335"/>
      <c r="F166" s="335"/>
      <c r="G166" s="335"/>
      <c r="H166" s="335"/>
      <c r="I166" s="335"/>
      <c r="J166" s="600"/>
      <c r="K166" s="38" t="s">
        <v>304</v>
      </c>
    </row>
    <row r="167" spans="1:26" x14ac:dyDescent="0.3">
      <c r="A167" s="57"/>
      <c r="B167" s="57"/>
      <c r="C167" s="57"/>
      <c r="D167" s="335"/>
      <c r="E167" s="335"/>
      <c r="F167" s="335"/>
      <c r="G167" s="335"/>
      <c r="H167" s="335"/>
      <c r="I167" s="335"/>
      <c r="J167" s="600"/>
    </row>
    <row r="168" spans="1:26" ht="15" thickBot="1" x14ac:dyDescent="0.35">
      <c r="A168" s="57"/>
      <c r="B168" s="587" t="s">
        <v>305</v>
      </c>
      <c r="C168" s="587"/>
      <c r="D168" s="335"/>
      <c r="E168" s="588"/>
      <c r="F168" s="588"/>
      <c r="G168" s="335"/>
      <c r="H168" s="335"/>
      <c r="I168" s="335"/>
      <c r="J168" s="600"/>
      <c r="K168" s="579" t="s">
        <v>305</v>
      </c>
      <c r="L168" s="579"/>
      <c r="N168" s="534"/>
      <c r="O168" s="534"/>
    </row>
    <row r="169" spans="1:26" ht="15" thickTop="1" x14ac:dyDescent="0.3">
      <c r="A169" s="57"/>
      <c r="B169" s="57" t="s">
        <v>306</v>
      </c>
      <c r="C169" s="57">
        <f>SQRT(C170)</f>
        <v>0.99688234813349985</v>
      </c>
      <c r="D169" s="335"/>
      <c r="E169" s="335" t="s">
        <v>311</v>
      </c>
      <c r="F169" s="335">
        <f>C173*LN(D178/C173)+2*C177</f>
        <v>-84.50549885601788</v>
      </c>
      <c r="G169" s="335"/>
      <c r="H169" s="335"/>
      <c r="I169" s="335"/>
      <c r="J169" s="600"/>
      <c r="K169" s="38" t="s">
        <v>306</v>
      </c>
      <c r="L169" s="38">
        <f>SQRT(L170)</f>
        <v>0.99845745922756823</v>
      </c>
      <c r="N169" t="s">
        <v>311</v>
      </c>
      <c r="O169">
        <f>L173*LN(M178/L173)+2*L177</f>
        <v>-89.920557755398889</v>
      </c>
    </row>
    <row r="170" spans="1:26" x14ac:dyDescent="0.3">
      <c r="A170" s="57"/>
      <c r="B170" s="57" t="s">
        <v>307</v>
      </c>
      <c r="C170" s="57">
        <f>D177/D179</f>
        <v>0.99377441602016048</v>
      </c>
      <c r="D170" s="335"/>
      <c r="E170" s="335" t="s">
        <v>312</v>
      </c>
      <c r="F170" s="335">
        <f>F169+2*(C177+1)*(C177+2)/(C173-C177-2)</f>
        <v>-82.105498856017874</v>
      </c>
      <c r="G170" s="335"/>
      <c r="H170" s="335"/>
      <c r="I170" s="335"/>
      <c r="J170" s="600"/>
      <c r="K170" s="38" t="s">
        <v>307</v>
      </c>
      <c r="L170" s="38">
        <f>M177/M179</f>
        <v>0.99691729788717109</v>
      </c>
      <c r="N170" t="s">
        <v>312</v>
      </c>
      <c r="O170">
        <f>O169+2*(L177+1)*(L177+2)/(L173-L177-2)</f>
        <v>-87.520557755398883</v>
      </c>
    </row>
    <row r="171" spans="1:26" x14ac:dyDescent="0.3">
      <c r="A171" s="57"/>
      <c r="B171" s="57" t="s">
        <v>308</v>
      </c>
      <c r="C171" s="57">
        <f>1-(1-C170)*C173/(C173-C177)</f>
        <v>0.99288504688018342</v>
      </c>
      <c r="D171" s="335"/>
      <c r="E171" s="589" t="s">
        <v>313</v>
      </c>
      <c r="F171" s="589">
        <f>C173*LN(D178/C173)+C177*LN(C173)</f>
        <v>-84.426057314338038</v>
      </c>
      <c r="G171" s="335"/>
      <c r="H171" s="335"/>
      <c r="I171" s="335"/>
      <c r="J171" s="600"/>
      <c r="K171" s="38" t="s">
        <v>308</v>
      </c>
      <c r="L171" s="38">
        <f>1-(1-L170)*L173/(L173-L177)</f>
        <v>0.9964769118710527</v>
      </c>
      <c r="N171" s="535" t="s">
        <v>313</v>
      </c>
      <c r="O171" s="535">
        <f>L173*LN(M178/L173)+L177*LN(L173)</f>
        <v>-89.841116213719047</v>
      </c>
    </row>
    <row r="172" spans="1:26" x14ac:dyDescent="0.3">
      <c r="A172" s="57"/>
      <c r="B172" s="57" t="s">
        <v>309</v>
      </c>
      <c r="C172" s="57">
        <f>SQRT(E178)</f>
        <v>5.1810235677711364E-3</v>
      </c>
      <c r="D172" s="335"/>
      <c r="E172" s="335"/>
      <c r="F172" s="335"/>
      <c r="G172" s="335"/>
      <c r="H172" s="335"/>
      <c r="I172" s="335"/>
      <c r="J172" s="600"/>
      <c r="K172" s="38" t="s">
        <v>309</v>
      </c>
      <c r="L172" s="38">
        <f>SQRT(N178)</f>
        <v>3.693451754004384E-3</v>
      </c>
    </row>
    <row r="173" spans="1:26" x14ac:dyDescent="0.3">
      <c r="A173" s="57"/>
      <c r="B173" s="590" t="s">
        <v>310</v>
      </c>
      <c r="C173" s="590">
        <f>COUNT(I10:I17)</f>
        <v>8</v>
      </c>
      <c r="D173" s="335"/>
      <c r="E173" s="335"/>
      <c r="F173" s="335"/>
      <c r="G173" s="335"/>
      <c r="H173" s="335"/>
      <c r="I173" s="335"/>
      <c r="J173" s="600"/>
      <c r="K173" s="546" t="s">
        <v>310</v>
      </c>
      <c r="L173" s="546">
        <f>COUNT(J10:J17)</f>
        <v>8</v>
      </c>
    </row>
    <row r="174" spans="1:26" x14ac:dyDescent="0.3">
      <c r="A174" s="57"/>
      <c r="B174" s="57"/>
      <c r="C174" s="57"/>
      <c r="D174" s="335"/>
      <c r="E174" s="335"/>
      <c r="F174" s="335"/>
      <c r="G174" s="335"/>
      <c r="H174" s="335"/>
      <c r="I174" s="335"/>
      <c r="J174" s="600"/>
    </row>
    <row r="175" spans="1:26" ht="15" thickBot="1" x14ac:dyDescent="0.35">
      <c r="A175" s="57"/>
      <c r="B175" s="57" t="s">
        <v>314</v>
      </c>
      <c r="C175" s="57"/>
      <c r="D175" s="335"/>
      <c r="E175" s="335"/>
      <c r="F175" s="335" t="s">
        <v>315</v>
      </c>
      <c r="G175" s="335">
        <v>0.05</v>
      </c>
      <c r="H175" s="335"/>
      <c r="I175" s="335"/>
      <c r="J175" s="600"/>
      <c r="K175" s="38" t="s">
        <v>314</v>
      </c>
      <c r="O175" s="451" t="s">
        <v>315</v>
      </c>
      <c r="P175" s="451">
        <v>0.05</v>
      </c>
      <c r="X175" s="596"/>
      <c r="Y175" s="596"/>
      <c r="Z175" s="596"/>
    </row>
    <row r="176" spans="1:26" ht="15" thickTop="1" x14ac:dyDescent="0.3">
      <c r="A176" s="57"/>
      <c r="B176" s="536"/>
      <c r="C176" s="536" t="s">
        <v>316</v>
      </c>
      <c r="D176" s="536" t="s">
        <v>317</v>
      </c>
      <c r="E176" s="536" t="s">
        <v>318</v>
      </c>
      <c r="F176" s="536" t="s">
        <v>319</v>
      </c>
      <c r="G176" s="536" t="s">
        <v>320</v>
      </c>
      <c r="H176" s="536" t="s">
        <v>321</v>
      </c>
      <c r="I176" s="335"/>
      <c r="J176" s="600"/>
      <c r="K176" s="536"/>
      <c r="L176" s="536" t="s">
        <v>316</v>
      </c>
      <c r="M176" s="536" t="s">
        <v>317</v>
      </c>
      <c r="N176" s="536" t="s">
        <v>318</v>
      </c>
      <c r="O176" s="536" t="s">
        <v>319</v>
      </c>
      <c r="P176" s="536" t="s">
        <v>320</v>
      </c>
      <c r="Q176" s="536" t="s">
        <v>321</v>
      </c>
    </row>
    <row r="177" spans="1:26" x14ac:dyDescent="0.3">
      <c r="A177" s="57"/>
      <c r="B177" s="57" t="s">
        <v>322</v>
      </c>
      <c r="C177" s="57">
        <f>COUNT(B10)</f>
        <v>1</v>
      </c>
      <c r="D177" s="335">
        <f>SUMPRODUCT(E28:E35,MMULT([2]!DESIGN(B10:B17),C182:C183)^2)-SUMPRODUCT(I10:I17,E28:E35)^2/SUM(E28:E35)</f>
        <v>2.5709291124797445E-2</v>
      </c>
      <c r="E177" s="335">
        <f>D177/C177</f>
        <v>2.5709291124797445E-2</v>
      </c>
      <c r="F177" s="335">
        <f>E177/E178</f>
        <v>957.76500894212052</v>
      </c>
      <c r="G177" s="335">
        <f>_xlfn.F.DIST.RT(F177,C177,C178)</f>
        <v>7.557998890648111E-8</v>
      </c>
      <c r="H177" s="335" t="str">
        <f>IF(G177&lt;G175,"yes","no")</f>
        <v>yes</v>
      </c>
      <c r="I177" s="335"/>
      <c r="J177" s="600"/>
      <c r="K177" s="38" t="s">
        <v>322</v>
      </c>
      <c r="L177" s="38">
        <f>COUNT(B10)</f>
        <v>1</v>
      </c>
      <c r="M177" s="38">
        <f>SUMPRODUCT(E28:E35,MMULT([2]!DESIGN(B10:B17),L182:L183)^2)-SUMPRODUCT(J10:J17,E28:E35)^2/SUM(E28:E35)</f>
        <v>2.6469374754723416E-2</v>
      </c>
      <c r="N177">
        <f>M177/L177</f>
        <v>2.6469374754723416E-2</v>
      </c>
      <c r="O177">
        <f>N177/N178</f>
        <v>1940.3444018903142</v>
      </c>
      <c r="P177" s="38">
        <f>_xlfn.F.DIST.RT(O177,L177,L178)</f>
        <v>9.1653149150678997E-9</v>
      </c>
      <c r="Q177" s="451" t="str">
        <f>IF(P177&lt;P175,"yes","no")</f>
        <v>yes</v>
      </c>
    </row>
    <row r="178" spans="1:26" x14ac:dyDescent="0.3">
      <c r="A178" s="57"/>
      <c r="B178" s="57" t="s">
        <v>323</v>
      </c>
      <c r="C178" s="57">
        <f>C179-C177</f>
        <v>6</v>
      </c>
      <c r="D178" s="335">
        <f>D179-D177</f>
        <v>1.6105803125879975E-4</v>
      </c>
      <c r="E178" s="335">
        <f>D178/C178</f>
        <v>2.6843005209799958E-5</v>
      </c>
      <c r="F178" s="335"/>
      <c r="G178" s="335"/>
      <c r="H178" s="335"/>
      <c r="I178" s="335"/>
      <c r="J178" s="600"/>
      <c r="K178" s="38" t="s">
        <v>323</v>
      </c>
      <c r="L178" s="38">
        <f>L179-L177</f>
        <v>6</v>
      </c>
      <c r="M178" s="38">
        <f>M179-M177</f>
        <v>8.1849515154948371E-5</v>
      </c>
      <c r="N178">
        <f>M178/L178</f>
        <v>1.3641585859158062E-5</v>
      </c>
    </row>
    <row r="179" spans="1:26" x14ac:dyDescent="0.3">
      <c r="A179" s="57"/>
      <c r="B179" s="590" t="s">
        <v>108</v>
      </c>
      <c r="C179" s="590">
        <f>C173-1</f>
        <v>7</v>
      </c>
      <c r="D179" s="589">
        <f>SUMPRODUCT(I10:I17^2,E28:E35)-SUMPRODUCT(I10:I17,E28:E35)^2/SUM(E28:E35)</f>
        <v>2.5870349156056245E-2</v>
      </c>
      <c r="E179" s="589"/>
      <c r="F179" s="589"/>
      <c r="G179" s="589"/>
      <c r="H179" s="589"/>
      <c r="I179" s="335"/>
      <c r="J179" s="600"/>
      <c r="K179" s="546" t="s">
        <v>108</v>
      </c>
      <c r="L179" s="546">
        <f>L173-1</f>
        <v>7</v>
      </c>
      <c r="M179" s="546">
        <f>SUMPRODUCT(J10:J17^2,E28:E35)-SUMPRODUCT(J10:J17,E28:E35)^2/SUM(E28:E35)</f>
        <v>2.6551224269878364E-2</v>
      </c>
      <c r="N179" s="535"/>
      <c r="O179" s="535"/>
      <c r="P179" s="546"/>
      <c r="Q179" s="546"/>
    </row>
    <row r="180" spans="1:26" ht="15" thickBot="1" x14ac:dyDescent="0.35">
      <c r="A180" s="57"/>
      <c r="B180" s="57"/>
      <c r="C180" s="57"/>
      <c r="D180" s="335"/>
      <c r="E180" s="335"/>
      <c r="F180" s="335"/>
      <c r="G180" s="335"/>
      <c r="H180" s="335"/>
      <c r="I180" s="335"/>
      <c r="J180" s="600"/>
    </row>
    <row r="181" spans="1:26" ht="15" thickTop="1" x14ac:dyDescent="0.3">
      <c r="A181" s="57"/>
      <c r="B181" s="536"/>
      <c r="C181" s="536" t="s">
        <v>324</v>
      </c>
      <c r="D181" s="536" t="s">
        <v>325</v>
      </c>
      <c r="E181" s="536" t="s">
        <v>326</v>
      </c>
      <c r="F181" s="536" t="s">
        <v>320</v>
      </c>
      <c r="G181" s="536" t="s">
        <v>327</v>
      </c>
      <c r="H181" s="536" t="s">
        <v>328</v>
      </c>
      <c r="I181" s="536" t="s">
        <v>329</v>
      </c>
      <c r="J181" s="600"/>
      <c r="K181" s="536"/>
      <c r="L181" s="536" t="s">
        <v>324</v>
      </c>
      <c r="M181" s="536" t="s">
        <v>325</v>
      </c>
      <c r="N181" s="536" t="s">
        <v>326</v>
      </c>
      <c r="O181" s="536" t="s">
        <v>320</v>
      </c>
      <c r="P181" s="536" t="s">
        <v>327</v>
      </c>
      <c r="Q181" s="536" t="s">
        <v>328</v>
      </c>
      <c r="R181" s="536" t="s">
        <v>329</v>
      </c>
    </row>
    <row r="182" spans="1:26" x14ac:dyDescent="0.3">
      <c r="A182" s="57"/>
      <c r="B182" s="57" t="s">
        <v>330</v>
      </c>
      <c r="C182" s="57">
        <f t="array" ref="C182:D183">[2]!WRegCoeff(B10:B17,I10:I17,E28:E35)</f>
        <v>-4.220654800217799E-2</v>
      </c>
      <c r="D182" s="335">
        <v>1.3750505290496703E-2</v>
      </c>
      <c r="E182" s="335">
        <f>C182/D182</f>
        <v>-3.0694543298963657</v>
      </c>
      <c r="F182" s="335">
        <f>_xlfn.T.DIST.2T(ABS(E182),$C$178)</f>
        <v>2.1957393854753746E-2</v>
      </c>
      <c r="G182" s="335">
        <f>C182-_xlfn.T.INV.2T(G$175,$C$178)*D182</f>
        <v>-7.5852822356725969E-2</v>
      </c>
      <c r="H182" s="335">
        <f>C182+_xlfn.T.INV.2T(G$175,$C$178)*D182</f>
        <v>-8.5602736476300054E-3</v>
      </c>
      <c r="I182" s="335"/>
      <c r="J182" s="600"/>
      <c r="K182" s="38" t="s">
        <v>330</v>
      </c>
      <c r="L182" s="38">
        <f t="array" ref="L182:M183">[2]!WRegCoeff(B10:B17,J10:J17,E28:E35)</f>
        <v>-2.6344516279005858E-2</v>
      </c>
      <c r="M182" s="38">
        <v>9.8024699597114382E-3</v>
      </c>
      <c r="N182">
        <f>L182/M182</f>
        <v>-2.6875385884662664</v>
      </c>
      <c r="O182">
        <f>_xlfn.T.DIST.2T(ABS(N182),$L$178)</f>
        <v>3.6171035732090608E-2</v>
      </c>
      <c r="P182" s="38">
        <f>L182-_xlfn.T.INV.2T(P$175,$L$178)*M182</f>
        <v>-5.0330296193916331E-2</v>
      </c>
      <c r="Q182" s="38">
        <f>L182+_xlfn.T.INV.2T(P$175,$L$178)*M182</f>
        <v>-2.358736364095386E-3</v>
      </c>
    </row>
    <row r="183" spans="1:26" x14ac:dyDescent="0.3">
      <c r="A183" s="57"/>
      <c r="B183" s="590" t="s">
        <v>24</v>
      </c>
      <c r="C183" s="590">
        <v>6.7678663013615276E-2</v>
      </c>
      <c r="D183" s="589">
        <v>2.1868665787658239E-3</v>
      </c>
      <c r="E183" s="589">
        <f>C183/D183</f>
        <v>30.947778740031907</v>
      </c>
      <c r="F183" s="589">
        <f>_xlfn.T.DIST.2T(ABS(E183),$C$178)</f>
        <v>7.5579988906516447E-8</v>
      </c>
      <c r="G183" s="589">
        <f>C183-_xlfn.T.INV.2T(G$175,$C$178)*D183</f>
        <v>6.2327593265160325E-2</v>
      </c>
      <c r="H183" s="589">
        <f>C183+_xlfn.T.INV.2T(G$175,$C$178)*D183</f>
        <v>7.3029732762070226E-2</v>
      </c>
      <c r="I183" s="589">
        <f t="array" ref="I183">[2]!WVIF(B10:B17,E28:E35,1)</f>
        <v>1</v>
      </c>
      <c r="J183" s="600"/>
      <c r="K183" s="546" t="s">
        <v>24</v>
      </c>
      <c r="L183" s="546">
        <v>6.8671820534887781E-2</v>
      </c>
      <c r="M183" s="546">
        <v>1.55897499701806E-3</v>
      </c>
      <c r="N183" s="535">
        <f>L183/M183</f>
        <v>44.04934053864897</v>
      </c>
      <c r="O183" s="535">
        <f>_xlfn.T.DIST.2T(ABS(N183),$L$178)</f>
        <v>9.1653149150742855E-9</v>
      </c>
      <c r="P183" s="546">
        <f>L183-_xlfn.T.INV.2T(P$175,$L$178)*M183</f>
        <v>6.4857146139045599E-2</v>
      </c>
      <c r="Q183" s="546">
        <f>L183+_xlfn.T.INV.2T(P$175,$L$178)*M183</f>
        <v>7.2486494930729964E-2</v>
      </c>
      <c r="R183" s="546">
        <f t="array" ref="R183">[2]!WVIF(B10:B17,E28:E35,1)</f>
        <v>1</v>
      </c>
    </row>
    <row r="184" spans="1:26" x14ac:dyDescent="0.3">
      <c r="A184" s="57"/>
      <c r="B184" s="57"/>
      <c r="C184" s="57"/>
      <c r="D184" s="335"/>
      <c r="E184" s="335"/>
      <c r="F184" s="335"/>
      <c r="G184" s="335"/>
      <c r="H184" s="335"/>
      <c r="I184" s="335"/>
      <c r="J184" s="600"/>
    </row>
    <row r="185" spans="1:26" s="596" customFormat="1" x14ac:dyDescent="0.3">
      <c r="A185" s="598"/>
      <c r="B185" s="597" t="s">
        <v>364</v>
      </c>
      <c r="C185" s="598"/>
      <c r="D185" s="599"/>
      <c r="E185" s="599"/>
      <c r="F185" s="599"/>
      <c r="G185" s="599"/>
      <c r="H185" s="599"/>
      <c r="I185" s="599"/>
      <c r="J185" s="600"/>
      <c r="K185" s="594" t="s">
        <v>362</v>
      </c>
      <c r="L185" s="595"/>
      <c r="M185" s="595"/>
      <c r="P185" s="595"/>
      <c r="Q185" s="595"/>
      <c r="R185" s="595"/>
      <c r="S185" s="595"/>
      <c r="X185"/>
      <c r="Y185"/>
      <c r="Z185"/>
    </row>
    <row r="186" spans="1:26" s="586" customFormat="1" x14ac:dyDescent="0.3">
      <c r="A186" s="603"/>
      <c r="B186" s="604"/>
      <c r="C186" s="603"/>
      <c r="D186" s="605"/>
      <c r="E186" s="605"/>
      <c r="F186" s="605"/>
      <c r="G186" s="605"/>
      <c r="H186" s="605"/>
      <c r="I186" s="605"/>
      <c r="J186" s="600"/>
      <c r="K186" s="606"/>
      <c r="L186" s="564"/>
      <c r="M186" s="564"/>
      <c r="P186" s="564"/>
      <c r="Q186" s="564"/>
      <c r="R186" s="564"/>
      <c r="S186" s="564"/>
      <c r="X186"/>
      <c r="Y186"/>
      <c r="Z186"/>
    </row>
    <row r="187" spans="1:26" x14ac:dyDescent="0.3">
      <c r="A187" s="57"/>
      <c r="B187" s="57" t="s">
        <v>304</v>
      </c>
      <c r="C187" s="57"/>
      <c r="D187" s="335"/>
      <c r="E187" s="335"/>
      <c r="F187" s="335"/>
      <c r="G187" s="335"/>
      <c r="H187" s="335"/>
      <c r="I187" s="335"/>
      <c r="J187" s="591"/>
      <c r="K187" t="s">
        <v>304</v>
      </c>
      <c r="L187"/>
      <c r="M187"/>
      <c r="P187"/>
      <c r="Q187"/>
      <c r="R187"/>
      <c r="S187"/>
    </row>
    <row r="188" spans="1:26" x14ac:dyDescent="0.3">
      <c r="A188" s="57"/>
      <c r="B188" s="57"/>
      <c r="C188" s="57"/>
      <c r="D188" s="335"/>
      <c r="E188" s="335"/>
      <c r="F188" s="335"/>
      <c r="G188" s="335"/>
      <c r="H188" s="335"/>
      <c r="I188" s="335"/>
      <c r="J188" s="591"/>
      <c r="K188"/>
      <c r="L188"/>
      <c r="M188"/>
      <c r="P188"/>
      <c r="Q188"/>
      <c r="R188"/>
      <c r="S188"/>
    </row>
    <row r="189" spans="1:26" ht="15" thickBot="1" x14ac:dyDescent="0.35">
      <c r="A189" s="57"/>
      <c r="B189" s="587" t="s">
        <v>305</v>
      </c>
      <c r="C189" s="587"/>
      <c r="D189" s="335"/>
      <c r="E189" s="588"/>
      <c r="F189" s="588"/>
      <c r="G189" s="335"/>
      <c r="H189" s="335"/>
      <c r="I189" s="335"/>
      <c r="J189" s="591"/>
      <c r="K189" s="534" t="s">
        <v>305</v>
      </c>
      <c r="L189" s="534"/>
      <c r="M189"/>
      <c r="N189" s="534"/>
      <c r="O189" s="534"/>
      <c r="P189"/>
      <c r="Q189"/>
      <c r="R189"/>
      <c r="S189"/>
    </row>
    <row r="190" spans="1:26" ht="15" thickTop="1" x14ac:dyDescent="0.3">
      <c r="A190" s="57"/>
      <c r="B190" s="57" t="s">
        <v>306</v>
      </c>
      <c r="C190" s="57">
        <f>SQRT(C191)</f>
        <v>0.99584280342259213</v>
      </c>
      <c r="D190" s="335"/>
      <c r="E190" s="335" t="s">
        <v>311</v>
      </c>
      <c r="F190" s="335">
        <f>C194*LN(D199/C194)+2*C198</f>
        <v>-82.745495217286987</v>
      </c>
      <c r="G190" s="335"/>
      <c r="H190" s="335"/>
      <c r="I190" s="335"/>
      <c r="J190" s="591"/>
      <c r="K190" t="s">
        <v>306</v>
      </c>
      <c r="L190">
        <f>SQRT(L191)</f>
        <v>0.99843319048711243</v>
      </c>
      <c r="M190"/>
      <c r="N190" t="s">
        <v>311</v>
      </c>
      <c r="O190">
        <f>L194*LN(M199/L194)+2*L198</f>
        <v>-89.060871830525528</v>
      </c>
      <c r="P190"/>
      <c r="Q190"/>
      <c r="R190"/>
      <c r="S190"/>
    </row>
    <row r="191" spans="1:26" x14ac:dyDescent="0.3">
      <c r="A191" s="57"/>
      <c r="B191" s="57" t="s">
        <v>307</v>
      </c>
      <c r="C191" s="57">
        <f>D198/D200</f>
        <v>0.99170288912856752</v>
      </c>
      <c r="D191" s="335"/>
      <c r="E191" s="335" t="s">
        <v>312</v>
      </c>
      <c r="F191" s="335">
        <f>F190+2*(C198+1)*(C198+2)/(C194-C198-2)</f>
        <v>-80.345495217286981</v>
      </c>
      <c r="G191" s="335"/>
      <c r="H191" s="335"/>
      <c r="I191" s="335"/>
      <c r="J191" s="591"/>
      <c r="K191" t="s">
        <v>307</v>
      </c>
      <c r="L191">
        <f>M198/M200</f>
        <v>0.99686883586627451</v>
      </c>
      <c r="M191"/>
      <c r="N191" t="s">
        <v>312</v>
      </c>
      <c r="O191">
        <f>O190+2*(L198+1)*(L198+2)/(L194-L198-2)</f>
        <v>-86.660871830525522</v>
      </c>
      <c r="P191"/>
      <c r="Q191"/>
      <c r="R191"/>
      <c r="S191"/>
    </row>
    <row r="192" spans="1:26" x14ac:dyDescent="0.3">
      <c r="A192" s="57"/>
      <c r="B192" s="57" t="s">
        <v>308</v>
      </c>
      <c r="C192" s="57">
        <f>1-(1-C191)*C194/(C194-C198)</f>
        <v>0.99051758757550579</v>
      </c>
      <c r="D192" s="335"/>
      <c r="E192" s="589" t="s">
        <v>313</v>
      </c>
      <c r="F192" s="589">
        <f>C194*LN(D199/C194)+C198*LN(C194)</f>
        <v>-82.666053675607145</v>
      </c>
      <c r="G192" s="335"/>
      <c r="H192" s="335"/>
      <c r="I192" s="335"/>
      <c r="J192" s="591"/>
      <c r="K192" t="s">
        <v>308</v>
      </c>
      <c r="L192">
        <f>1-(1-L191)*L194/(L194-L198)</f>
        <v>0.99642152670431372</v>
      </c>
      <c r="M192"/>
      <c r="N192" s="535" t="s">
        <v>313</v>
      </c>
      <c r="O192" s="535">
        <f>L194*LN(M199/L194)+L198*LN(L194)</f>
        <v>-88.981430288845687</v>
      </c>
      <c r="P192"/>
      <c r="Q192"/>
      <c r="R192"/>
      <c r="S192"/>
    </row>
    <row r="193" spans="1:26" x14ac:dyDescent="0.3">
      <c r="A193" s="57"/>
      <c r="B193" s="57" t="s">
        <v>309</v>
      </c>
      <c r="C193" s="57">
        <f>SQRT(E199)</f>
        <v>5.7834643065127443E-3</v>
      </c>
      <c r="D193" s="335"/>
      <c r="E193" s="335"/>
      <c r="F193" s="335"/>
      <c r="G193" s="335"/>
      <c r="H193" s="335"/>
      <c r="I193" s="335"/>
      <c r="J193" s="591"/>
      <c r="K193" t="s">
        <v>309</v>
      </c>
      <c r="L193">
        <f>SQRT(N199)</f>
        <v>3.8973304774437005E-3</v>
      </c>
      <c r="M193"/>
      <c r="P193"/>
      <c r="Q193"/>
      <c r="R193"/>
      <c r="S193"/>
    </row>
    <row r="194" spans="1:26" x14ac:dyDescent="0.3">
      <c r="A194" s="57"/>
      <c r="B194" s="590" t="s">
        <v>310</v>
      </c>
      <c r="C194" s="590">
        <f>COUNT(K10:K17)</f>
        <v>8</v>
      </c>
      <c r="D194" s="335"/>
      <c r="E194" s="335"/>
      <c r="F194" s="335"/>
      <c r="G194" s="335"/>
      <c r="H194" s="335"/>
      <c r="I194" s="335"/>
      <c r="J194" s="591"/>
      <c r="K194" s="535" t="s">
        <v>310</v>
      </c>
      <c r="L194" s="535">
        <f>COUNT(L10:L17)</f>
        <v>8</v>
      </c>
      <c r="M194"/>
      <c r="P194"/>
      <c r="Q194"/>
      <c r="R194"/>
      <c r="S194"/>
    </row>
    <row r="195" spans="1:26" x14ac:dyDescent="0.3">
      <c r="A195" s="57"/>
      <c r="B195" s="57"/>
      <c r="C195" s="57"/>
      <c r="D195" s="335"/>
      <c r="E195" s="335"/>
      <c r="F195" s="335"/>
      <c r="G195" s="335"/>
      <c r="H195" s="335"/>
      <c r="I195" s="335"/>
      <c r="J195" s="591"/>
      <c r="K195"/>
      <c r="L195"/>
      <c r="M195"/>
      <c r="P195"/>
      <c r="Q195"/>
      <c r="R195"/>
      <c r="S195"/>
    </row>
    <row r="196" spans="1:26" ht="15" thickBot="1" x14ac:dyDescent="0.35">
      <c r="A196" s="57"/>
      <c r="B196" s="57" t="s">
        <v>314</v>
      </c>
      <c r="C196" s="57"/>
      <c r="D196" s="335"/>
      <c r="E196" s="335"/>
      <c r="F196" s="335" t="s">
        <v>315</v>
      </c>
      <c r="G196" s="335">
        <v>0.05</v>
      </c>
      <c r="H196" s="335"/>
      <c r="I196" s="335"/>
      <c r="J196" s="591"/>
      <c r="K196" t="s">
        <v>314</v>
      </c>
      <c r="L196"/>
      <c r="M196"/>
      <c r="O196" s="451" t="s">
        <v>315</v>
      </c>
      <c r="P196" s="451">
        <v>0.05</v>
      </c>
      <c r="Q196"/>
      <c r="R196"/>
      <c r="S196"/>
    </row>
    <row r="197" spans="1:26" ht="15" thickTop="1" x14ac:dyDescent="0.3">
      <c r="A197" s="57"/>
      <c r="B197" s="536"/>
      <c r="C197" s="536" t="s">
        <v>316</v>
      </c>
      <c r="D197" s="536" t="s">
        <v>317</v>
      </c>
      <c r="E197" s="536" t="s">
        <v>318</v>
      </c>
      <c r="F197" s="536" t="s">
        <v>319</v>
      </c>
      <c r="G197" s="536" t="s">
        <v>320</v>
      </c>
      <c r="H197" s="536" t="s">
        <v>321</v>
      </c>
      <c r="I197" s="335"/>
      <c r="J197" s="591"/>
      <c r="K197" s="536"/>
      <c r="L197" s="536" t="s">
        <v>316</v>
      </c>
      <c r="M197" s="536" t="s">
        <v>317</v>
      </c>
      <c r="N197" s="536" t="s">
        <v>318</v>
      </c>
      <c r="O197" s="536" t="s">
        <v>319</v>
      </c>
      <c r="P197" s="536" t="s">
        <v>320</v>
      </c>
      <c r="Q197" s="536" t="s">
        <v>321</v>
      </c>
      <c r="R197"/>
      <c r="S197"/>
    </row>
    <row r="198" spans="1:26" x14ac:dyDescent="0.3">
      <c r="A198" s="57"/>
      <c r="B198" s="57" t="s">
        <v>322</v>
      </c>
      <c r="C198" s="57">
        <f>COUNT(B10)</f>
        <v>1</v>
      </c>
      <c r="D198" s="335">
        <f>SUMPRODUCT(E28:E35,MMULT([2]!DESIGN(B10:B17),C203:C204)^2)-SUMPRODUCT(K10:K17,E28:E35)^2/SUM(E28:E35)</f>
        <v>2.3987337994667436E-2</v>
      </c>
      <c r="E198" s="335">
        <f>D198/C198</f>
        <v>2.3987337994667436E-2</v>
      </c>
      <c r="F198" s="335">
        <f>E198/E199</f>
        <v>717.14328360470768</v>
      </c>
      <c r="G198" s="335">
        <f>_xlfn.F.DIST.RT(F198,C198,C199)</f>
        <v>1.7905506897581337E-7</v>
      </c>
      <c r="H198" s="335" t="str">
        <f>IF(G198&lt;G196,"yes","no")</f>
        <v>yes</v>
      </c>
      <c r="I198" s="335"/>
      <c r="J198" s="591"/>
      <c r="K198" t="s">
        <v>322</v>
      </c>
      <c r="L198">
        <f>COUNT(B10)</f>
        <v>1</v>
      </c>
      <c r="M198">
        <f>SUMPRODUCT(E28:E35,MMULT([2]!DESIGN(B10:B17),L203:L204)^2)-SUMPRODUCT(L10:L17,E28:E35)^2/SUM(E28:E35)</f>
        <v>2.9014687904409107E-2</v>
      </c>
      <c r="N198">
        <f>M198/L198</f>
        <v>2.9014687904409107E-2</v>
      </c>
      <c r="O198">
        <f>N198/N199</f>
        <v>1910.2202119571264</v>
      </c>
      <c r="P198">
        <f>_xlfn.F.DIST.RT(O198,L198,L199)</f>
        <v>9.6045744041667145E-9</v>
      </c>
      <c r="Q198" s="451" t="str">
        <f>IF(P198&lt;P196,"yes","no")</f>
        <v>yes</v>
      </c>
      <c r="R198"/>
      <c r="S198"/>
    </row>
    <row r="199" spans="1:26" x14ac:dyDescent="0.3">
      <c r="A199" s="57"/>
      <c r="B199" s="57" t="s">
        <v>323</v>
      </c>
      <c r="C199" s="57">
        <f>C200-C198</f>
        <v>6</v>
      </c>
      <c r="D199" s="335">
        <f>D200-D198</f>
        <v>2.0069075630824162E-4</v>
      </c>
      <c r="E199" s="335">
        <f>D199/C199</f>
        <v>3.344845938470694E-5</v>
      </c>
      <c r="F199" s="335"/>
      <c r="G199" s="335"/>
      <c r="H199" s="335"/>
      <c r="I199" s="335"/>
      <c r="J199" s="591"/>
      <c r="K199" t="s">
        <v>323</v>
      </c>
      <c r="L199">
        <f>L200-L198</f>
        <v>6</v>
      </c>
      <c r="M199">
        <f>M200-M198</f>
        <v>9.1135109102469247E-5</v>
      </c>
      <c r="N199">
        <f>M199/L199</f>
        <v>1.5189184850411541E-5</v>
      </c>
      <c r="P199"/>
      <c r="Q199"/>
      <c r="R199"/>
      <c r="S199"/>
    </row>
    <row r="200" spans="1:26" x14ac:dyDescent="0.3">
      <c r="A200" s="57"/>
      <c r="B200" s="590" t="s">
        <v>108</v>
      </c>
      <c r="C200" s="590">
        <f>C194-1</f>
        <v>7</v>
      </c>
      <c r="D200" s="589">
        <f>SUMPRODUCT(K10:K17^2,E28:E35)-SUMPRODUCT(K10:K17,E28:E35)^2/SUM(E28:E35)</f>
        <v>2.4188028750975678E-2</v>
      </c>
      <c r="E200" s="589"/>
      <c r="F200" s="589"/>
      <c r="G200" s="589"/>
      <c r="H200" s="589"/>
      <c r="I200" s="335"/>
      <c r="J200" s="591"/>
      <c r="K200" s="535" t="s">
        <v>108</v>
      </c>
      <c r="L200" s="535">
        <f>L194-1</f>
        <v>7</v>
      </c>
      <c r="M200" s="535">
        <f>SUMPRODUCT(L10:L17^2,E28:E35)-SUMPRODUCT(L10:L17,E28:E35)^2/SUM(E28:E35)</f>
        <v>2.9105823013511577E-2</v>
      </c>
      <c r="N200" s="535"/>
      <c r="O200" s="535"/>
      <c r="P200" s="535"/>
      <c r="Q200" s="535"/>
      <c r="R200"/>
      <c r="S200"/>
    </row>
    <row r="201" spans="1:26" ht="15" thickBot="1" x14ac:dyDescent="0.35">
      <c r="A201" s="57"/>
      <c r="B201" s="57"/>
      <c r="C201" s="57"/>
      <c r="D201" s="335"/>
      <c r="E201" s="335"/>
      <c r="F201" s="335"/>
      <c r="G201" s="335"/>
      <c r="H201" s="335"/>
      <c r="I201" s="335"/>
      <c r="J201" s="591"/>
      <c r="K201"/>
      <c r="L201"/>
      <c r="M201"/>
      <c r="P201"/>
      <c r="Q201"/>
      <c r="R201"/>
      <c r="S201"/>
    </row>
    <row r="202" spans="1:26" ht="15" thickTop="1" x14ac:dyDescent="0.3">
      <c r="A202" s="57"/>
      <c r="B202" s="536"/>
      <c r="C202" s="536" t="s">
        <v>324</v>
      </c>
      <c r="D202" s="536" t="s">
        <v>325</v>
      </c>
      <c r="E202" s="536" t="s">
        <v>326</v>
      </c>
      <c r="F202" s="536" t="s">
        <v>320</v>
      </c>
      <c r="G202" s="536" t="s">
        <v>327</v>
      </c>
      <c r="H202" s="536" t="s">
        <v>328</v>
      </c>
      <c r="I202" s="536" t="s">
        <v>329</v>
      </c>
      <c r="J202" s="591"/>
      <c r="K202" s="536"/>
      <c r="L202" s="536" t="s">
        <v>324</v>
      </c>
      <c r="M202" s="536" t="s">
        <v>325</v>
      </c>
      <c r="N202" s="536" t="s">
        <v>326</v>
      </c>
      <c r="O202" s="536" t="s">
        <v>320</v>
      </c>
      <c r="P202" s="536" t="s">
        <v>327</v>
      </c>
      <c r="Q202" s="536" t="s">
        <v>328</v>
      </c>
      <c r="R202" s="536" t="s">
        <v>329</v>
      </c>
      <c r="S202"/>
    </row>
    <row r="203" spans="1:26" x14ac:dyDescent="0.3">
      <c r="A203" s="57"/>
      <c r="B203" s="57" t="s">
        <v>330</v>
      </c>
      <c r="C203" s="57">
        <f t="array" ref="C203:D204">[2]!WRegCoeff(B10:B17,K10:K17,E28:E35)</f>
        <v>-1.4914055206036669E-2</v>
      </c>
      <c r="D203" s="335">
        <v>1.5349391004277095E-2</v>
      </c>
      <c r="E203" s="335">
        <f>C203/D203</f>
        <v>-0.97163823645386849</v>
      </c>
      <c r="F203" s="335">
        <f>_xlfn.T.DIST.2T(ABS(E203),$C$199)</f>
        <v>0.3687550573050149</v>
      </c>
      <c r="G203" s="335">
        <f>C203-_xlfn.T.INV.2T(G$196,$C$199)*D203</f>
        <v>-5.2472661962260282E-2</v>
      </c>
      <c r="H203" s="335">
        <f>C203+_xlfn.T.INV.2T(G$196,$C$199)*D203</f>
        <v>2.2644551550186943E-2</v>
      </c>
      <c r="I203" s="335"/>
      <c r="J203" s="591"/>
      <c r="K203" t="s">
        <v>330</v>
      </c>
      <c r="L203">
        <f t="array" ref="L203:M204">[2]!WRegCoeff(B10:B17,L10:L17,E28:E35)</f>
        <v>1.3221639466777235E-3</v>
      </c>
      <c r="M203">
        <v>1.0343566796774105E-2</v>
      </c>
      <c r="N203">
        <f>L203/M203</f>
        <v>0.12782476032252943</v>
      </c>
      <c r="O203">
        <f>_xlfn.T.DIST.2T(ABS(N203),$L$199)</f>
        <v>0.90246427239699289</v>
      </c>
      <c r="P203">
        <f>L203-_xlfn.T.INV.2T(P$196,$L$199)*M203</f>
        <v>-2.3987632231458448E-2</v>
      </c>
      <c r="Q203">
        <f>L203+_xlfn.T.INV.2T(P$196,$L$199)*M203</f>
        <v>2.6631960124813895E-2</v>
      </c>
      <c r="R203"/>
      <c r="S203"/>
    </row>
    <row r="204" spans="1:26" x14ac:dyDescent="0.3">
      <c r="A204" s="57"/>
      <c r="B204" s="601" t="s">
        <v>24</v>
      </c>
      <c r="C204" s="601">
        <v>6.5372899372198409E-2</v>
      </c>
      <c r="D204" s="602">
        <v>2.4411517600637809E-3</v>
      </c>
      <c r="E204" s="602">
        <f>C204/D204</f>
        <v>26.779531056475729</v>
      </c>
      <c r="F204" s="602">
        <f>_xlfn.T.DIST.2T(ABS(E204),$C$199)</f>
        <v>1.7905506897578314E-7</v>
      </c>
      <c r="G204" s="602">
        <f>C204-_xlfn.T.INV.2T(G$196,$C$199)*D204</f>
        <v>5.939961620005494E-2</v>
      </c>
      <c r="H204" s="602">
        <f>C204+_xlfn.T.INV.2T(G$196,$C$199)*D204</f>
        <v>7.1346182544341871E-2</v>
      </c>
      <c r="I204" s="602">
        <f t="array" ref="I204">[2]!WVIF(B10:B17,E28:E35,1)</f>
        <v>1</v>
      </c>
      <c r="J204" s="591"/>
      <c r="K204" s="535" t="s">
        <v>24</v>
      </c>
      <c r="L204" s="535">
        <v>7.1897811540956119E-2</v>
      </c>
      <c r="M204" s="535">
        <v>1.6450304956233408E-3</v>
      </c>
      <c r="N204" s="535">
        <f>L204/M204</f>
        <v>43.706066077341838</v>
      </c>
      <c r="O204" s="535">
        <f>_xlfn.T.DIST.2T(ABS(N204),$L$199)</f>
        <v>9.6045744041690372E-9</v>
      </c>
      <c r="P204" s="535">
        <f>L204-_xlfn.T.INV.2T(P$196,$L$199)*M204</f>
        <v>6.7872566925720482E-2</v>
      </c>
      <c r="Q204" s="535">
        <f>L204+_xlfn.T.INV.2T(P$196,$L$199)*M204</f>
        <v>7.5923056156191757E-2</v>
      </c>
      <c r="R204" s="535">
        <f t="array" ref="R204">[2]!WVIF(B10:B17,E28:E35,1)</f>
        <v>1</v>
      </c>
      <c r="S204"/>
    </row>
    <row r="205" spans="1:26" x14ac:dyDescent="0.3">
      <c r="A205" s="57"/>
      <c r="B205" s="57"/>
      <c r="C205" s="57"/>
      <c r="D205" s="335"/>
      <c r="E205" s="335"/>
      <c r="F205" s="335"/>
      <c r="G205" s="335"/>
      <c r="H205" s="335"/>
      <c r="I205" s="335"/>
      <c r="J205" s="591"/>
      <c r="K205"/>
      <c r="L205"/>
      <c r="M205"/>
      <c r="P205"/>
      <c r="Q205"/>
      <c r="R205"/>
      <c r="S205"/>
    </row>
    <row r="206" spans="1:26" s="596" customFormat="1" x14ac:dyDescent="0.3">
      <c r="A206" s="598"/>
      <c r="B206" s="598" t="s">
        <v>363</v>
      </c>
      <c r="C206" s="598"/>
      <c r="D206" s="599"/>
      <c r="E206" s="599"/>
      <c r="F206" s="599"/>
      <c r="G206" s="599"/>
      <c r="H206" s="599"/>
      <c r="I206" s="599"/>
      <c r="J206" s="599"/>
      <c r="K206" s="595"/>
      <c r="L206" s="595"/>
      <c r="M206" s="595"/>
      <c r="P206" s="595"/>
      <c r="Q206" s="595"/>
      <c r="R206" s="595"/>
      <c r="S206" s="595"/>
      <c r="X206"/>
      <c r="Y206"/>
      <c r="Z206"/>
    </row>
    <row r="207" spans="1:26" x14ac:dyDescent="0.3">
      <c r="A207" s="57"/>
      <c r="B207" s="57"/>
      <c r="C207" s="57"/>
      <c r="D207" s="335"/>
      <c r="E207" s="335"/>
      <c r="F207" s="335"/>
      <c r="G207" s="335"/>
      <c r="H207" s="335"/>
      <c r="I207" s="335"/>
      <c r="J207" s="600"/>
    </row>
    <row r="208" spans="1:26" x14ac:dyDescent="0.3">
      <c r="A208" s="57"/>
      <c r="B208" s="57" t="s">
        <v>304</v>
      </c>
      <c r="C208" s="57"/>
      <c r="D208" s="335"/>
      <c r="E208" s="335"/>
      <c r="F208" s="335"/>
      <c r="G208" s="335"/>
      <c r="H208" s="335"/>
      <c r="I208" s="335"/>
      <c r="J208" s="591"/>
    </row>
    <row r="209" spans="1:10" x14ac:dyDescent="0.3">
      <c r="A209" s="57"/>
      <c r="B209" s="57"/>
      <c r="C209" s="57"/>
      <c r="D209" s="335"/>
      <c r="E209" s="335"/>
      <c r="F209" s="335"/>
      <c r="G209" s="335"/>
      <c r="H209" s="335"/>
      <c r="I209" s="335"/>
      <c r="J209" s="591"/>
    </row>
    <row r="210" spans="1:10" ht="15" thickBot="1" x14ac:dyDescent="0.35">
      <c r="A210" s="57"/>
      <c r="B210" s="587" t="s">
        <v>305</v>
      </c>
      <c r="C210" s="587"/>
      <c r="D210" s="335"/>
      <c r="E210" s="588"/>
      <c r="F210" s="588"/>
      <c r="G210" s="335"/>
      <c r="H210" s="335"/>
      <c r="I210" s="335"/>
      <c r="J210" s="591"/>
    </row>
    <row r="211" spans="1:10" ht="15" thickTop="1" x14ac:dyDescent="0.3">
      <c r="A211" s="57"/>
      <c r="B211" s="57" t="s">
        <v>306</v>
      </c>
      <c r="C211" s="57">
        <f>SQRT(C212)</f>
        <v>0.99960718343167398</v>
      </c>
      <c r="D211" s="335"/>
      <c r="E211" s="335" t="s">
        <v>311</v>
      </c>
      <c r="F211" s="335">
        <f>C215*LN(D220/C215)+2*C219</f>
        <v>-100.88775006587848</v>
      </c>
      <c r="G211" s="335"/>
      <c r="H211" s="335"/>
      <c r="I211" s="335"/>
      <c r="J211" s="591"/>
    </row>
    <row r="212" spans="1:10" x14ac:dyDescent="0.3">
      <c r="A212" s="57"/>
      <c r="B212" s="57" t="s">
        <v>307</v>
      </c>
      <c r="C212" s="57">
        <f>D219/D221</f>
        <v>0.99921452116820431</v>
      </c>
      <c r="D212" s="335"/>
      <c r="E212" s="335" t="s">
        <v>312</v>
      </c>
      <c r="F212" s="335">
        <f>F211+2*(C219+1)*(C219+2)/(C215-C219-2)</f>
        <v>-98.487750065878473</v>
      </c>
      <c r="G212" s="335"/>
      <c r="H212" s="335"/>
      <c r="I212" s="335"/>
      <c r="J212" s="591"/>
    </row>
    <row r="213" spans="1:10" x14ac:dyDescent="0.3">
      <c r="A213" s="57"/>
      <c r="B213" s="57" t="s">
        <v>308</v>
      </c>
      <c r="C213" s="57">
        <f>1-(1-C212)*C215/(C215-C219)</f>
        <v>0.99910230990651916</v>
      </c>
      <c r="D213" s="335"/>
      <c r="E213" s="602" t="s">
        <v>313</v>
      </c>
      <c r="F213" s="602">
        <f>C215*LN(D220/C215)+C219*LN(C215)</f>
        <v>-100.80830852419864</v>
      </c>
      <c r="G213" s="335"/>
      <c r="H213" s="335"/>
      <c r="I213" s="335"/>
      <c r="J213" s="591"/>
    </row>
    <row r="214" spans="1:10" x14ac:dyDescent="0.3">
      <c r="A214" s="57"/>
      <c r="B214" s="57" t="s">
        <v>309</v>
      </c>
      <c r="C214" s="57">
        <f>SQRT(E220)</f>
        <v>1.8609962006430549E-3</v>
      </c>
      <c r="D214" s="335"/>
      <c r="E214" s="335"/>
      <c r="F214" s="335"/>
      <c r="G214" s="335"/>
      <c r="H214" s="335"/>
      <c r="I214" s="335"/>
      <c r="J214" s="591"/>
    </row>
    <row r="215" spans="1:10" x14ac:dyDescent="0.3">
      <c r="A215" s="57"/>
      <c r="B215" s="601" t="s">
        <v>310</v>
      </c>
      <c r="C215" s="601">
        <f>COUNT(M10:M17)</f>
        <v>8</v>
      </c>
      <c r="D215" s="335"/>
      <c r="E215" s="335"/>
      <c r="F215" s="335"/>
      <c r="G215" s="335"/>
      <c r="H215" s="335"/>
      <c r="I215" s="335"/>
      <c r="J215" s="591"/>
    </row>
    <row r="216" spans="1:10" x14ac:dyDescent="0.3">
      <c r="A216" s="57"/>
      <c r="B216" s="57"/>
      <c r="C216" s="57"/>
      <c r="D216" s="335"/>
      <c r="E216" s="335"/>
      <c r="F216" s="335"/>
      <c r="G216" s="335"/>
      <c r="H216" s="335"/>
      <c r="I216" s="335"/>
      <c r="J216" s="591"/>
    </row>
    <row r="217" spans="1:10" ht="15" thickBot="1" x14ac:dyDescent="0.35">
      <c r="A217" s="57"/>
      <c r="B217" s="57" t="s">
        <v>314</v>
      </c>
      <c r="C217" s="57"/>
      <c r="D217" s="335"/>
      <c r="E217" s="335"/>
      <c r="F217" s="335" t="s">
        <v>315</v>
      </c>
      <c r="G217" s="335">
        <v>0.05</v>
      </c>
      <c r="H217" s="335"/>
      <c r="I217" s="335"/>
      <c r="J217" s="591"/>
    </row>
    <row r="218" spans="1:10" ht="15" thickTop="1" x14ac:dyDescent="0.3">
      <c r="A218" s="57"/>
      <c r="B218" s="536"/>
      <c r="C218" s="536" t="s">
        <v>316</v>
      </c>
      <c r="D218" s="536" t="s">
        <v>317</v>
      </c>
      <c r="E218" s="536" t="s">
        <v>318</v>
      </c>
      <c r="F218" s="536" t="s">
        <v>319</v>
      </c>
      <c r="G218" s="536" t="s">
        <v>320</v>
      </c>
      <c r="H218" s="536" t="s">
        <v>321</v>
      </c>
      <c r="I218" s="335"/>
      <c r="J218" s="591"/>
    </row>
    <row r="219" spans="1:10" x14ac:dyDescent="0.3">
      <c r="A219" s="57"/>
      <c r="B219" s="57" t="s">
        <v>322</v>
      </c>
      <c r="C219" s="57">
        <f>COUNT(B10)</f>
        <v>1</v>
      </c>
      <c r="D219" s="335">
        <f>SUMPRODUCT(E28:E35,MMULT([2]!DESIGN(B10:B17),C224:C225)^2)-SUMPRODUCT(M10:M17,E28:E35)^2/SUM(E28:E35)</f>
        <v>2.6434218449942912E-2</v>
      </c>
      <c r="E219" s="335">
        <f>D219/C219</f>
        <v>2.6434218449942912E-2</v>
      </c>
      <c r="F219" s="335">
        <f>E219/E220</f>
        <v>7632.6527009050278</v>
      </c>
      <c r="G219" s="335">
        <f>_xlfn.F.DIST.RT(F219,C219,C220)</f>
        <v>1.5148912014859014E-10</v>
      </c>
      <c r="H219" s="335" t="str">
        <f>IF(G219&lt;G217,"yes","no")</f>
        <v>yes</v>
      </c>
      <c r="I219" s="335"/>
      <c r="J219" s="591"/>
    </row>
    <row r="220" spans="1:10" x14ac:dyDescent="0.3">
      <c r="A220" s="57"/>
      <c r="B220" s="57" t="s">
        <v>323</v>
      </c>
      <c r="C220" s="57">
        <f>C221-C219</f>
        <v>6</v>
      </c>
      <c r="D220" s="335">
        <f>D221-D219</f>
        <v>2.0779841152847311E-5</v>
      </c>
      <c r="E220" s="335">
        <f>D220/C220</f>
        <v>3.4633068588078852E-6</v>
      </c>
      <c r="F220" s="335"/>
      <c r="G220" s="335"/>
      <c r="H220" s="335"/>
      <c r="I220" s="335"/>
      <c r="J220" s="591"/>
    </row>
    <row r="221" spans="1:10" x14ac:dyDescent="0.3">
      <c r="A221" s="57"/>
      <c r="B221" s="601" t="s">
        <v>108</v>
      </c>
      <c r="C221" s="601">
        <f>C215-1</f>
        <v>7</v>
      </c>
      <c r="D221" s="602">
        <f>SUMPRODUCT(M10:M17^2,E28:E35)-SUMPRODUCT(M10:M17,E28:E35)^2/SUM(E28:E35)</f>
        <v>2.6454998291095759E-2</v>
      </c>
      <c r="E221" s="602"/>
      <c r="F221" s="602"/>
      <c r="G221" s="602"/>
      <c r="H221" s="602"/>
      <c r="I221" s="335"/>
      <c r="J221" s="591"/>
    </row>
    <row r="222" spans="1:10" ht="15" thickBot="1" x14ac:dyDescent="0.35">
      <c r="A222" s="57"/>
      <c r="B222" s="57"/>
      <c r="C222" s="57"/>
      <c r="D222" s="335"/>
      <c r="E222" s="335"/>
      <c r="F222" s="335"/>
      <c r="G222" s="335"/>
      <c r="H222" s="335"/>
      <c r="I222" s="335"/>
      <c r="J222" s="591"/>
    </row>
    <row r="223" spans="1:10" ht="15" thickTop="1" x14ac:dyDescent="0.3">
      <c r="A223" s="57"/>
      <c r="B223" s="536"/>
      <c r="C223" s="536" t="s">
        <v>324</v>
      </c>
      <c r="D223" s="536" t="s">
        <v>325</v>
      </c>
      <c r="E223" s="536" t="s">
        <v>326</v>
      </c>
      <c r="F223" s="536" t="s">
        <v>320</v>
      </c>
      <c r="G223" s="536" t="s">
        <v>327</v>
      </c>
      <c r="H223" s="536" t="s">
        <v>328</v>
      </c>
      <c r="I223" s="536" t="s">
        <v>329</v>
      </c>
      <c r="J223" s="591"/>
    </row>
    <row r="224" spans="1:10" x14ac:dyDescent="0.3">
      <c r="A224" s="57"/>
      <c r="B224" s="57" t="s">
        <v>330</v>
      </c>
      <c r="C224" s="57">
        <f t="array" ref="C224:D225">[2]!WRegCoeff(B10:B17,M10:M17,E28:E35)</f>
        <v>6.1176242062599417E-4</v>
      </c>
      <c r="D224" s="335">
        <v>4.9391086081360001E-3</v>
      </c>
      <c r="E224" s="335">
        <f>C224/D224</f>
        <v>0.12386089660354135</v>
      </c>
      <c r="F224" s="335">
        <f>_xlfn.T.DIST.2T(ABS(E224),$C$220)</f>
        <v>0.90547060724086026</v>
      </c>
      <c r="G224" s="335">
        <f>C224-_xlfn.T.INV.2T(G$217,$C$220)*D224</f>
        <v>-1.1473800966714121E-2</v>
      </c>
      <c r="H224" s="335">
        <f>C224+_xlfn.T.INV.2T(G$217,$C$220)*D224</f>
        <v>1.269732580796611E-2</v>
      </c>
      <c r="I224" s="335"/>
      <c r="J224" s="591"/>
    </row>
    <row r="225" spans="1:11" x14ac:dyDescent="0.3">
      <c r="A225" s="57"/>
      <c r="B225" s="601" t="s">
        <v>24</v>
      </c>
      <c r="C225" s="601">
        <v>6.8626200839459722E-2</v>
      </c>
      <c r="D225" s="602">
        <v>7.8551088238860197E-4</v>
      </c>
      <c r="E225" s="602">
        <f>C225/D225</f>
        <v>87.365054231685988</v>
      </c>
      <c r="F225" s="602">
        <f>_xlfn.T.DIST.2T(ABS(E225),$C$220)</f>
        <v>1.5148912014856647E-10</v>
      </c>
      <c r="G225" s="602">
        <f>C225-_xlfn.T.INV.2T(G$217,$C$220)*D225</f>
        <v>6.6704124952139704E-2</v>
      </c>
      <c r="H225" s="602">
        <f>C225+_xlfn.T.INV.2T(G$217,$C$220)*D225</f>
        <v>7.0548276726779741E-2</v>
      </c>
      <c r="I225" s="602">
        <f t="array" ref="I225">[2]!WVIF(B10:B17,E28:E35,1)</f>
        <v>1</v>
      </c>
      <c r="J225" s="591"/>
    </row>
    <row r="226" spans="1:11" x14ac:dyDescent="0.3">
      <c r="A226" s="57"/>
      <c r="B226" s="57"/>
      <c r="C226" s="57"/>
      <c r="D226" s="335"/>
      <c r="E226" s="335"/>
      <c r="F226" s="335"/>
      <c r="G226" s="335"/>
      <c r="H226" s="335"/>
      <c r="I226" s="605"/>
      <c r="J226" s="564"/>
      <c r="K226" s="564"/>
    </row>
    <row r="227" spans="1:11" x14ac:dyDescent="0.3">
      <c r="I227" s="564"/>
      <c r="J227" s="564"/>
      <c r="K227" s="564"/>
    </row>
    <row r="228" spans="1:11" x14ac:dyDescent="0.3">
      <c r="I228" s="564"/>
      <c r="J228" s="564"/>
      <c r="K228" s="564"/>
    </row>
    <row r="229" spans="1:11" x14ac:dyDescent="0.3">
      <c r="I229" s="564"/>
      <c r="J229" s="564"/>
      <c r="K229" s="564"/>
    </row>
    <row r="230" spans="1:11" x14ac:dyDescent="0.3">
      <c r="I230" s="564"/>
      <c r="J230" s="564"/>
      <c r="K230" s="564"/>
    </row>
    <row r="231" spans="1:11" x14ac:dyDescent="0.3">
      <c r="I231" s="564"/>
      <c r="J231" s="564"/>
      <c r="K231" s="564"/>
    </row>
  </sheetData>
  <mergeCells count="35">
    <mergeCell ref="B70:E70"/>
    <mergeCell ref="B63:E63"/>
    <mergeCell ref="H63:H64"/>
    <mergeCell ref="J63:J64"/>
    <mergeCell ref="B67:E67"/>
    <mergeCell ref="F67:F68"/>
    <mergeCell ref="G67:G68"/>
    <mergeCell ref="H67:H68"/>
    <mergeCell ref="I67:I68"/>
    <mergeCell ref="J67:J68"/>
    <mergeCell ref="M44:N44"/>
    <mergeCell ref="M45:N45"/>
    <mergeCell ref="G25:G27"/>
    <mergeCell ref="J31:J33"/>
    <mergeCell ref="K31:K33"/>
    <mergeCell ref="M25:M27"/>
    <mergeCell ref="L34:L36"/>
    <mergeCell ref="J30:L30"/>
    <mergeCell ref="N31:N33"/>
    <mergeCell ref="O31:O33"/>
    <mergeCell ref="B25:B30"/>
    <mergeCell ref="B31:B35"/>
    <mergeCell ref="B4:B6"/>
    <mergeCell ref="C4:M6"/>
    <mergeCell ref="C7:M7"/>
    <mergeCell ref="C25:C26"/>
    <mergeCell ref="D25:D26"/>
    <mergeCell ref="F25:F27"/>
    <mergeCell ref="J25:J27"/>
    <mergeCell ref="K25:K27"/>
    <mergeCell ref="L25:L27"/>
    <mergeCell ref="N25:N27"/>
    <mergeCell ref="O25:O27"/>
    <mergeCell ref="H25:H27"/>
    <mergeCell ref="L31:L33"/>
  </mergeCells>
  <conditionalFormatting sqref="C18:M18">
    <cfRule type="top10" dxfId="0" priority="1" rank="1"/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4"/>
  <sheetViews>
    <sheetView showGridLines="0" workbookViewId="0">
      <selection activeCell="I20" sqref="I20"/>
    </sheetView>
  </sheetViews>
  <sheetFormatPr defaultColWidth="9.109375" defaultRowHeight="14.4" x14ac:dyDescent="0.3"/>
  <cols>
    <col min="1" max="1" width="1.6640625" style="12" customWidth="1"/>
    <col min="2" max="2" width="15.6640625" style="12" customWidth="1"/>
    <col min="3" max="3" width="7.6640625" style="12" customWidth="1"/>
    <col min="4" max="4" width="9.109375" style="12" customWidth="1"/>
    <col min="5" max="5" width="9.109375" style="12"/>
    <col min="6" max="6" width="5.6640625" style="12" customWidth="1"/>
    <col min="7" max="7" width="9.109375" style="12" customWidth="1"/>
    <col min="8" max="8" width="5.6640625" style="12" customWidth="1"/>
    <col min="9" max="9" width="11" style="12" bestFit="1" customWidth="1"/>
    <col min="10" max="10" width="11" style="12" customWidth="1"/>
    <col min="11" max="11" width="9.109375" style="12" customWidth="1"/>
    <col min="12" max="12" width="9.109375" style="12"/>
    <col min="13" max="13" width="13.44140625" style="12" customWidth="1"/>
    <col min="14" max="14" width="9.109375" style="12"/>
    <col min="15" max="15" width="11.88671875" style="12" customWidth="1"/>
    <col min="16" max="16384" width="9.109375" style="12"/>
  </cols>
  <sheetData>
    <row r="1" spans="2:17" ht="15" customHeight="1" x14ac:dyDescent="0.3"/>
    <row r="2" spans="2:17" ht="18.75" customHeight="1" x14ac:dyDescent="0.35">
      <c r="B2" s="381" t="s">
        <v>133</v>
      </c>
      <c r="E2" s="382" t="str">
        <f>"- "&amp;Summary!C4</f>
        <v>-   Cocaine</v>
      </c>
    </row>
    <row r="3" spans="2:17" ht="15" customHeight="1" thickBot="1" x14ac:dyDescent="0.35">
      <c r="M3" s="7"/>
      <c r="N3" s="7"/>
    </row>
    <row r="4" spans="2:17" ht="18.75" customHeight="1" x14ac:dyDescent="0.35">
      <c r="B4" s="168" t="s">
        <v>134</v>
      </c>
      <c r="C4" s="182"/>
      <c r="D4" s="16"/>
      <c r="E4" s="16"/>
      <c r="F4" s="16"/>
      <c r="G4" s="16"/>
      <c r="H4" s="16"/>
      <c r="I4" s="16"/>
      <c r="J4" s="16"/>
      <c r="K4" s="143"/>
      <c r="L4" s="7"/>
      <c r="M4" s="7"/>
    </row>
    <row r="5" spans="2:17" s="275" customFormat="1" ht="15" customHeight="1" thickBot="1" x14ac:dyDescent="0.35">
      <c r="B5" s="211"/>
      <c r="C5" s="212"/>
      <c r="D5" s="212"/>
      <c r="E5" s="212"/>
      <c r="F5" s="212"/>
      <c r="G5" s="212"/>
      <c r="H5" s="212"/>
      <c r="I5" s="212"/>
      <c r="J5" s="212"/>
      <c r="K5" s="213"/>
      <c r="L5" s="212"/>
      <c r="M5" s="212"/>
    </row>
    <row r="6" spans="2:17" s="275" customFormat="1" ht="15" customHeight="1" x14ac:dyDescent="0.3">
      <c r="B6" s="211"/>
      <c r="C6" s="35"/>
      <c r="D6" s="212"/>
      <c r="E6" s="383" t="s">
        <v>135</v>
      </c>
      <c r="F6" s="116" t="s">
        <v>136</v>
      </c>
      <c r="G6" s="384" t="s">
        <v>170</v>
      </c>
      <c r="H6" s="214"/>
      <c r="I6" s="214"/>
      <c r="J6" s="212"/>
      <c r="K6" s="213"/>
      <c r="L6" s="212"/>
      <c r="M6" s="212"/>
    </row>
    <row r="7" spans="2:17" s="275" customFormat="1" ht="15" customHeight="1" x14ac:dyDescent="0.3">
      <c r="B7" s="211"/>
      <c r="C7" s="35"/>
      <c r="D7" s="212"/>
      <c r="E7" s="116"/>
      <c r="F7" s="116"/>
      <c r="G7" s="35"/>
      <c r="H7" s="212"/>
      <c r="I7" s="212"/>
      <c r="J7" s="212"/>
      <c r="K7" s="213"/>
      <c r="L7" s="212"/>
      <c r="M7" s="212"/>
    </row>
    <row r="8" spans="2:17" s="275" customFormat="1" ht="15" customHeight="1" thickBot="1" x14ac:dyDescent="0.35">
      <c r="B8" s="211"/>
      <c r="C8" s="212"/>
      <c r="D8" s="212"/>
      <c r="E8" s="212"/>
      <c r="F8" s="204"/>
      <c r="G8" s="212"/>
      <c r="H8" s="212"/>
      <c r="I8" s="212"/>
      <c r="J8" s="212"/>
      <c r="K8" s="213"/>
      <c r="L8" s="212"/>
      <c r="M8" s="212"/>
    </row>
    <row r="9" spans="2:17" s="275" customFormat="1" ht="15" customHeight="1" x14ac:dyDescent="0.4">
      <c r="B9" s="211"/>
      <c r="C9" s="212"/>
      <c r="D9" s="212"/>
      <c r="E9" s="385" t="s">
        <v>38</v>
      </c>
      <c r="F9" s="116" t="s">
        <v>136</v>
      </c>
      <c r="G9" s="384" t="s">
        <v>171</v>
      </c>
      <c r="H9" s="128"/>
      <c r="I9" s="128"/>
      <c r="J9" s="128"/>
      <c r="K9" s="155"/>
      <c r="L9" s="212"/>
      <c r="M9" s="212"/>
      <c r="O9" s="212"/>
      <c r="P9" s="212"/>
      <c r="Q9" s="212"/>
    </row>
    <row r="10" spans="2:17" s="275" customFormat="1" ht="15" customHeight="1" x14ac:dyDescent="0.3">
      <c r="B10" s="211"/>
      <c r="C10" s="212"/>
      <c r="D10" s="212"/>
      <c r="E10" s="385"/>
      <c r="F10" s="116"/>
      <c r="G10" s="35"/>
      <c r="H10" s="35"/>
      <c r="I10" s="35"/>
      <c r="J10" s="35"/>
      <c r="K10" s="155"/>
      <c r="L10" s="212"/>
      <c r="M10" s="212"/>
      <c r="O10" s="212"/>
      <c r="P10" s="212"/>
      <c r="Q10" s="212"/>
    </row>
    <row r="11" spans="2:17" s="275" customFormat="1" ht="15" customHeight="1" thickBot="1" x14ac:dyDescent="0.35">
      <c r="B11" s="211"/>
      <c r="C11" s="212"/>
      <c r="D11" s="212"/>
      <c r="E11" s="385"/>
      <c r="F11" s="116"/>
      <c r="G11" s="35"/>
      <c r="H11" s="35"/>
      <c r="I11" s="35"/>
      <c r="J11" s="35"/>
      <c r="K11" s="155"/>
      <c r="L11" s="212"/>
      <c r="M11" s="212"/>
      <c r="O11" s="212"/>
      <c r="P11" s="212"/>
      <c r="Q11" s="212"/>
    </row>
    <row r="12" spans="2:17" s="275" customFormat="1" ht="15" customHeight="1" x14ac:dyDescent="0.4">
      <c r="B12" s="211"/>
      <c r="C12" s="212"/>
      <c r="D12" s="212"/>
      <c r="E12" s="385" t="s">
        <v>38</v>
      </c>
      <c r="F12" s="116" t="s">
        <v>136</v>
      </c>
      <c r="G12" s="384" t="s">
        <v>172</v>
      </c>
      <c r="H12" s="128"/>
      <c r="I12" s="128"/>
      <c r="J12" s="35"/>
      <c r="K12" s="155"/>
      <c r="L12" s="212"/>
      <c r="M12" s="212"/>
      <c r="O12" s="212"/>
      <c r="P12" s="212"/>
      <c r="Q12" s="212"/>
    </row>
    <row r="13" spans="2:17" s="275" customFormat="1" ht="15" customHeight="1" thickBot="1" x14ac:dyDescent="0.35">
      <c r="B13" s="215"/>
      <c r="C13" s="216"/>
      <c r="D13" s="386"/>
      <c r="E13" s="386"/>
      <c r="F13" s="216"/>
      <c r="G13" s="216"/>
      <c r="H13" s="216"/>
      <c r="I13" s="216"/>
      <c r="J13" s="216"/>
      <c r="K13" s="217"/>
      <c r="L13" s="212"/>
      <c r="M13" s="212"/>
    </row>
    <row r="14" spans="2:17" ht="5.0999999999999996" customHeight="1" x14ac:dyDescent="0.4">
      <c r="C14" s="7"/>
      <c r="D14" s="188"/>
      <c r="E14" s="188"/>
      <c r="F14" s="189"/>
      <c r="G14" s="189"/>
      <c r="H14" s="189"/>
      <c r="I14" s="189"/>
      <c r="J14" s="189"/>
      <c r="K14" s="189"/>
      <c r="L14" s="7"/>
      <c r="M14" s="7"/>
      <c r="N14" s="7"/>
    </row>
    <row r="15" spans="2:17" ht="15" customHeight="1" x14ac:dyDescent="0.35">
      <c r="B15" s="11" t="s">
        <v>226</v>
      </c>
    </row>
    <row r="16" spans="2:17" ht="15" customHeight="1" x14ac:dyDescent="0.3">
      <c r="B16" s="12" t="str">
        <f>"Eg. A sample concentration close to a NC of "&amp;Summary!C10&amp;" will use ur(Pre) = "&amp;'Precision Uncertainty'!M5</f>
        <v>Eg. A sample concentration close to a NC of 10 will use ur(Pre) = 0.0319760976701291</v>
      </c>
    </row>
    <row r="17" spans="2:13" ht="15" customHeight="1" x14ac:dyDescent="0.3"/>
    <row r="18" spans="2:13" ht="15" customHeight="1" thickBot="1" x14ac:dyDescent="0.45">
      <c r="C18" s="7"/>
      <c r="D18" s="188"/>
      <c r="E18" s="188"/>
      <c r="F18" s="189"/>
      <c r="G18" s="189"/>
      <c r="H18" s="189"/>
      <c r="I18" s="189"/>
      <c r="J18" s="189"/>
      <c r="K18" s="189"/>
      <c r="L18" s="7"/>
      <c r="M18" s="7"/>
    </row>
    <row r="19" spans="2:13" ht="18" customHeight="1" thickBot="1" x14ac:dyDescent="0.35">
      <c r="B19" s="387" t="s">
        <v>137</v>
      </c>
      <c r="C19" s="388" t="str">
        <f>Summary!C9&amp;" µg/L"</f>
        <v>10 µg/L</v>
      </c>
      <c r="D19" s="389"/>
      <c r="E19" s="323"/>
      <c r="F19" s="323"/>
      <c r="G19" s="16"/>
      <c r="H19" s="16"/>
      <c r="I19" s="16"/>
      <c r="J19" s="16"/>
      <c r="K19" s="143"/>
      <c r="L19" s="7"/>
      <c r="M19" s="7"/>
    </row>
    <row r="20" spans="2:13" ht="15" customHeight="1" x14ac:dyDescent="0.3">
      <c r="B20" s="133"/>
      <c r="C20" s="390" t="s">
        <v>38</v>
      </c>
      <c r="D20" s="253">
        <f>Summary!C9</f>
        <v>10</v>
      </c>
      <c r="E20" s="391">
        <f>'Precision Uncertainty'!M5^2</f>
        <v>1.0224708222096365E-3</v>
      </c>
      <c r="F20" s="18" t="s">
        <v>28</v>
      </c>
      <c r="G20" s="16">
        <f>'Calibration and Measurement'!D97</f>
        <v>4.5670295794458839E-3</v>
      </c>
      <c r="H20" s="18" t="s">
        <v>28</v>
      </c>
      <c r="I20" s="16">
        <f>'Std Solution &amp; Spike Prep'!Q17</f>
        <v>2.7039999999999999E-5</v>
      </c>
      <c r="J20" s="7"/>
      <c r="K20" s="21"/>
      <c r="L20" s="170"/>
      <c r="M20" s="7"/>
    </row>
    <row r="21" spans="2:13" ht="15" customHeight="1" thickBot="1" x14ac:dyDescent="0.35">
      <c r="B21" s="133"/>
      <c r="C21" s="390"/>
      <c r="D21" s="253"/>
      <c r="E21" s="7"/>
      <c r="F21" s="7"/>
      <c r="G21" s="7"/>
      <c r="H21" s="7"/>
      <c r="I21" s="7"/>
      <c r="J21" s="7"/>
      <c r="K21" s="21"/>
      <c r="L21" s="7"/>
      <c r="M21" s="7"/>
    </row>
    <row r="22" spans="2:13" ht="15" customHeight="1" x14ac:dyDescent="0.3">
      <c r="B22" s="133"/>
      <c r="C22" s="390" t="s">
        <v>38</v>
      </c>
      <c r="D22" s="253">
        <f>D20</f>
        <v>10</v>
      </c>
      <c r="E22" s="391">
        <f>E20+G20+I20</f>
        <v>5.6165404016555202E-3</v>
      </c>
      <c r="F22" s="7"/>
      <c r="G22" s="7"/>
      <c r="H22" s="7"/>
      <c r="I22" s="7"/>
      <c r="J22" s="7"/>
      <c r="K22" s="21"/>
      <c r="L22" s="7"/>
      <c r="M22" s="7"/>
    </row>
    <row r="23" spans="2:13" ht="15" customHeight="1" x14ac:dyDescent="0.3">
      <c r="B23" s="133"/>
      <c r="C23" s="390"/>
      <c r="D23" s="253"/>
      <c r="E23" s="7"/>
      <c r="F23" s="7"/>
      <c r="G23" s="7"/>
      <c r="H23" s="7"/>
      <c r="I23" s="7"/>
      <c r="J23" s="7"/>
      <c r="K23" s="21"/>
      <c r="L23" s="7"/>
      <c r="M23" s="7"/>
    </row>
    <row r="24" spans="2:13" ht="18" customHeight="1" x14ac:dyDescent="0.3">
      <c r="B24" s="133"/>
      <c r="C24" s="392" t="s">
        <v>38</v>
      </c>
      <c r="D24" s="393">
        <f>D22*SQRT(E22)</f>
        <v>0.74943581457357111</v>
      </c>
      <c r="E24" s="7"/>
      <c r="F24" s="7"/>
      <c r="G24" s="7"/>
      <c r="H24" s="7"/>
      <c r="I24" s="7"/>
      <c r="J24" s="7"/>
      <c r="K24" s="21"/>
      <c r="L24" s="7"/>
      <c r="M24" s="7"/>
    </row>
    <row r="25" spans="2:13" ht="15" customHeight="1" thickBot="1" x14ac:dyDescent="0.35">
      <c r="B25" s="134"/>
      <c r="C25" s="394"/>
      <c r="D25" s="121"/>
      <c r="E25" s="395"/>
      <c r="F25" s="135"/>
      <c r="G25" s="135"/>
      <c r="H25" s="135"/>
      <c r="I25" s="135"/>
      <c r="J25" s="135"/>
      <c r="K25" s="136"/>
      <c r="L25" s="7"/>
      <c r="M25" s="7"/>
    </row>
    <row r="26" spans="2:13" ht="15" customHeight="1" x14ac:dyDescent="0.3">
      <c r="C26" s="7"/>
      <c r="D26" s="254"/>
      <c r="E26" s="254"/>
      <c r="F26" s="254"/>
      <c r="G26" s="7"/>
      <c r="H26" s="7"/>
      <c r="I26" s="7"/>
      <c r="J26" s="7"/>
      <c r="K26" s="7"/>
      <c r="L26" s="7"/>
      <c r="M26" s="7"/>
    </row>
    <row r="27" spans="2:13" ht="15" customHeight="1" thickBot="1" x14ac:dyDescent="0.35">
      <c r="C27" s="7"/>
      <c r="D27" s="254"/>
      <c r="E27" s="254"/>
      <c r="F27" s="254"/>
      <c r="G27" s="7"/>
      <c r="H27" s="7"/>
      <c r="I27" s="7"/>
      <c r="J27" s="7"/>
      <c r="K27" s="7"/>
      <c r="L27" s="7"/>
      <c r="M27" s="7"/>
    </row>
    <row r="28" spans="2:13" ht="18" customHeight="1" thickBot="1" x14ac:dyDescent="0.35">
      <c r="B28" s="396" t="s">
        <v>137</v>
      </c>
      <c r="C28" s="388" t="str">
        <f>Summary!D9&amp;" µg/L"</f>
        <v>50 µg/L</v>
      </c>
      <c r="D28" s="323"/>
      <c r="E28" s="323"/>
      <c r="F28" s="16"/>
      <c r="G28" s="16"/>
      <c r="H28" s="16"/>
      <c r="I28" s="16"/>
      <c r="J28" s="16"/>
      <c r="K28" s="143"/>
      <c r="L28" s="7"/>
    </row>
    <row r="29" spans="2:13" ht="15" customHeight="1" x14ac:dyDescent="0.3">
      <c r="B29" s="133"/>
      <c r="C29" s="187" t="s">
        <v>38</v>
      </c>
      <c r="D29" s="253">
        <f>Summary!D9</f>
        <v>50</v>
      </c>
      <c r="E29" s="391">
        <f>'Precision Uncertainty'!M20^2</f>
        <v>2.3171497831848346E-4</v>
      </c>
      <c r="F29" s="18" t="s">
        <v>28</v>
      </c>
      <c r="G29" s="16">
        <f>'Calibration and Measurement'!H97</f>
        <v>4.5861097641553498E-3</v>
      </c>
      <c r="H29" s="18" t="s">
        <v>28</v>
      </c>
      <c r="I29" s="16">
        <f>'Std Solution &amp; Spike Prep'!Q17</f>
        <v>2.7039999999999999E-5</v>
      </c>
      <c r="J29" s="7"/>
      <c r="K29" s="397"/>
      <c r="L29" s="7"/>
    </row>
    <row r="30" spans="2:13" ht="15" customHeight="1" thickBot="1" x14ac:dyDescent="0.35">
      <c r="B30" s="133"/>
      <c r="C30" s="7"/>
      <c r="D30" s="253"/>
      <c r="E30" s="7"/>
      <c r="F30" s="7"/>
      <c r="G30" s="7"/>
      <c r="H30" s="7"/>
      <c r="I30" s="7"/>
      <c r="J30" s="7"/>
      <c r="K30" s="21"/>
      <c r="L30" s="7"/>
    </row>
    <row r="31" spans="2:13" ht="15" customHeight="1" x14ac:dyDescent="0.3">
      <c r="B31" s="133"/>
      <c r="C31" s="187" t="s">
        <v>38</v>
      </c>
      <c r="D31" s="253">
        <f>D29</f>
        <v>50</v>
      </c>
      <c r="E31" s="391">
        <f>E29+G29+I29</f>
        <v>4.8448647424738332E-3</v>
      </c>
      <c r="F31" s="7"/>
      <c r="G31" s="7"/>
      <c r="H31" s="7"/>
      <c r="I31" s="7"/>
      <c r="J31" s="7"/>
      <c r="K31" s="21"/>
      <c r="L31" s="7"/>
    </row>
    <row r="32" spans="2:13" ht="15" customHeight="1" x14ac:dyDescent="0.3">
      <c r="B32" s="133"/>
      <c r="C32" s="7"/>
      <c r="D32" s="253"/>
      <c r="E32" s="7"/>
      <c r="F32" s="7"/>
      <c r="G32" s="7"/>
      <c r="H32" s="7"/>
      <c r="I32" s="7"/>
      <c r="J32" s="7"/>
      <c r="K32" s="21"/>
      <c r="L32" s="7"/>
    </row>
    <row r="33" spans="2:12" ht="18" customHeight="1" x14ac:dyDescent="0.3">
      <c r="B33" s="133"/>
      <c r="C33" s="398" t="s">
        <v>38</v>
      </c>
      <c r="D33" s="393">
        <f>D31*SQRT(E31)</f>
        <v>3.4802531310501803</v>
      </c>
      <c r="E33" s="171"/>
      <c r="F33" s="7"/>
      <c r="G33" s="7"/>
      <c r="H33" s="7"/>
      <c r="I33" s="7"/>
      <c r="J33" s="7"/>
      <c r="K33" s="21"/>
      <c r="L33" s="7"/>
    </row>
    <row r="34" spans="2:12" ht="15" customHeight="1" thickBot="1" x14ac:dyDescent="0.35">
      <c r="B34" s="134"/>
      <c r="C34" s="395"/>
      <c r="D34" s="121"/>
      <c r="E34" s="395"/>
      <c r="F34" s="135"/>
      <c r="G34" s="135"/>
      <c r="H34" s="135"/>
      <c r="I34" s="135"/>
      <c r="J34" s="135"/>
      <c r="K34" s="136"/>
      <c r="L34" s="7"/>
    </row>
    <row r="35" spans="2:12" ht="15" customHeight="1" x14ac:dyDescent="0.3">
      <c r="B35" s="7"/>
      <c r="C35" s="171"/>
      <c r="D35" s="254"/>
      <c r="E35" s="171"/>
      <c r="F35" s="7"/>
      <c r="G35" s="7"/>
      <c r="H35" s="7"/>
      <c r="I35" s="7"/>
      <c r="J35" s="7"/>
      <c r="K35" s="7"/>
      <c r="L35" s="7"/>
    </row>
    <row r="36" spans="2:12" ht="15" customHeight="1" thickBot="1" x14ac:dyDescent="0.35">
      <c r="B36" s="7"/>
      <c r="C36" s="171"/>
      <c r="D36" s="254"/>
      <c r="E36" s="171"/>
      <c r="F36" s="7"/>
      <c r="G36" s="7"/>
      <c r="H36" s="7"/>
      <c r="I36" s="7"/>
      <c r="J36" s="7"/>
      <c r="K36" s="7"/>
      <c r="L36" s="7"/>
    </row>
    <row r="37" spans="2:12" ht="18" customHeight="1" thickBot="1" x14ac:dyDescent="0.35">
      <c r="B37" s="396" t="s">
        <v>137</v>
      </c>
      <c r="C37" s="388" t="str">
        <f>Summary!E9&amp;" µg/L"</f>
        <v>140 µg/L</v>
      </c>
      <c r="D37" s="323"/>
      <c r="E37" s="323"/>
      <c r="F37" s="16"/>
      <c r="G37" s="16"/>
      <c r="H37" s="16"/>
      <c r="I37" s="16"/>
      <c r="J37" s="16"/>
      <c r="K37" s="143"/>
      <c r="L37" s="7"/>
    </row>
    <row r="38" spans="2:12" ht="15" customHeight="1" x14ac:dyDescent="0.3">
      <c r="B38" s="133"/>
      <c r="C38" s="187" t="s">
        <v>38</v>
      </c>
      <c r="D38" s="253">
        <f>Summary!E9</f>
        <v>140</v>
      </c>
      <c r="E38" s="391">
        <f>'Precision Uncertainty'!M35^2</f>
        <v>1.4348926015890742E-4</v>
      </c>
      <c r="F38" s="18" t="s">
        <v>28</v>
      </c>
      <c r="G38" s="16">
        <f>'Calibration and Measurement'!L97</f>
        <v>4.589642353691371E-3</v>
      </c>
      <c r="H38" s="18" t="s">
        <v>28</v>
      </c>
      <c r="I38" s="16">
        <f>'Std Solution &amp; Spike Prep'!Q17</f>
        <v>2.7039999999999999E-5</v>
      </c>
      <c r="J38" s="7"/>
      <c r="K38" s="397"/>
      <c r="L38" s="7"/>
    </row>
    <row r="39" spans="2:12" ht="15" customHeight="1" thickBot="1" x14ac:dyDescent="0.35">
      <c r="B39" s="133"/>
      <c r="C39" s="7"/>
      <c r="D39" s="253"/>
      <c r="E39" s="7"/>
      <c r="F39" s="7"/>
      <c r="G39" s="7"/>
      <c r="H39" s="7"/>
      <c r="I39" s="7"/>
      <c r="J39" s="7"/>
      <c r="K39" s="21"/>
      <c r="L39" s="7"/>
    </row>
    <row r="40" spans="2:12" ht="15" customHeight="1" x14ac:dyDescent="0.3">
      <c r="B40" s="133"/>
      <c r="C40" s="187" t="s">
        <v>38</v>
      </c>
      <c r="D40" s="253">
        <f>D38</f>
        <v>140</v>
      </c>
      <c r="E40" s="391">
        <f>E38+G38+I38</f>
        <v>4.7601716138502784E-3</v>
      </c>
      <c r="F40" s="7"/>
      <c r="G40" s="7"/>
      <c r="H40" s="7"/>
      <c r="I40" s="7"/>
      <c r="J40" s="7"/>
      <c r="K40" s="21"/>
    </row>
    <row r="41" spans="2:12" ht="15" customHeight="1" x14ac:dyDescent="0.3">
      <c r="B41" s="133"/>
      <c r="C41" s="7"/>
      <c r="D41" s="253"/>
      <c r="E41" s="7"/>
      <c r="F41" s="7"/>
      <c r="G41" s="7"/>
      <c r="H41" s="7"/>
      <c r="I41" s="7"/>
      <c r="J41" s="7"/>
      <c r="K41" s="21"/>
    </row>
    <row r="42" spans="2:12" ht="18" customHeight="1" x14ac:dyDescent="0.3">
      <c r="B42" s="133"/>
      <c r="C42" s="398" t="s">
        <v>38</v>
      </c>
      <c r="D42" s="393">
        <f>D40*SQRT(E40)</f>
        <v>9.6591595716949143</v>
      </c>
      <c r="E42" s="171"/>
      <c r="F42" s="7"/>
      <c r="G42" s="7"/>
      <c r="H42" s="7"/>
      <c r="I42" s="7"/>
      <c r="J42" s="7"/>
      <c r="K42" s="21"/>
    </row>
    <row r="43" spans="2:12" ht="15" customHeight="1" thickBot="1" x14ac:dyDescent="0.35">
      <c r="B43" s="134"/>
      <c r="C43" s="395"/>
      <c r="D43" s="121"/>
      <c r="E43" s="395"/>
      <c r="F43" s="135"/>
      <c r="G43" s="135"/>
      <c r="H43" s="135"/>
      <c r="I43" s="135"/>
      <c r="J43" s="135"/>
      <c r="K43" s="136"/>
    </row>
    <row r="44" spans="2:12" ht="15" customHeight="1" x14ac:dyDescent="0.3">
      <c r="D44" s="251"/>
    </row>
    <row r="45" spans="2:12" ht="15" customHeight="1" x14ac:dyDescent="0.3"/>
    <row r="46" spans="2:12" ht="15" customHeight="1" x14ac:dyDescent="0.3"/>
    <row r="47" spans="2:12" ht="15" customHeight="1" x14ac:dyDescent="0.3"/>
    <row r="48" spans="2:12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2"/>
  <sheetViews>
    <sheetView showGridLines="0" topLeftCell="A34" workbookViewId="0">
      <selection activeCell="R7" sqref="R7"/>
    </sheetView>
  </sheetViews>
  <sheetFormatPr defaultColWidth="9.109375" defaultRowHeight="15" customHeight="1" x14ac:dyDescent="0.3"/>
  <cols>
    <col min="1" max="1" width="1.6640625" style="12" customWidth="1"/>
    <col min="2" max="2" width="9.109375" style="12"/>
    <col min="3" max="4" width="9.109375" style="12" customWidth="1"/>
    <col min="5" max="5" width="15.6640625" style="12" customWidth="1"/>
    <col min="6" max="6" width="9.109375" style="12" customWidth="1"/>
    <col min="7" max="7" width="10.6640625" style="12" customWidth="1"/>
    <col min="8" max="8" width="5.6640625" style="12" customWidth="1"/>
    <col min="9" max="9" width="10.6640625" style="12" customWidth="1"/>
    <col min="10" max="10" width="5.6640625" style="12" customWidth="1"/>
    <col min="11" max="11" width="10.6640625" style="12" customWidth="1"/>
    <col min="12" max="12" width="5.6640625" style="12" customWidth="1"/>
    <col min="13" max="13" width="10.6640625" style="12" customWidth="1"/>
    <col min="14" max="14" width="9.109375" style="12" customWidth="1"/>
    <col min="15" max="15" width="9.109375" style="12"/>
    <col min="16" max="16" width="12" style="12" bestFit="1" customWidth="1"/>
    <col min="17" max="17" width="6.109375" style="12" customWidth="1"/>
    <col min="18" max="16384" width="9.109375" style="12"/>
  </cols>
  <sheetData>
    <row r="2" spans="2:25" ht="18.75" customHeight="1" x14ac:dyDescent="0.35">
      <c r="B2" s="381" t="s">
        <v>138</v>
      </c>
      <c r="F2" s="382" t="str">
        <f>"- "&amp;Summary!C4</f>
        <v>-   Cocaine</v>
      </c>
    </row>
    <row r="3" spans="2:25" ht="15" customHeight="1" thickBot="1" x14ac:dyDescent="0.35"/>
    <row r="4" spans="2:25" ht="18.75" customHeight="1" x14ac:dyDescent="0.45">
      <c r="B4" s="168" t="s">
        <v>139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43"/>
    </row>
    <row r="5" spans="2:25" ht="15" customHeight="1" x14ac:dyDescent="0.3">
      <c r="B5" s="211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3"/>
      <c r="R5" s="187"/>
      <c r="S5" s="187"/>
      <c r="T5" s="187"/>
      <c r="U5" s="187"/>
      <c r="V5" s="187"/>
    </row>
    <row r="6" spans="2:25" s="53" customFormat="1" ht="15" customHeight="1" x14ac:dyDescent="0.35">
      <c r="B6" s="788" t="s">
        <v>140</v>
      </c>
      <c r="C6" s="786"/>
      <c r="D6" s="786"/>
      <c r="E6" s="786"/>
      <c r="F6" s="786"/>
      <c r="G6" s="793" t="s">
        <v>244</v>
      </c>
      <c r="H6" s="793"/>
      <c r="I6" s="793"/>
      <c r="J6" s="793"/>
      <c r="K6" s="793"/>
      <c r="L6" s="793"/>
      <c r="M6" s="793"/>
      <c r="N6" s="213"/>
      <c r="R6" s="187"/>
      <c r="S6" s="187"/>
      <c r="T6" s="187"/>
      <c r="U6" s="187"/>
      <c r="V6" s="187"/>
      <c r="W6" s="184"/>
      <c r="X6" s="184"/>
      <c r="Y6" s="184"/>
    </row>
    <row r="7" spans="2:25" ht="15" customHeight="1" x14ac:dyDescent="0.3">
      <c r="B7" s="788"/>
      <c r="C7" s="786"/>
      <c r="D7" s="786"/>
      <c r="E7" s="786"/>
      <c r="F7" s="786"/>
      <c r="G7" s="794" t="s">
        <v>169</v>
      </c>
      <c r="H7" s="794"/>
      <c r="I7" s="794"/>
      <c r="J7" s="794"/>
      <c r="K7" s="794"/>
      <c r="L7" s="794"/>
      <c r="M7" s="794"/>
      <c r="N7" s="213"/>
      <c r="R7" s="187"/>
      <c r="S7" s="187"/>
      <c r="T7" s="187"/>
      <c r="U7" s="187"/>
      <c r="V7" s="187"/>
      <c r="W7" s="191"/>
      <c r="X7" s="190"/>
      <c r="Y7" s="7"/>
    </row>
    <row r="8" spans="2:25" ht="15" customHeight="1" x14ac:dyDescent="0.3">
      <c r="B8" s="378"/>
      <c r="C8" s="377"/>
      <c r="D8" s="377"/>
      <c r="E8" s="377"/>
      <c r="F8" s="377"/>
      <c r="G8" s="376"/>
      <c r="H8" s="376"/>
      <c r="I8" s="376"/>
      <c r="J8" s="376"/>
      <c r="K8" s="376"/>
      <c r="L8" s="376"/>
      <c r="M8" s="376"/>
      <c r="N8" s="213"/>
      <c r="R8" s="187"/>
      <c r="S8" s="187"/>
      <c r="T8" s="187"/>
      <c r="U8" s="187"/>
      <c r="V8" s="187"/>
      <c r="W8" s="191"/>
      <c r="X8" s="190"/>
      <c r="Y8" s="7"/>
    </row>
    <row r="9" spans="2:25" ht="15" customHeight="1" x14ac:dyDescent="0.3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3"/>
      <c r="R9" s="187"/>
      <c r="S9" s="187"/>
      <c r="T9" s="187"/>
      <c r="U9" s="187"/>
      <c r="V9" s="187"/>
      <c r="W9" s="193"/>
      <c r="X9" s="192"/>
      <c r="Y9" s="7"/>
    </row>
    <row r="10" spans="2:25" ht="15" customHeight="1" x14ac:dyDescent="0.3">
      <c r="B10" s="211"/>
      <c r="F10" s="786" t="s">
        <v>39</v>
      </c>
      <c r="G10" s="793" t="s">
        <v>245</v>
      </c>
      <c r="H10" s="793"/>
      <c r="I10" s="793"/>
      <c r="J10" s="793"/>
      <c r="K10" s="793"/>
      <c r="L10" s="793"/>
      <c r="M10" s="793"/>
      <c r="N10" s="213"/>
    </row>
    <row r="11" spans="2:25" ht="15" customHeight="1" x14ac:dyDescent="0.35">
      <c r="B11" s="211"/>
      <c r="F11" s="786"/>
      <c r="G11" s="321" t="s">
        <v>156</v>
      </c>
      <c r="H11" s="786" t="s">
        <v>28</v>
      </c>
      <c r="I11" s="321" t="s">
        <v>157</v>
      </c>
      <c r="J11" s="795" t="s">
        <v>28</v>
      </c>
      <c r="K11" s="321" t="s">
        <v>159</v>
      </c>
      <c r="L11" s="399" t="s">
        <v>28</v>
      </c>
      <c r="M11" s="321" t="s">
        <v>168</v>
      </c>
      <c r="N11" s="213"/>
    </row>
    <row r="12" spans="2:25" s="53" customFormat="1" ht="15" customHeight="1" x14ac:dyDescent="0.35">
      <c r="B12" s="211"/>
      <c r="F12" s="331"/>
      <c r="G12" s="400" t="s">
        <v>160</v>
      </c>
      <c r="H12" s="786"/>
      <c r="I12" s="400" t="s">
        <v>158</v>
      </c>
      <c r="J12" s="786"/>
      <c r="K12" s="431" t="s">
        <v>162</v>
      </c>
      <c r="L12" s="399"/>
      <c r="M12" s="254" t="s">
        <v>143</v>
      </c>
      <c r="N12" s="213"/>
    </row>
    <row r="13" spans="2:25" ht="15" customHeight="1" x14ac:dyDescent="0.3">
      <c r="B13" s="211"/>
      <c r="C13" s="255"/>
      <c r="D13" s="401"/>
      <c r="E13" s="255"/>
      <c r="F13" s="35"/>
      <c r="G13" s="212"/>
      <c r="H13" s="35"/>
      <c r="I13" s="35"/>
      <c r="J13" s="35"/>
      <c r="K13" s="212"/>
      <c r="L13" s="212"/>
      <c r="M13" s="212"/>
      <c r="N13" s="213"/>
    </row>
    <row r="14" spans="2:25" ht="15" customHeight="1" thickBot="1" x14ac:dyDescent="0.35">
      <c r="B14" s="215"/>
      <c r="C14" s="216"/>
      <c r="D14" s="216"/>
      <c r="E14" s="216"/>
      <c r="F14" s="216"/>
      <c r="G14" s="216"/>
      <c r="H14" s="216"/>
      <c r="I14" s="216"/>
      <c r="J14" s="216"/>
      <c r="K14" s="216"/>
      <c r="L14" s="216"/>
      <c r="M14" s="216"/>
      <c r="N14" s="217"/>
    </row>
    <row r="15" spans="2:25" ht="5.0999999999999996" customHeight="1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25" ht="15" customHeight="1" x14ac:dyDescent="0.35">
      <c r="B16" s="12" t="s">
        <v>163</v>
      </c>
    </row>
    <row r="18" spans="3:16" ht="15" customHeight="1" thickBot="1" x14ac:dyDescent="0.35"/>
    <row r="19" spans="3:16" ht="18" customHeight="1" x14ac:dyDescent="0.3">
      <c r="E19" s="396" t="s">
        <v>137</v>
      </c>
      <c r="F19" s="402" t="str">
        <f>Summary!C9&amp;" ug/L"</f>
        <v>10 ug/L</v>
      </c>
      <c r="G19" s="16"/>
      <c r="H19" s="16"/>
      <c r="I19" s="16"/>
      <c r="J19" s="16"/>
      <c r="K19" s="16"/>
      <c r="L19" s="16"/>
      <c r="M19" s="16"/>
      <c r="N19" s="143"/>
    </row>
    <row r="20" spans="3:16" ht="15" customHeight="1" x14ac:dyDescent="0.3">
      <c r="D20" s="275"/>
      <c r="E20" s="211"/>
      <c r="F20" s="792" t="s">
        <v>141</v>
      </c>
      <c r="G20" s="790">
        <f>('Combined UM'!D24/Summary!C9)^4</f>
        <v>3.154552608342875E-5</v>
      </c>
      <c r="H20" s="790"/>
      <c r="I20" s="790"/>
      <c r="J20" s="790"/>
      <c r="K20" s="790"/>
      <c r="L20" s="790"/>
      <c r="M20" s="790"/>
      <c r="N20" s="21"/>
    </row>
    <row r="21" spans="3:16" ht="15" customHeight="1" x14ac:dyDescent="0.3">
      <c r="D21" s="275"/>
      <c r="E21" s="211"/>
      <c r="F21" s="792"/>
      <c r="G21" s="404">
        <f>'Precision Uncertainty'!M5^4</f>
        <v>1.04544658227005E-6</v>
      </c>
      <c r="H21" s="399" t="s">
        <v>28</v>
      </c>
      <c r="I21" s="403">
        <v>0</v>
      </c>
      <c r="J21" s="403" t="s">
        <v>28</v>
      </c>
      <c r="K21" s="404">
        <f>'Calibration and Measurement'!D83^4</f>
        <v>8.6387178167400902E-6</v>
      </c>
      <c r="L21" s="399" t="s">
        <v>28</v>
      </c>
      <c r="M21" s="399">
        <v>0</v>
      </c>
      <c r="N21" s="21"/>
    </row>
    <row r="22" spans="3:16" ht="15" customHeight="1" x14ac:dyDescent="0.3">
      <c r="D22" s="275"/>
      <c r="E22" s="211"/>
      <c r="F22" s="405"/>
      <c r="G22" s="204">
        <f>'Precision Uncertainty'!G16</f>
        <v>11</v>
      </c>
      <c r="H22" s="399"/>
      <c r="I22" s="403"/>
      <c r="J22" s="403"/>
      <c r="K22" s="406">
        <f>'Calibration and Measurement'!K28</f>
        <v>6</v>
      </c>
      <c r="L22" s="399"/>
      <c r="M22" s="399"/>
      <c r="N22" s="21"/>
    </row>
    <row r="23" spans="3:16" ht="15" customHeight="1" x14ac:dyDescent="0.3">
      <c r="D23" s="275"/>
      <c r="E23" s="211"/>
      <c r="F23" s="212"/>
      <c r="G23" s="212"/>
      <c r="H23" s="212"/>
      <c r="I23" s="212"/>
      <c r="J23" s="212"/>
      <c r="K23" s="212"/>
      <c r="L23" s="212"/>
      <c r="M23" s="212"/>
      <c r="N23" s="21"/>
    </row>
    <row r="24" spans="3:16" ht="15" customHeight="1" x14ac:dyDescent="0.3">
      <c r="D24" s="275"/>
      <c r="E24" s="211"/>
      <c r="F24" s="792" t="s">
        <v>141</v>
      </c>
      <c r="G24" s="407">
        <f>G20</f>
        <v>3.154552608342875E-5</v>
      </c>
      <c r="H24" s="204"/>
      <c r="I24" s="204"/>
      <c r="J24" s="204"/>
      <c r="K24" s="204"/>
      <c r="L24" s="212"/>
      <c r="M24" s="212"/>
      <c r="N24" s="21"/>
    </row>
    <row r="25" spans="3:16" ht="15" customHeight="1" x14ac:dyDescent="0.3">
      <c r="D25" s="275"/>
      <c r="E25" s="211"/>
      <c r="F25" s="792"/>
      <c r="G25" s="204">
        <f>(G21/G22)+(K21/K22)</f>
        <v>1.5348269011782013E-6</v>
      </c>
      <c r="H25" s="204"/>
      <c r="I25" s="204"/>
      <c r="J25" s="204"/>
      <c r="K25" s="204"/>
      <c r="L25" s="212"/>
      <c r="M25" s="212"/>
      <c r="N25" s="21"/>
    </row>
    <row r="26" spans="3:16" ht="15" customHeight="1" x14ac:dyDescent="0.3">
      <c r="D26" s="275"/>
      <c r="E26" s="211"/>
      <c r="F26" s="212"/>
      <c r="G26" s="212"/>
      <c r="H26" s="212"/>
      <c r="I26" s="212"/>
      <c r="J26" s="212"/>
      <c r="K26" s="212"/>
      <c r="L26" s="212"/>
      <c r="M26" s="212"/>
      <c r="N26" s="21"/>
    </row>
    <row r="27" spans="3:16" ht="18" customHeight="1" x14ac:dyDescent="0.3">
      <c r="D27" s="275"/>
      <c r="E27" s="211"/>
      <c r="F27" s="408" t="s">
        <v>39</v>
      </c>
      <c r="G27" s="409">
        <f>G24/G25</f>
        <v>20.553149061443349</v>
      </c>
      <c r="H27" s="204"/>
      <c r="I27" s="204"/>
      <c r="J27" s="204"/>
      <c r="K27" s="204"/>
      <c r="L27" s="212"/>
      <c r="M27" s="212"/>
      <c r="N27" s="21"/>
    </row>
    <row r="28" spans="3:16" ht="15" customHeight="1" thickBot="1" x14ac:dyDescent="0.35">
      <c r="C28" s="250"/>
      <c r="D28" s="277"/>
      <c r="E28" s="410"/>
      <c r="F28" s="411"/>
      <c r="G28" s="216"/>
      <c r="H28" s="216"/>
      <c r="I28" s="216"/>
      <c r="J28" s="216"/>
      <c r="K28" s="216"/>
      <c r="L28" s="216"/>
      <c r="M28" s="412"/>
      <c r="N28" s="340"/>
      <c r="O28" s="252"/>
      <c r="P28" s="252"/>
    </row>
    <row r="29" spans="3:16" ht="15" customHeight="1" x14ac:dyDescent="0.3">
      <c r="C29" s="250"/>
      <c r="D29" s="277"/>
      <c r="E29" s="277"/>
      <c r="F29" s="277"/>
      <c r="G29" s="275"/>
      <c r="H29" s="275"/>
      <c r="I29" s="275"/>
      <c r="J29" s="275"/>
      <c r="K29" s="275"/>
      <c r="L29" s="275"/>
      <c r="M29" s="413"/>
      <c r="N29" s="252"/>
      <c r="O29" s="252"/>
      <c r="P29" s="252"/>
    </row>
    <row r="30" spans="3:16" ht="15" customHeight="1" thickBot="1" x14ac:dyDescent="0.35"/>
    <row r="31" spans="3:16" ht="18" customHeight="1" x14ac:dyDescent="0.3">
      <c r="E31" s="396" t="s">
        <v>137</v>
      </c>
      <c r="F31" s="402" t="str">
        <f>Summary!D9&amp;" ug/L"</f>
        <v>50 ug/L</v>
      </c>
      <c r="G31" s="16"/>
      <c r="H31" s="16"/>
      <c r="I31" s="16"/>
      <c r="J31" s="16"/>
      <c r="K31" s="16"/>
      <c r="L31" s="16"/>
      <c r="M31" s="16"/>
      <c r="N31" s="143"/>
    </row>
    <row r="32" spans="3:16" ht="15" customHeight="1" x14ac:dyDescent="0.3">
      <c r="E32" s="211"/>
      <c r="F32" s="789" t="s">
        <v>142</v>
      </c>
      <c r="G32" s="790">
        <f>('Combined UM'!D33/Summary!D9)^4</f>
        <v>2.3472714372866043E-5</v>
      </c>
      <c r="H32" s="790"/>
      <c r="I32" s="790"/>
      <c r="J32" s="790"/>
      <c r="K32" s="790"/>
      <c r="L32" s="790"/>
      <c r="M32" s="790"/>
      <c r="N32" s="213"/>
    </row>
    <row r="33" spans="3:18" ht="15" customHeight="1" x14ac:dyDescent="0.3">
      <c r="E33" s="211"/>
      <c r="F33" s="789"/>
      <c r="G33" s="404">
        <f>'Precision Uncertainty'!M20^4</f>
        <v>5.369183117713526E-8</v>
      </c>
      <c r="H33" s="399" t="s">
        <v>28</v>
      </c>
      <c r="I33" s="403">
        <v>0</v>
      </c>
      <c r="J33" s="403" t="s">
        <v>28</v>
      </c>
      <c r="K33" s="404">
        <f>'Calibration and Measurement'!H83^4</f>
        <v>8.7512416671251845E-6</v>
      </c>
      <c r="L33" s="399" t="s">
        <v>28</v>
      </c>
      <c r="M33" s="399">
        <v>0</v>
      </c>
      <c r="N33" s="213"/>
    </row>
    <row r="34" spans="3:18" ht="15" customHeight="1" x14ac:dyDescent="0.3">
      <c r="E34" s="211"/>
      <c r="F34" s="414"/>
      <c r="G34" s="204">
        <f>'Precision Uncertainty'!G31</f>
        <v>11</v>
      </c>
      <c r="H34" s="399"/>
      <c r="I34" s="403"/>
      <c r="J34" s="403"/>
      <c r="K34" s="406">
        <f>'Calibration and Measurement'!K28</f>
        <v>6</v>
      </c>
      <c r="L34" s="399"/>
      <c r="M34" s="399"/>
      <c r="N34" s="213"/>
    </row>
    <row r="35" spans="3:18" ht="15" customHeight="1" x14ac:dyDescent="0.3">
      <c r="E35" s="211"/>
      <c r="F35" s="212"/>
      <c r="G35" s="212"/>
      <c r="H35" s="212"/>
      <c r="I35" s="212"/>
      <c r="J35" s="212"/>
      <c r="K35" s="212"/>
      <c r="L35" s="212"/>
      <c r="M35" s="212"/>
      <c r="N35" s="213"/>
    </row>
    <row r="36" spans="3:18" ht="15" customHeight="1" x14ac:dyDescent="0.3">
      <c r="E36" s="211"/>
      <c r="F36" s="789" t="s">
        <v>142</v>
      </c>
      <c r="G36" s="407">
        <f>G32</f>
        <v>2.3472714372866043E-5</v>
      </c>
      <c r="H36" s="204"/>
      <c r="I36" s="204"/>
      <c r="J36" s="204"/>
      <c r="K36" s="204"/>
      <c r="L36" s="212"/>
      <c r="M36" s="212"/>
      <c r="N36" s="213"/>
    </row>
    <row r="37" spans="3:18" ht="15" customHeight="1" x14ac:dyDescent="0.3">
      <c r="E37" s="211"/>
      <c r="F37" s="789"/>
      <c r="G37" s="204">
        <f>(G33/G34)+(K33/K34)</f>
        <v>1.463421353415755E-6</v>
      </c>
      <c r="H37" s="204"/>
      <c r="I37" s="204"/>
      <c r="J37" s="204"/>
      <c r="K37" s="204"/>
      <c r="L37" s="212"/>
      <c r="M37" s="212"/>
      <c r="N37" s="213"/>
    </row>
    <row r="38" spans="3:18" ht="15" customHeight="1" x14ac:dyDescent="0.3">
      <c r="E38" s="211"/>
      <c r="F38" s="212"/>
      <c r="G38" s="212"/>
      <c r="H38" s="212"/>
      <c r="I38" s="212"/>
      <c r="J38" s="212"/>
      <c r="K38" s="212"/>
      <c r="L38" s="212"/>
      <c r="M38" s="212"/>
      <c r="N38" s="213"/>
    </row>
    <row r="39" spans="3:18" ht="18" customHeight="1" x14ac:dyDescent="0.3">
      <c r="E39" s="211"/>
      <c r="F39" s="408" t="s">
        <v>39</v>
      </c>
      <c r="G39" s="409">
        <f>G36/G37</f>
        <v>16.039614508889493</v>
      </c>
      <c r="H39" s="204"/>
      <c r="I39" s="204"/>
      <c r="J39" s="204"/>
      <c r="K39" s="204"/>
      <c r="L39" s="212"/>
      <c r="M39" s="212"/>
      <c r="N39" s="208"/>
      <c r="O39" s="254"/>
      <c r="P39" s="254"/>
      <c r="Q39" s="7"/>
      <c r="R39" s="7"/>
    </row>
    <row r="40" spans="3:18" ht="15" customHeight="1" thickBot="1" x14ac:dyDescent="0.35">
      <c r="C40" s="250"/>
      <c r="D40" s="252"/>
      <c r="E40" s="410"/>
      <c r="F40" s="411"/>
      <c r="G40" s="216"/>
      <c r="H40" s="216"/>
      <c r="I40" s="216"/>
      <c r="J40" s="216"/>
      <c r="K40" s="216"/>
      <c r="L40" s="216"/>
      <c r="M40" s="412"/>
      <c r="N40" s="415"/>
      <c r="O40" s="254"/>
      <c r="P40" s="254"/>
      <c r="Q40" s="7"/>
      <c r="R40" s="7"/>
    </row>
    <row r="41" spans="3:18" ht="15" customHeight="1" x14ac:dyDescent="0.3">
      <c r="C41" s="250"/>
      <c r="D41" s="252"/>
      <c r="E41" s="254"/>
      <c r="F41" s="254"/>
      <c r="G41" s="7"/>
      <c r="H41" s="7"/>
      <c r="I41" s="7"/>
      <c r="J41" s="7"/>
      <c r="K41" s="7"/>
      <c r="L41" s="7"/>
      <c r="M41" s="255"/>
      <c r="N41" s="254"/>
      <c r="O41" s="254"/>
      <c r="P41" s="254"/>
      <c r="Q41" s="7"/>
      <c r="R41" s="7"/>
    </row>
    <row r="42" spans="3:18" ht="15" customHeight="1" thickBot="1" x14ac:dyDescent="0.35">
      <c r="C42" s="250"/>
      <c r="D42" s="252"/>
      <c r="E42" s="252"/>
      <c r="F42" s="252"/>
      <c r="L42" s="7"/>
      <c r="M42" s="255"/>
      <c r="N42" s="171"/>
      <c r="O42" s="171"/>
      <c r="P42" s="171"/>
      <c r="Q42" s="171"/>
      <c r="R42" s="7"/>
    </row>
    <row r="43" spans="3:18" ht="18" customHeight="1" x14ac:dyDescent="0.3">
      <c r="E43" s="396" t="s">
        <v>137</v>
      </c>
      <c r="F43" s="402" t="str">
        <f>Summary!E9&amp;" ug/L"</f>
        <v>140 ug/L</v>
      </c>
      <c r="G43" s="16"/>
      <c r="H43" s="16"/>
      <c r="I43" s="16"/>
      <c r="J43" s="16"/>
      <c r="K43" s="16"/>
      <c r="L43" s="16"/>
      <c r="M43" s="16"/>
      <c r="N43" s="416"/>
      <c r="O43" s="171"/>
      <c r="P43" s="171"/>
      <c r="Q43" s="171"/>
      <c r="R43" s="7"/>
    </row>
    <row r="44" spans="3:18" ht="15" customHeight="1" x14ac:dyDescent="0.3">
      <c r="E44" s="211"/>
      <c r="F44" s="789" t="s">
        <v>142</v>
      </c>
      <c r="G44" s="790">
        <f>('Combined UM'!D42/Summary!E9)^4</f>
        <v>2.2659233793305971E-5</v>
      </c>
      <c r="H44" s="790"/>
      <c r="I44" s="790"/>
      <c r="J44" s="790"/>
      <c r="K44" s="790"/>
      <c r="L44" s="790"/>
      <c r="M44" s="790"/>
      <c r="N44" s="417"/>
      <c r="O44" s="171"/>
      <c r="P44" s="171"/>
      <c r="Q44" s="171"/>
      <c r="R44" s="7"/>
    </row>
    <row r="45" spans="3:18" ht="15" customHeight="1" x14ac:dyDescent="0.3">
      <c r="E45" s="211"/>
      <c r="F45" s="789"/>
      <c r="G45" s="418">
        <f>'Precision Uncertainty'!M35^4</f>
        <v>2.0589167780950617E-8</v>
      </c>
      <c r="H45" s="399" t="s">
        <v>28</v>
      </c>
      <c r="I45" s="403">
        <v>0</v>
      </c>
      <c r="J45" s="403" t="s">
        <v>28</v>
      </c>
      <c r="K45" s="194">
        <f>'Calibration and Measurement'!L83^4</f>
        <v>8.7721547106375963E-6</v>
      </c>
      <c r="L45" s="399" t="s">
        <v>28</v>
      </c>
      <c r="M45" s="399">
        <v>0</v>
      </c>
      <c r="N45" s="417"/>
      <c r="O45" s="171"/>
      <c r="P45" s="171"/>
      <c r="Q45" s="171"/>
      <c r="R45" s="791"/>
    </row>
    <row r="46" spans="3:18" ht="15" customHeight="1" x14ac:dyDescent="0.3">
      <c r="E46" s="211"/>
      <c r="F46" s="414"/>
      <c r="G46" s="204">
        <f>'Precision Uncertainty'!G46</f>
        <v>11</v>
      </c>
      <c r="H46" s="399"/>
      <c r="I46" s="403"/>
      <c r="J46" s="403"/>
      <c r="K46" s="406">
        <f>'Calibration and Measurement'!K28</f>
        <v>6</v>
      </c>
      <c r="L46" s="399"/>
      <c r="M46" s="399"/>
      <c r="N46" s="417"/>
      <c r="O46" s="171"/>
      <c r="P46" s="171"/>
      <c r="Q46" s="171"/>
      <c r="R46" s="791"/>
    </row>
    <row r="47" spans="3:18" ht="15" customHeight="1" x14ac:dyDescent="0.3">
      <c r="E47" s="211"/>
      <c r="F47" s="212"/>
      <c r="G47" s="212"/>
      <c r="H47" s="212"/>
      <c r="I47" s="212"/>
      <c r="J47" s="212"/>
      <c r="K47" s="212"/>
      <c r="L47" s="212"/>
      <c r="M47" s="212"/>
      <c r="N47" s="417"/>
      <c r="O47" s="171"/>
      <c r="P47" s="171"/>
      <c r="Q47" s="171"/>
      <c r="R47" s="7"/>
    </row>
    <row r="48" spans="3:18" ht="15" customHeight="1" x14ac:dyDescent="0.3">
      <c r="E48" s="211"/>
      <c r="F48" s="789" t="s">
        <v>142</v>
      </c>
      <c r="G48" s="407">
        <f>G44</f>
        <v>2.2659233793305971E-5</v>
      </c>
      <c r="H48" s="204"/>
      <c r="I48" s="204"/>
      <c r="J48" s="204"/>
      <c r="K48" s="204"/>
      <c r="L48" s="212"/>
      <c r="M48" s="212"/>
      <c r="N48" s="417"/>
      <c r="O48" s="171"/>
      <c r="P48" s="171"/>
      <c r="Q48" s="171"/>
      <c r="R48" s="7"/>
    </row>
    <row r="49" spans="5:18" ht="15" customHeight="1" x14ac:dyDescent="0.3">
      <c r="E49" s="211"/>
      <c r="F49" s="789"/>
      <c r="G49" s="204">
        <f>(G45/G46)+(K45/K46)</f>
        <v>1.4638975276318069E-6</v>
      </c>
      <c r="H49" s="204"/>
      <c r="I49" s="204"/>
      <c r="J49" s="204"/>
      <c r="K49" s="204"/>
      <c r="L49" s="212"/>
      <c r="M49" s="212"/>
      <c r="N49" s="417"/>
      <c r="O49" s="171"/>
      <c r="P49" s="171"/>
      <c r="Q49" s="171"/>
      <c r="R49" s="7"/>
    </row>
    <row r="50" spans="5:18" ht="15" customHeight="1" x14ac:dyDescent="0.3">
      <c r="E50" s="211"/>
      <c r="F50" s="212"/>
      <c r="G50" s="212"/>
      <c r="H50" s="212"/>
      <c r="I50" s="212"/>
      <c r="J50" s="212"/>
      <c r="K50" s="212"/>
      <c r="L50" s="212"/>
      <c r="M50" s="212"/>
      <c r="N50" s="417"/>
      <c r="O50" s="171"/>
      <c r="P50" s="171"/>
      <c r="Q50" s="171"/>
      <c r="R50" s="7"/>
    </row>
    <row r="51" spans="5:18" ht="18" customHeight="1" x14ac:dyDescent="0.3">
      <c r="E51" s="211"/>
      <c r="F51" s="408" t="s">
        <v>39</v>
      </c>
      <c r="G51" s="409">
        <f>G48/G49</f>
        <v>15.478702139734143</v>
      </c>
      <c r="H51" s="204"/>
      <c r="I51" s="204"/>
      <c r="J51" s="204"/>
      <c r="K51" s="204"/>
      <c r="L51" s="212"/>
      <c r="M51" s="212"/>
      <c r="N51" s="417"/>
      <c r="O51" s="171"/>
      <c r="P51" s="171"/>
      <c r="Q51" s="171"/>
      <c r="R51" s="7"/>
    </row>
    <row r="52" spans="5:18" ht="15" customHeight="1" thickBot="1" x14ac:dyDescent="0.35">
      <c r="E52" s="134"/>
      <c r="F52" s="135"/>
      <c r="G52" s="135"/>
      <c r="H52" s="135"/>
      <c r="I52" s="135"/>
      <c r="J52" s="135"/>
      <c r="K52" s="135"/>
      <c r="L52" s="135"/>
      <c r="M52" s="135"/>
      <c r="N52" s="136"/>
    </row>
  </sheetData>
  <mergeCells count="17">
    <mergeCell ref="B6:F7"/>
    <mergeCell ref="G6:M6"/>
    <mergeCell ref="G7:M7"/>
    <mergeCell ref="F10:F11"/>
    <mergeCell ref="G10:M10"/>
    <mergeCell ref="H11:H12"/>
    <mergeCell ref="J11:J12"/>
    <mergeCell ref="F44:F45"/>
    <mergeCell ref="G44:M44"/>
    <mergeCell ref="R45:R46"/>
    <mergeCell ref="F48:F49"/>
    <mergeCell ref="F20:F21"/>
    <mergeCell ref="G20:M20"/>
    <mergeCell ref="F24:F25"/>
    <mergeCell ref="F32:F33"/>
    <mergeCell ref="G32:M32"/>
    <mergeCell ref="F36:F3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showGridLines="0" workbookViewId="0">
      <selection activeCell="N7" sqref="N7"/>
    </sheetView>
  </sheetViews>
  <sheetFormatPr defaultColWidth="9.109375" defaultRowHeight="15" customHeight="1" x14ac:dyDescent="0.3"/>
  <cols>
    <col min="1" max="1" width="1.6640625" style="12" customWidth="1"/>
    <col min="2" max="2" width="15.6640625" style="12" customWidth="1"/>
    <col min="3" max="3" width="9.109375" style="12"/>
    <col min="4" max="4" width="9.109375" style="12" customWidth="1"/>
    <col min="5" max="5" width="15.6640625" style="12" customWidth="1"/>
    <col min="6" max="7" width="9.109375" style="12"/>
    <col min="8" max="8" width="15.6640625" style="12" customWidth="1"/>
    <col min="9" max="16384" width="9.109375" style="12"/>
  </cols>
  <sheetData>
    <row r="2" spans="2:13" ht="18.75" customHeight="1" x14ac:dyDescent="0.35">
      <c r="B2" s="381" t="s">
        <v>144</v>
      </c>
      <c r="E2" s="382" t="str">
        <f>"- "&amp;Summary!C4</f>
        <v>-   Cocaine</v>
      </c>
    </row>
    <row r="3" spans="2:13" ht="15" customHeight="1" thickBot="1" x14ac:dyDescent="0.35"/>
    <row r="4" spans="2:13" s="195" customFormat="1" ht="18.75" customHeight="1" x14ac:dyDescent="0.4">
      <c r="B4" s="168" t="s">
        <v>144</v>
      </c>
      <c r="C4" s="196"/>
      <c r="D4" s="196"/>
      <c r="E4" s="196"/>
      <c r="F4" s="196"/>
      <c r="G4" s="196"/>
      <c r="H4" s="196"/>
      <c r="I4" s="197"/>
    </row>
    <row r="5" spans="2:13" ht="15" customHeight="1" x14ac:dyDescent="0.3">
      <c r="B5" s="211"/>
      <c r="C5" s="212"/>
      <c r="D5" s="212"/>
      <c r="E5" s="212"/>
      <c r="F5" s="212"/>
      <c r="G5" s="212"/>
      <c r="H5" s="212"/>
      <c r="I5" s="213"/>
    </row>
    <row r="6" spans="2:13" s="53" customFormat="1" ht="15" customHeight="1" x14ac:dyDescent="0.35">
      <c r="B6" s="183"/>
      <c r="C6" s="309"/>
      <c r="E6" s="383" t="s">
        <v>145</v>
      </c>
      <c r="F6" s="309" t="s">
        <v>146</v>
      </c>
      <c r="G6" s="419"/>
      <c r="H6" s="420"/>
      <c r="I6" s="213"/>
    </row>
    <row r="7" spans="2:13" ht="15" customHeight="1" x14ac:dyDescent="0.3">
      <c r="B7" s="211"/>
      <c r="C7" s="212"/>
      <c r="D7" s="401"/>
      <c r="E7" s="331"/>
      <c r="F7" s="35"/>
      <c r="G7" s="212"/>
      <c r="H7" s="35"/>
      <c r="I7" s="213"/>
    </row>
    <row r="8" spans="2:13" s="53" customFormat="1" ht="15" customHeight="1" x14ac:dyDescent="0.35">
      <c r="B8" s="421"/>
      <c r="C8" s="422"/>
      <c r="D8" s="422"/>
      <c r="E8" s="423" t="s">
        <v>40</v>
      </c>
      <c r="F8" s="255" t="s">
        <v>147</v>
      </c>
      <c r="G8" s="212"/>
      <c r="H8" s="35"/>
      <c r="I8" s="213"/>
    </row>
    <row r="9" spans="2:13" ht="15" customHeight="1" x14ac:dyDescent="0.3">
      <c r="B9" s="211"/>
      <c r="C9" s="255"/>
      <c r="D9" s="401"/>
      <c r="E9" s="255"/>
      <c r="F9" s="35"/>
      <c r="G9" s="212"/>
      <c r="H9" s="35"/>
      <c r="I9" s="213"/>
    </row>
    <row r="10" spans="2:13" ht="15" customHeight="1" x14ac:dyDescent="0.3">
      <c r="B10" s="211" t="s">
        <v>148</v>
      </c>
      <c r="C10" s="255"/>
      <c r="D10" s="401"/>
      <c r="E10" s="255"/>
      <c r="F10" s="35"/>
      <c r="G10" s="212"/>
      <c r="H10" s="35"/>
      <c r="I10" s="213"/>
    </row>
    <row r="11" spans="2:13" ht="15" customHeight="1" thickBot="1" x14ac:dyDescent="0.35">
      <c r="B11" s="215"/>
      <c r="C11" s="216"/>
      <c r="D11" s="216"/>
      <c r="E11" s="216"/>
      <c r="F11" s="216"/>
      <c r="G11" s="216"/>
      <c r="H11" s="216"/>
      <c r="I11" s="217"/>
    </row>
    <row r="12" spans="2:13" ht="5.0999999999999996" customHeight="1" x14ac:dyDescent="0.3">
      <c r="B12" s="212"/>
      <c r="C12" s="212"/>
      <c r="D12" s="212"/>
      <c r="E12" s="212"/>
      <c r="F12" s="212"/>
      <c r="G12" s="212"/>
      <c r="H12" s="212"/>
      <c r="I12" s="212"/>
    </row>
    <row r="13" spans="2:13" ht="15" customHeight="1" x14ac:dyDescent="0.35">
      <c r="B13" s="12" t="s">
        <v>227</v>
      </c>
    </row>
    <row r="14" spans="2:13" ht="15" customHeight="1" x14ac:dyDescent="0.3">
      <c r="B14" s="12" t="s">
        <v>149</v>
      </c>
    </row>
    <row r="16" spans="2:13" ht="15" customHeight="1" thickBot="1" x14ac:dyDescent="0.35">
      <c r="M16" s="424"/>
    </row>
    <row r="17" spans="2:12" ht="18" customHeight="1" thickBot="1" x14ac:dyDescent="0.35">
      <c r="B17" s="796" t="str">
        <f>"Concentration = "&amp;Summary!C9&amp;" µg/L"</f>
        <v>Concentration = 10 µg/L</v>
      </c>
      <c r="C17" s="797"/>
      <c r="E17" s="796" t="str">
        <f>"Concentration = "&amp;Summary!D9&amp;" µg/L"</f>
        <v>Concentration = 50 µg/L</v>
      </c>
      <c r="F17" s="797"/>
      <c r="G17" s="22"/>
      <c r="H17" s="796" t="str">
        <f>"Concentration = "&amp;Summary!E9&amp;" µg/L"</f>
        <v>Concentration = 140 µg/L</v>
      </c>
      <c r="I17" s="797"/>
    </row>
    <row r="18" spans="2:12" ht="18" customHeight="1" thickBot="1" x14ac:dyDescent="0.35">
      <c r="B18" s="425" t="s">
        <v>40</v>
      </c>
      <c r="C18" s="426">
        <f>3*'Combined UM'!D24</f>
        <v>2.2483074437207131</v>
      </c>
      <c r="E18" s="425" t="s">
        <v>40</v>
      </c>
      <c r="F18" s="426">
        <f>3*'Combined UM'!D33</f>
        <v>10.440759393150541</v>
      </c>
      <c r="H18" s="425" t="s">
        <v>40</v>
      </c>
      <c r="I18" s="426">
        <f>3*'Combined UM'!D42</f>
        <v>28.977478715084743</v>
      </c>
    </row>
    <row r="19" spans="2:12" ht="18" customHeight="1" thickBot="1" x14ac:dyDescent="0.35">
      <c r="B19" s="427" t="s">
        <v>150</v>
      </c>
      <c r="C19" s="428">
        <f>(C18/Summary!C9)*100</f>
        <v>22.483074437207133</v>
      </c>
      <c r="E19" s="427" t="s">
        <v>150</v>
      </c>
      <c r="F19" s="428">
        <f>(F18/Summary!D9)*100</f>
        <v>20.881518786301083</v>
      </c>
      <c r="H19" s="427" t="s">
        <v>150</v>
      </c>
      <c r="I19" s="428">
        <f>(I18/Summary!E9)*100</f>
        <v>20.698199082203388</v>
      </c>
    </row>
    <row r="20" spans="2:12" ht="15" customHeight="1" x14ac:dyDescent="0.3">
      <c r="C20" s="22"/>
      <c r="D20" s="22"/>
      <c r="K20" s="22"/>
      <c r="L20" s="22"/>
    </row>
    <row r="22" spans="2:12" ht="15" customHeight="1" x14ac:dyDescent="0.3">
      <c r="B22" s="12" t="s">
        <v>151</v>
      </c>
    </row>
    <row r="23" spans="2:12" ht="5.0999999999999996" customHeight="1" thickBot="1" x14ac:dyDescent="0.35"/>
    <row r="24" spans="2:12" s="53" customFormat="1" ht="18.75" customHeight="1" x14ac:dyDescent="0.35">
      <c r="B24" s="168" t="s">
        <v>152</v>
      </c>
      <c r="C24" s="182"/>
      <c r="D24" s="182"/>
      <c r="E24" s="182"/>
      <c r="F24" s="182"/>
      <c r="G24" s="182"/>
      <c r="H24" s="182"/>
      <c r="I24" s="198"/>
    </row>
    <row r="25" spans="2:12" s="53" customFormat="1" ht="15" customHeight="1" x14ac:dyDescent="0.35">
      <c r="B25" s="183"/>
      <c r="C25" s="184"/>
      <c r="D25" s="184"/>
      <c r="E25" s="184"/>
      <c r="F25" s="184"/>
      <c r="G25" s="184"/>
      <c r="H25" s="184"/>
      <c r="I25" s="186"/>
    </row>
    <row r="26" spans="2:12" s="53" customFormat="1" ht="15" customHeight="1" x14ac:dyDescent="0.35">
      <c r="B26" s="183"/>
      <c r="F26" s="429" t="s">
        <v>153</v>
      </c>
      <c r="G26" s="331" t="s">
        <v>222</v>
      </c>
      <c r="H26" s="185"/>
      <c r="I26" s="186"/>
    </row>
    <row r="27" spans="2:12" s="53" customFormat="1" ht="15" customHeight="1" thickBot="1" x14ac:dyDescent="0.4">
      <c r="B27" s="199"/>
      <c r="C27" s="200"/>
      <c r="D27" s="200"/>
      <c r="E27" s="200"/>
      <c r="F27" s="200"/>
      <c r="G27" s="200"/>
      <c r="H27" s="200"/>
      <c r="I27" s="201"/>
    </row>
  </sheetData>
  <mergeCells count="3">
    <mergeCell ref="B17:C17"/>
    <mergeCell ref="E17:F17"/>
    <mergeCell ref="H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Note</vt:lpstr>
      <vt:lpstr>Raw Data</vt:lpstr>
      <vt:lpstr>Precision Uncertainty</vt:lpstr>
      <vt:lpstr>Std Solution &amp; Spike Prep</vt:lpstr>
      <vt:lpstr>Calibration and Measurement</vt:lpstr>
      <vt:lpstr>Combined UM</vt:lpstr>
      <vt:lpstr>Effective DF</vt:lpstr>
      <vt:lpstr>Expanded UM</vt:lpstr>
    </vt:vector>
  </TitlesOfParts>
  <Company>Police Scotland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Alexandra</dc:creator>
  <cp:lastModifiedBy>Joyce Klu</cp:lastModifiedBy>
  <cp:lastPrinted>2019-09-03T08:05:11Z</cp:lastPrinted>
  <dcterms:created xsi:type="dcterms:W3CDTF">2019-05-06T14:57:30Z</dcterms:created>
  <dcterms:modified xsi:type="dcterms:W3CDTF">2019-09-04T13:00:15Z</dcterms:modified>
</cp:coreProperties>
</file>